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vsd" ContentType="application/vnd.visi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623" codeName="{499AFE36-ED4D-9D94-70EF-1DFAAA4259C6}"/>
  <workbookPr codeName="ThisWorkbook"/>
  <mc:AlternateContent xmlns:mc="http://schemas.openxmlformats.org/markup-compatibility/2006">
    <mc:Choice Requires="x15">
      <x15ac:absPath xmlns:x15ac="http://schemas.microsoft.com/office/spreadsheetml/2010/11/ac" url="https://d.docs.live.net/90881104d375f688/デスクトップ/新生UMIUSI/新生UMIUSI_基板/control_unit/"/>
    </mc:Choice>
  </mc:AlternateContent>
  <xr:revisionPtr revIDLastSave="225" documentId="13_ncr:1_{59700F5B-EEF1-4C04-9D1B-DC5A201F6080}" xr6:coauthVersionLast="47" xr6:coauthVersionMax="47" xr10:uidLastSave="{83C82E78-ED55-4260-BE79-B42E962749CE}"/>
  <workbookProtection workbookAlgorithmName="SHA-512" workbookHashValue="9wToXEgJDC0XYsEauXQliR369bzOVYpxzBlQCX5yU9+QK8pkljS/1uDCzHc4G1prbZWc2LOQ0LQw9UCbzbqOJQ==" workbookSaltValue="2e0uLmMBKWAAu0WADn+orQ==" workbookSpinCount="100000" lockStructure="1"/>
  <bookViews>
    <workbookView xWindow="-108" yWindow="-108" windowWidth="23256" windowHeight="14856" tabRatio="419" xr2:uid="{00000000-000D-0000-FFFF-FFFF00000000}"/>
  </bookViews>
  <sheets>
    <sheet name="Design Regulator" sheetId="1" r:id="rId1"/>
    <sheet name="Schematic &amp; BOM" sheetId="16" r:id="rId2"/>
    <sheet name="EVMs" sheetId="18" r:id="rId3"/>
    <sheet name="Variable Management" sheetId="2" state="hidden" r:id="rId4"/>
    <sheet name="Standard Value Calculator" sheetId="8" state="hidden" r:id="rId5"/>
    <sheet name="Bode Plots Calculations" sheetId="3" state="hidden" r:id="rId6"/>
    <sheet name="Schematic Management" sheetId="17" state="hidden" r:id="rId7"/>
    <sheet name="Power Calculations" sheetId="4" state="hidden" r:id="rId8"/>
    <sheet name="Snubber" sheetId="11" state="hidden" r:id="rId9"/>
    <sheet name="Parallel Output Caps" sheetId="6" state="hidden" r:id="rId10"/>
  </sheets>
  <definedNames>
    <definedName name="_Don1">'Variable Management'!$B$23</definedName>
    <definedName name="_Don2">'Variable Management'!$B$34</definedName>
    <definedName name="_Ren1">'Variable Management'!$B$94</definedName>
    <definedName name="_Rfb1">'Variable Management'!$B$126</definedName>
    <definedName name="_Rfb2">'Variable Management'!$B$127</definedName>
    <definedName name="_Rs1">'Variable Management'!$B$65</definedName>
    <definedName name="_Rs2">'Variable Management'!$B$64</definedName>
    <definedName name="_Rs3">'Variable Management'!$B$62</definedName>
    <definedName name="Cb">'Variable Management'!$B$119</definedName>
    <definedName name="Cby">'Variable Management'!$B$118</definedName>
    <definedName name="Cc1ea">'Variable Management'!$B$133</definedName>
    <definedName name="Cc1ea_u">'Variable Management'!$B$140</definedName>
    <definedName name="Cc2ea">'Variable Management'!$B$134</definedName>
    <definedName name="Cc2ea_u">'Variable Management'!$B$141</definedName>
    <definedName name="Cc3ea">'Variable Management'!$B$136</definedName>
    <definedName name="Cc3ea_u">'Variable Management'!$B$143</definedName>
    <definedName name="Cdd">'Variable Management'!$B$115</definedName>
    <definedName name="Cilim">'Variable Management'!$B$64</definedName>
    <definedName name="Cilim_ideal">'Variable Management'!$B$65</definedName>
    <definedName name="Cin">'Variable Management'!$B$81</definedName>
    <definedName name="Cin_Voltage_Rating">'Variable Management'!$S$66</definedName>
    <definedName name="CinEsrMax">'Variable Management'!$B$82</definedName>
    <definedName name="Core_Loss">'Design Regulator'!$E$21</definedName>
    <definedName name="CossBot">'Variable Management'!$B$202</definedName>
    <definedName name="CossTop">'Variable Management'!$B$190</definedName>
    <definedName name="Cout">'Variable Management'!$B$71</definedName>
    <definedName name="Cout_Voltage_Rating">'Variable Management'!$M$66</definedName>
    <definedName name="CoutEsr">'Variable Management'!$B$73</definedName>
    <definedName name="Coutmin">'Variable Management'!$B$70</definedName>
    <definedName name="Csb">'Variable Management'!$B$116</definedName>
    <definedName name="Csby">'Variable Management'!$B$117</definedName>
    <definedName name="Css">'Variable Management'!$B$90</definedName>
    <definedName name="Css_u">'Variable Management'!$B$91</definedName>
    <definedName name="DC_Current_Limit_Setpoint">'Variable Management'!$B$49</definedName>
    <definedName name="Deadtime">'Variable Management'!$B$181</definedName>
    <definedName name="Doff1">'Variable Management'!$B$24</definedName>
    <definedName name="Doff2">'Variable Management'!$B$35</definedName>
    <definedName name="Don_Vinmax">'Variable Management'!$B$27</definedName>
    <definedName name="Eadcg">'Variable Management'!$B$122</definedName>
    <definedName name="Ext_VCC">'Variable Management'!$V$21</definedName>
    <definedName name="Fcross">'Variable Management'!$B$124</definedName>
    <definedName name="Fesr">'Variable Management'!$B$148</definedName>
    <definedName name="Fo">'Variable Management'!$B$146</definedName>
    <definedName name="Fp1_u">'Variable Management'!$B$151</definedName>
    <definedName name="Fp2_u">'Variable Management'!$B$152</definedName>
    <definedName name="Fsw">'Variable Management'!$B$12</definedName>
    <definedName name="Fz1_u">'Variable Management'!$B$149</definedName>
    <definedName name="Fz2_u">'Variable Management'!$B$150</definedName>
    <definedName name="GBP">'Variable Management'!$B$123</definedName>
    <definedName name="GmTop">'Variable Management'!$B$192</definedName>
    <definedName name="Icinrms">'Variable Management'!$B$79</definedName>
    <definedName name="Icoutrms">'Variable Management'!$B$69</definedName>
    <definedName name="Ilim1">'Variable Management'!$B$53</definedName>
    <definedName name="Ilim2">'Variable Management'!$B$54</definedName>
    <definedName name="ILimit">'Variable Management'!$B$50</definedName>
    <definedName name="Ilsat">'Variable Management'!$B$51</definedName>
    <definedName name="Iout">'Variable Management'!$B$11</definedName>
    <definedName name="Ipp">'Power Calculations'!$B$69</definedName>
    <definedName name="Iq">'Variable Management'!$B$183</definedName>
    <definedName name="Ireverse">'Variable Management'!$B$211</definedName>
    <definedName name="Iripple1">'Variable Management'!$B$42</definedName>
    <definedName name="Iss">'Variable Management'!$B$89</definedName>
    <definedName name="Iuvlo_hys">'Variable Management'!$B$109</definedName>
    <definedName name="Iuvlo1">'Variable Management'!$B$107</definedName>
    <definedName name="Iuvlo2">'Variable Management'!$B$108</definedName>
    <definedName name="Kmidband">'Variable Management'!$B$125</definedName>
    <definedName name="Lout1">'Variable Management'!$B$30</definedName>
    <definedName name="Lout2">'Variable Management'!$B$31</definedName>
    <definedName name="Ltc">'Variable Management'!$B$169</definedName>
    <definedName name="Pi">'Variable Management'!$B$154</definedName>
    <definedName name="PICTURE10">INDIRECT('Schematic Management'!$A$2)</definedName>
    <definedName name="PICTURE2" localSheetId="6">INDIRECT('Schematic Management'!$A$2)</definedName>
    <definedName name="_xlnm.Print_Area" localSheetId="0">'Design Regulator'!$A$1:$Q$111</definedName>
    <definedName name="_xlnm.Print_Area" localSheetId="1">'Schematic &amp; BOM'!$A$1:$J$68</definedName>
    <definedName name="Q">'Variable Management'!$B$147</definedName>
    <definedName name="QgBot">'Variable Management'!$B$200</definedName>
    <definedName name="QgdTop">'Variable Management'!$B$188</definedName>
    <definedName name="QgsTop">'Variable Management'!$B$189</definedName>
    <definedName name="QgTop">'Variable Management'!$B$187</definedName>
    <definedName name="QossBot">'Variable Management'!$B$201</definedName>
    <definedName name="QrrBot">'Variable Management'!$B$205</definedName>
    <definedName name="QrrSky">'Variable Management'!$B$210</definedName>
    <definedName name="Rcea1">'Variable Management'!$B$132</definedName>
    <definedName name="Rcea1_u">'Variable Management'!$B$139</definedName>
    <definedName name="Rcea2">'Variable Management'!$B$135</definedName>
    <definedName name="Rcea2_u">'Variable Management'!$B$142</definedName>
    <definedName name="RCinEsr">'Variable Management'!$B$83</definedName>
    <definedName name="RCoutEsr">'Variable Management'!$B$73</definedName>
    <definedName name="Rdcr">'Variable Management'!$B$32</definedName>
    <definedName name="RDSON_sense">'Variable Management'!$M$56</definedName>
    <definedName name="RdsonBot">'Variable Management'!$B$198</definedName>
    <definedName name="RdsonBotTc">'Variable Management'!$B$199</definedName>
    <definedName name="RdsonDRB">'Variable Management'!$B$178</definedName>
    <definedName name="RdsonDRB2">'Variable Management'!$B$179</definedName>
    <definedName name="RdsonDRT">'Variable Management'!$B$175</definedName>
    <definedName name="RdsonDRT2">'Variable Management'!$B$176</definedName>
    <definedName name="RdsonTop">'Variable Management'!$B$185</definedName>
    <definedName name="RdsonTopTc">'Variable Management'!$B$186</definedName>
    <definedName name="Resrmax">'Variable Management'!$B$72</definedName>
    <definedName name="Rfadj">'Variable Management'!$B$15</definedName>
    <definedName name="Rfb2_u">'Variable Management'!$B$128</definedName>
    <definedName name="Rfets">'Variable Management'!$B$156</definedName>
    <definedName name="RGateBot">'Variable Management'!$B$203</definedName>
    <definedName name="RGateTop">'Variable Management'!$B$191</definedName>
    <definedName name="Rh">'Variable Management'!$B$113</definedName>
    <definedName name="Rilim_Rdson">'Variable Management'!$B$56</definedName>
    <definedName name="Rilim_Rdson_ideal">'Variable Management'!$B$55</definedName>
    <definedName name="Rilim_shunt">'Variable Management'!$B$60</definedName>
    <definedName name="Rilim_shunt_ideal">'Variable Management'!$B$59</definedName>
    <definedName name="Ro">'Variable Management'!$B$153</definedName>
    <definedName name="Rpg">'Variable Management'!$B$111</definedName>
    <definedName name="Rsb">'Variable Management'!$B$112</definedName>
    <definedName name="Rshunt">'Variable Management'!$B$58</definedName>
    <definedName name="Ruvlo1">'Variable Management'!$B$97</definedName>
    <definedName name="Ruvlo2">'Variable Management'!$B$98</definedName>
    <definedName name="SCH_RDSON">'Schematic Management'!$B$5</definedName>
    <definedName name="SCH_SHUNT">'Schematic Management'!$B$8</definedName>
    <definedName name="Ta">'Variable Management'!$B$167</definedName>
    <definedName name="Tf">'Variable Management'!$B$217</definedName>
    <definedName name="ThetaCa">'Variable Management'!$B$170</definedName>
    <definedName name="ThetaJaBot">'Variable Management'!$B$207</definedName>
    <definedName name="ThetaJaCtrl">'Variable Management'!$B$213</definedName>
    <definedName name="ThetaJaTop">'Variable Management'!$B$196</definedName>
    <definedName name="TL">'Variable Management'!$B$44</definedName>
    <definedName name="Tr">'Variable Management'!$B$216</definedName>
    <definedName name="TrrBot">'Variable Management'!$B$206</definedName>
    <definedName name="Tss">'Variable Management'!$B$88</definedName>
    <definedName name="VARIANT">'Variable Management'!$V$12</definedName>
    <definedName name="Vdd">'Variable Management'!$B$173</definedName>
    <definedName name="VfdSky">'Variable Management'!$B$209</definedName>
    <definedName name="Vin">'Variable Management'!$B$7</definedName>
    <definedName name="VIN_MAX_RATING">'Variable Management'!$U$13</definedName>
    <definedName name="VIN_MIN_RATING">'Variable Management'!$U$14</definedName>
    <definedName name="Vinmax">'Variable Management'!$B$9</definedName>
    <definedName name="Vinmin">'Variable Management'!$B$8</definedName>
    <definedName name="Vinripple1">'Variable Management'!$B$78</definedName>
    <definedName name="Vinripple2">'Variable Management'!$B$84</definedName>
    <definedName name="VINuvlo_off">'Variable Management'!$B$96</definedName>
    <definedName name="VINuvlo_on">'Variable Management'!$B$95</definedName>
    <definedName name="Vout">'Variable Management'!$B$10</definedName>
    <definedName name="VOUT_MAX_RATING">'Variable Management'!$U$15</definedName>
    <definedName name="Vramp">'Variable Management'!$B$131</definedName>
    <definedName name="Vref">'Variable Management'!$B$14</definedName>
    <definedName name="Vripple1">'Variable Management'!$B$41</definedName>
    <definedName name="Vripple2">'Variable Management'!$B$74</definedName>
    <definedName name="VsdBot">'Variable Management'!$B$204</definedName>
    <definedName name="VsdTop">'Variable Management'!$B$195</definedName>
    <definedName name="VspTop">'Variable Management'!$B$194</definedName>
    <definedName name="VthTop">'Variable Management'!$B$193</definedName>
    <definedName name="Vuvlo_hys">'Variable Management'!$B$106</definedName>
    <definedName name="Vuvlo_off">'Variable Management'!$B$105</definedName>
    <definedName name="Vuvlo_on">'Variable Management'!$B$104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3" i="4" l="1"/>
  <c r="A270" i="2" l="1"/>
  <c r="D63" i="16" l="1"/>
  <c r="U15" i="2" l="1"/>
  <c r="C63" i="16" l="1"/>
  <c r="I63" i="16"/>
  <c r="U14" i="2"/>
  <c r="U13" i="2"/>
  <c r="U12" i="2"/>
  <c r="P10" i="4" l="1"/>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9" i="4"/>
  <c r="B249" i="2" l="1"/>
  <c r="F70" i="1" l="1"/>
  <c r="F69" i="1"/>
  <c r="F68" i="1"/>
  <c r="F67" i="1"/>
  <c r="A68" i="1" l="1"/>
  <c r="B190" i="2" l="1"/>
  <c r="B202" i="2"/>
  <c r="B201" i="2"/>
  <c r="L42" i="16" l="1"/>
  <c r="L59" i="16"/>
  <c r="A50" i="16" l="1"/>
  <c r="A49" i="16"/>
  <c r="L50" i="16"/>
  <c r="L49" i="16"/>
  <c r="A43" i="16" l="1"/>
  <c r="L43" i="16" s="1"/>
  <c r="C43" i="16"/>
  <c r="B13" i="2" l="1"/>
  <c r="B15" i="2" s="1"/>
  <c r="A269" i="2" l="1"/>
  <c r="B12" i="2" l="1"/>
  <c r="E70" i="1" s="1"/>
  <c r="K50" i="16"/>
  <c r="K49" i="16"/>
  <c r="K44" i="16"/>
  <c r="K43" i="16"/>
  <c r="L48" i="16"/>
  <c r="K48" i="16"/>
  <c r="L62" i="16"/>
  <c r="L61" i="16"/>
  <c r="L60" i="16"/>
  <c r="L58" i="16"/>
  <c r="L57" i="16"/>
  <c r="L56" i="16"/>
  <c r="L55" i="16"/>
  <c r="L54" i="16"/>
  <c r="L53" i="16"/>
  <c r="L52" i="16"/>
  <c r="K62" i="16"/>
  <c r="K61" i="16"/>
  <c r="K60" i="16"/>
  <c r="K58" i="16"/>
  <c r="K56" i="16"/>
  <c r="K57" i="16"/>
  <c r="K55" i="16"/>
  <c r="K54" i="16"/>
  <c r="K53" i="16"/>
  <c r="K52" i="16"/>
  <c r="L47" i="16"/>
  <c r="L46" i="16"/>
  <c r="L45" i="16"/>
  <c r="K47" i="16"/>
  <c r="K46" i="16"/>
  <c r="K45" i="16"/>
  <c r="L41" i="16"/>
  <c r="L40" i="16"/>
  <c r="K42" i="16"/>
  <c r="K41" i="16"/>
  <c r="K40" i="16"/>
  <c r="L39" i="16"/>
  <c r="K39" i="16"/>
  <c r="L38" i="16"/>
  <c r="K38" i="16"/>
  <c r="L56" i="2"/>
  <c r="L52" i="2"/>
  <c r="L86" i="2"/>
  <c r="N86" i="2"/>
  <c r="N74" i="2"/>
  <c r="L74" i="2"/>
  <c r="C59" i="16" l="1"/>
  <c r="C56" i="16"/>
  <c r="B49" i="2"/>
  <c r="B58" i="2"/>
  <c r="B8" i="2"/>
  <c r="B9" i="2"/>
  <c r="A2" i="17"/>
  <c r="B269" i="2" l="1"/>
  <c r="B281" i="2"/>
  <c r="S66" i="2"/>
  <c r="D43" i="16" s="1"/>
  <c r="D49" i="16"/>
  <c r="R66" i="2" l="1"/>
  <c r="I50" i="16"/>
  <c r="I49" i="16"/>
  <c r="B239" i="2" l="1"/>
  <c r="A239" i="2"/>
  <c r="D50" i="16"/>
  <c r="D56" i="16"/>
  <c r="D58" i="16"/>
  <c r="D62" i="16"/>
  <c r="C48" i="16"/>
  <c r="D47" i="16"/>
  <c r="D46" i="16"/>
  <c r="D38" i="16"/>
  <c r="B258" i="2"/>
  <c r="B95" i="2"/>
  <c r="B106" i="2"/>
  <c r="B109" i="2"/>
  <c r="B96" i="2"/>
  <c r="B97" i="2" l="1"/>
  <c r="R16" i="8" l="1"/>
  <c r="S16" i="8" s="1"/>
  <c r="D97" i="2" s="1"/>
  <c r="G97" i="2" s="1"/>
  <c r="D73" i="1"/>
  <c r="F97" i="2" l="1"/>
  <c r="B98" i="2"/>
  <c r="R17" i="8" s="1"/>
  <c r="S17" i="8" s="1"/>
  <c r="D98" i="2" s="1"/>
  <c r="B101" i="2" s="1"/>
  <c r="B689" i="3"/>
  <c r="N688" i="3"/>
  <c r="F98" i="2" l="1"/>
  <c r="E54" i="1" s="1"/>
  <c r="C61" i="16" s="1"/>
  <c r="D61" i="16" s="1"/>
  <c r="E53" i="1"/>
  <c r="C60" i="16" s="1"/>
  <c r="D60" i="16" s="1"/>
  <c r="G98" i="2"/>
  <c r="B100" i="2"/>
  <c r="B114" i="2"/>
  <c r="B73" i="2" l="1"/>
  <c r="E145" i="2" s="1"/>
  <c r="B124" i="2"/>
  <c r="B10" i="2"/>
  <c r="B11" i="2"/>
  <c r="B71" i="2"/>
  <c r="B31" i="2"/>
  <c r="B10" i="3"/>
  <c r="B11" i="3"/>
  <c r="B12" i="3"/>
  <c r="B13" i="3"/>
  <c r="B14" i="3"/>
  <c r="B15" i="3"/>
  <c r="B16" i="3"/>
  <c r="B17" i="3"/>
  <c r="B18" i="3"/>
  <c r="B9" i="3"/>
  <c r="B78" i="2"/>
  <c r="B210" i="2"/>
  <c r="B59" i="4" s="1"/>
  <c r="B191" i="2"/>
  <c r="J200" i="2" s="1"/>
  <c r="B238" i="2"/>
  <c r="B243" i="2"/>
  <c r="B32" i="2"/>
  <c r="B7" i="2"/>
  <c r="B81" i="2"/>
  <c r="B185" i="2"/>
  <c r="B37" i="4" s="1"/>
  <c r="B198" i="2"/>
  <c r="B49" i="4" s="1"/>
  <c r="B126" i="2"/>
  <c r="AJ350" i="3" s="1"/>
  <c r="B207" i="2"/>
  <c r="B56" i="4" s="1"/>
  <c r="B209" i="2"/>
  <c r="B58" i="4" s="1"/>
  <c r="B204" i="2"/>
  <c r="AG3" i="4" s="1"/>
  <c r="B88" i="2"/>
  <c r="B187" i="2"/>
  <c r="B200" i="2"/>
  <c r="B51" i="4" s="1"/>
  <c r="B205" i="2"/>
  <c r="B195" i="2"/>
  <c r="B46" i="4" s="1"/>
  <c r="B60" i="4"/>
  <c r="B188" i="2"/>
  <c r="B40" i="4" s="1"/>
  <c r="B189" i="2"/>
  <c r="B41" i="4" s="1"/>
  <c r="B193" i="2"/>
  <c r="B44" i="4" s="1"/>
  <c r="B192" i="2"/>
  <c r="B43" i="4" s="1"/>
  <c r="B279" i="2"/>
  <c r="B196" i="2"/>
  <c r="B47" i="4" s="1"/>
  <c r="B169" i="2"/>
  <c r="B20" i="4" s="1"/>
  <c r="B83" i="2"/>
  <c r="B23" i="4" s="1"/>
  <c r="B186" i="2"/>
  <c r="B199" i="2"/>
  <c r="D6" i="6"/>
  <c r="D7" i="6"/>
  <c r="D9" i="6"/>
  <c r="D10" i="6"/>
  <c r="D2" i="11"/>
  <c r="D3" i="11"/>
  <c r="B5" i="11"/>
  <c r="D5" i="11" s="1"/>
  <c r="B15" i="4"/>
  <c r="B21" i="4"/>
  <c r="B52" i="4"/>
  <c r="B55" i="4"/>
  <c r="AR9" i="3"/>
  <c r="A34" i="8"/>
  <c r="A46" i="8" s="1"/>
  <c r="A58" i="8" s="1"/>
  <c r="A70" i="8" s="1"/>
  <c r="A82" i="8" s="1"/>
  <c r="A94" i="8" s="1"/>
  <c r="A106" i="8" s="1"/>
  <c r="A118" i="8" s="1"/>
  <c r="A130" i="8" s="1"/>
  <c r="A142" i="8" s="1"/>
  <c r="A154" i="8" s="1"/>
  <c r="A35" i="8"/>
  <c r="A47" i="8" s="1"/>
  <c r="A59" i="8" s="1"/>
  <c r="A71" i="8" s="1"/>
  <c r="A83" i="8" s="1"/>
  <c r="A95" i="8" s="1"/>
  <c r="A107" i="8" s="1"/>
  <c r="A119" i="8" s="1"/>
  <c r="A131" i="8" s="1"/>
  <c r="A143" i="8" s="1"/>
  <c r="A155" i="8" s="1"/>
  <c r="A36" i="8"/>
  <c r="A48" i="8" s="1"/>
  <c r="A60" i="8" s="1"/>
  <c r="A72" i="8" s="1"/>
  <c r="A84" i="8" s="1"/>
  <c r="A96" i="8" s="1"/>
  <c r="A108" i="8" s="1"/>
  <c r="A120" i="8" s="1"/>
  <c r="A132" i="8" s="1"/>
  <c r="A144" i="8" s="1"/>
  <c r="A156" i="8" s="1"/>
  <c r="A37" i="8"/>
  <c r="A49" i="8" s="1"/>
  <c r="A61" i="8" s="1"/>
  <c r="A73" i="8" s="1"/>
  <c r="A85" i="8" s="1"/>
  <c r="A97" i="8" s="1"/>
  <c r="A109" i="8" s="1"/>
  <c r="A121" i="8" s="1"/>
  <c r="A133" i="8" s="1"/>
  <c r="A145" i="8" s="1"/>
  <c r="A157" i="8" s="1"/>
  <c r="A38" i="8"/>
  <c r="A50" i="8" s="1"/>
  <c r="A62" i="8" s="1"/>
  <c r="A74" i="8" s="1"/>
  <c r="A86" i="8" s="1"/>
  <c r="A98" i="8" s="1"/>
  <c r="A110" i="8" s="1"/>
  <c r="A122" i="8" s="1"/>
  <c r="A134" i="8" s="1"/>
  <c r="A146" i="8" s="1"/>
  <c r="A158" i="8" s="1"/>
  <c r="A39" i="8"/>
  <c r="A40" i="8"/>
  <c r="A41" i="8"/>
  <c r="A42" i="8"/>
  <c r="A54" i="8" s="1"/>
  <c r="A66" i="8" s="1"/>
  <c r="A78" i="8" s="1"/>
  <c r="A90" i="8" s="1"/>
  <c r="A102" i="8" s="1"/>
  <c r="A114" i="8" s="1"/>
  <c r="A126" i="8" s="1"/>
  <c r="A138" i="8" s="1"/>
  <c r="A150" i="8" s="1"/>
  <c r="A43" i="8"/>
  <c r="A55" i="8" s="1"/>
  <c r="A67" i="8" s="1"/>
  <c r="A79" i="8" s="1"/>
  <c r="A91" i="8" s="1"/>
  <c r="A103" i="8" s="1"/>
  <c r="A115" i="8" s="1"/>
  <c r="A127" i="8" s="1"/>
  <c r="A139" i="8" s="1"/>
  <c r="A151" i="8" s="1"/>
  <c r="A44" i="8"/>
  <c r="A56" i="8" s="1"/>
  <c r="A68" i="8" s="1"/>
  <c r="A80" i="8" s="1"/>
  <c r="A92" i="8" s="1"/>
  <c r="A104" i="8" s="1"/>
  <c r="A116" i="8" s="1"/>
  <c r="A128" i="8" s="1"/>
  <c r="A140" i="8" s="1"/>
  <c r="A152" i="8" s="1"/>
  <c r="A45" i="8"/>
  <c r="A57" i="8" s="1"/>
  <c r="A69" i="8" s="1"/>
  <c r="A81" i="8" s="1"/>
  <c r="A93" i="8" s="1"/>
  <c r="A105" i="8" s="1"/>
  <c r="A117" i="8" s="1"/>
  <c r="A129" i="8" s="1"/>
  <c r="A141" i="8" s="1"/>
  <c r="A153" i="8" s="1"/>
  <c r="A51" i="8"/>
  <c r="A63" i="8" s="1"/>
  <c r="A75" i="8" s="1"/>
  <c r="A87" i="8" s="1"/>
  <c r="A99" i="8" s="1"/>
  <c r="A111" i="8" s="1"/>
  <c r="A123" i="8" s="1"/>
  <c r="A135" i="8" s="1"/>
  <c r="A147" i="8" s="1"/>
  <c r="A159" i="8" s="1"/>
  <c r="A52" i="8"/>
  <c r="A64" i="8" s="1"/>
  <c r="A76" i="8" s="1"/>
  <c r="A88" i="8" s="1"/>
  <c r="A100" i="8" s="1"/>
  <c r="A112" i="8" s="1"/>
  <c r="A124" i="8" s="1"/>
  <c r="A136" i="8" s="1"/>
  <c r="A148" i="8" s="1"/>
  <c r="A53" i="8"/>
  <c r="A65" i="8" s="1"/>
  <c r="A77" i="8" s="1"/>
  <c r="A89" i="8" s="1"/>
  <c r="A101" i="8" s="1"/>
  <c r="A113" i="8" s="1"/>
  <c r="A125" i="8" s="1"/>
  <c r="A137" i="8" s="1"/>
  <c r="A149" i="8" s="1"/>
  <c r="AQ9" i="3"/>
  <c r="AR10" i="3"/>
  <c r="AQ10" i="3"/>
  <c r="AR11" i="3"/>
  <c r="AQ11" i="3"/>
  <c r="AR12" i="3"/>
  <c r="AQ12" i="3"/>
  <c r="AR13" i="3"/>
  <c r="AQ13" i="3"/>
  <c r="AR14" i="3"/>
  <c r="AQ14" i="3"/>
  <c r="AR15" i="3"/>
  <c r="AQ15" i="3"/>
  <c r="AR16" i="3"/>
  <c r="AQ16" i="3"/>
  <c r="AR17" i="3"/>
  <c r="AQ17" i="3"/>
  <c r="AR18" i="3"/>
  <c r="AQ18" i="3"/>
  <c r="A19" i="3"/>
  <c r="B19" i="3" s="1"/>
  <c r="A20" i="3"/>
  <c r="B20" i="3" s="1"/>
  <c r="AR20" i="3"/>
  <c r="A21" i="3"/>
  <c r="B21" i="3" s="1"/>
  <c r="AR21" i="3"/>
  <c r="A22" i="3"/>
  <c r="A31" i="3" s="1"/>
  <c r="A23" i="3"/>
  <c r="AQ23" i="3" s="1"/>
  <c r="A24" i="3"/>
  <c r="B24" i="3" s="1"/>
  <c r="A25" i="3"/>
  <c r="A34" i="3" s="1"/>
  <c r="A26" i="3"/>
  <c r="AQ26" i="3" s="1"/>
  <c r="A27" i="3"/>
  <c r="A36" i="3" s="1"/>
  <c r="AQ36" i="3" s="1"/>
  <c r="A30" i="3"/>
  <c r="AQ30" i="3" s="1"/>
  <c r="N9" i="3"/>
  <c r="N10"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AA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80" i="3"/>
  <c r="N281" i="3"/>
  <c r="N282" i="3"/>
  <c r="N283" i="3"/>
  <c r="N284" i="3"/>
  <c r="N285" i="3"/>
  <c r="N286" i="3"/>
  <c r="N287" i="3"/>
  <c r="N288" i="3"/>
  <c r="N289" i="3"/>
  <c r="N290" i="3"/>
  <c r="N291" i="3"/>
  <c r="N292" i="3"/>
  <c r="N293" i="3"/>
  <c r="N294" i="3"/>
  <c r="N295" i="3"/>
  <c r="N296" i="3"/>
  <c r="N297" i="3"/>
  <c r="N298" i="3"/>
  <c r="N299" i="3"/>
  <c r="N300" i="3"/>
  <c r="N301" i="3"/>
  <c r="N302" i="3"/>
  <c r="N303" i="3"/>
  <c r="N304" i="3"/>
  <c r="N305" i="3"/>
  <c r="N306" i="3"/>
  <c r="N307" i="3"/>
  <c r="N308" i="3"/>
  <c r="N309" i="3"/>
  <c r="N310" i="3"/>
  <c r="N311" i="3"/>
  <c r="N312" i="3"/>
  <c r="N313" i="3"/>
  <c r="N314" i="3"/>
  <c r="N315" i="3"/>
  <c r="N316" i="3"/>
  <c r="N317" i="3"/>
  <c r="N318" i="3"/>
  <c r="N319" i="3"/>
  <c r="N320" i="3"/>
  <c r="N321" i="3"/>
  <c r="N322" i="3"/>
  <c r="N323" i="3"/>
  <c r="N324" i="3"/>
  <c r="N325" i="3"/>
  <c r="N326" i="3"/>
  <c r="N327" i="3"/>
  <c r="N328" i="3"/>
  <c r="N329" i="3"/>
  <c r="N330" i="3"/>
  <c r="N331" i="3"/>
  <c r="N332" i="3"/>
  <c r="N333" i="3"/>
  <c r="N334" i="3"/>
  <c r="N335" i="3"/>
  <c r="N336" i="3"/>
  <c r="N337" i="3"/>
  <c r="N338" i="3"/>
  <c r="N339" i="3"/>
  <c r="N340" i="3"/>
  <c r="N341" i="3"/>
  <c r="N342" i="3"/>
  <c r="N343" i="3"/>
  <c r="N344" i="3"/>
  <c r="N345" i="3"/>
  <c r="N346" i="3"/>
  <c r="N347" i="3"/>
  <c r="N348" i="3"/>
  <c r="N349" i="3"/>
  <c r="N350" i="3"/>
  <c r="N351" i="3"/>
  <c r="N352" i="3"/>
  <c r="N353" i="3"/>
  <c r="N354" i="3"/>
  <c r="N355" i="3"/>
  <c r="N356" i="3"/>
  <c r="N357" i="3"/>
  <c r="N358" i="3"/>
  <c r="N359" i="3"/>
  <c r="N360" i="3"/>
  <c r="N361" i="3"/>
  <c r="N362" i="3"/>
  <c r="N363" i="3"/>
  <c r="N364" i="3"/>
  <c r="N365" i="3"/>
  <c r="N366" i="3"/>
  <c r="N367" i="3"/>
  <c r="N368" i="3"/>
  <c r="N369" i="3"/>
  <c r="N370" i="3"/>
  <c r="N371" i="3"/>
  <c r="N372" i="3"/>
  <c r="N373" i="3"/>
  <c r="N374" i="3"/>
  <c r="N375" i="3"/>
  <c r="N376" i="3"/>
  <c r="N377" i="3"/>
  <c r="N378" i="3"/>
  <c r="N379" i="3"/>
  <c r="N380" i="3"/>
  <c r="N381" i="3"/>
  <c r="N382" i="3"/>
  <c r="N383" i="3"/>
  <c r="N384" i="3"/>
  <c r="N385" i="3"/>
  <c r="N386" i="3"/>
  <c r="N387" i="3"/>
  <c r="N388" i="3"/>
  <c r="N389" i="3"/>
  <c r="N390" i="3"/>
  <c r="N391" i="3"/>
  <c r="N392" i="3"/>
  <c r="N393" i="3"/>
  <c r="N394" i="3"/>
  <c r="N395" i="3"/>
  <c r="N396" i="3"/>
  <c r="N397" i="3"/>
  <c r="N398" i="3"/>
  <c r="N399" i="3"/>
  <c r="N400" i="3"/>
  <c r="N401" i="3"/>
  <c r="N402" i="3"/>
  <c r="N403" i="3"/>
  <c r="N404" i="3"/>
  <c r="N405" i="3"/>
  <c r="N406" i="3"/>
  <c r="N407" i="3"/>
  <c r="N408" i="3"/>
  <c r="N409" i="3"/>
  <c r="N410" i="3"/>
  <c r="N411" i="3"/>
  <c r="N412" i="3"/>
  <c r="N413" i="3"/>
  <c r="N414" i="3"/>
  <c r="N415" i="3"/>
  <c r="N416" i="3"/>
  <c r="N417" i="3"/>
  <c r="N418" i="3"/>
  <c r="N419" i="3"/>
  <c r="N420" i="3"/>
  <c r="N421" i="3"/>
  <c r="N422" i="3"/>
  <c r="N423" i="3"/>
  <c r="N424" i="3"/>
  <c r="N425" i="3"/>
  <c r="N426" i="3"/>
  <c r="N427" i="3"/>
  <c r="N428" i="3"/>
  <c r="N429" i="3"/>
  <c r="N430" i="3"/>
  <c r="N431" i="3"/>
  <c r="N432" i="3"/>
  <c r="N433" i="3"/>
  <c r="N434" i="3"/>
  <c r="N435" i="3"/>
  <c r="N436" i="3"/>
  <c r="N437" i="3"/>
  <c r="N438" i="3"/>
  <c r="N439" i="3"/>
  <c r="N440" i="3"/>
  <c r="N441" i="3"/>
  <c r="N442" i="3"/>
  <c r="N443" i="3"/>
  <c r="N444" i="3"/>
  <c r="N445" i="3"/>
  <c r="N446" i="3"/>
  <c r="N447" i="3"/>
  <c r="N448" i="3"/>
  <c r="N449" i="3"/>
  <c r="N450" i="3"/>
  <c r="N451" i="3"/>
  <c r="N452" i="3"/>
  <c r="N453" i="3"/>
  <c r="N454" i="3"/>
  <c r="N455" i="3"/>
  <c r="N456" i="3"/>
  <c r="N457" i="3"/>
  <c r="N458" i="3"/>
  <c r="N459" i="3"/>
  <c r="N460" i="3"/>
  <c r="N461" i="3"/>
  <c r="N462" i="3"/>
  <c r="N463" i="3"/>
  <c r="N464" i="3"/>
  <c r="N465" i="3"/>
  <c r="N466" i="3"/>
  <c r="N467" i="3"/>
  <c r="N468" i="3"/>
  <c r="N469" i="3"/>
  <c r="N470" i="3"/>
  <c r="N471" i="3"/>
  <c r="N472" i="3"/>
  <c r="N473" i="3"/>
  <c r="N474" i="3"/>
  <c r="N475" i="3"/>
  <c r="N476" i="3"/>
  <c r="N477" i="3"/>
  <c r="N478" i="3"/>
  <c r="N479" i="3"/>
  <c r="N480" i="3"/>
  <c r="N481" i="3"/>
  <c r="N482" i="3"/>
  <c r="N483" i="3"/>
  <c r="N484" i="3"/>
  <c r="N485" i="3"/>
  <c r="N486" i="3"/>
  <c r="N487" i="3"/>
  <c r="N488" i="3"/>
  <c r="N489" i="3"/>
  <c r="N490" i="3"/>
  <c r="N491" i="3"/>
  <c r="N492" i="3"/>
  <c r="N493" i="3"/>
  <c r="N494" i="3"/>
  <c r="N495" i="3"/>
  <c r="N496" i="3"/>
  <c r="N497" i="3"/>
  <c r="N498" i="3"/>
  <c r="N499" i="3"/>
  <c r="N500" i="3"/>
  <c r="N501" i="3"/>
  <c r="N502" i="3"/>
  <c r="N503" i="3"/>
  <c r="N504" i="3"/>
  <c r="N505" i="3"/>
  <c r="N506" i="3"/>
  <c r="N507" i="3"/>
  <c r="N508" i="3"/>
  <c r="N509" i="3"/>
  <c r="N510" i="3"/>
  <c r="N511" i="3"/>
  <c r="N512" i="3"/>
  <c r="N513" i="3"/>
  <c r="N514" i="3"/>
  <c r="N515" i="3"/>
  <c r="N516" i="3"/>
  <c r="N517" i="3"/>
  <c r="N518" i="3"/>
  <c r="N519" i="3"/>
  <c r="N520" i="3"/>
  <c r="N521" i="3"/>
  <c r="N522" i="3"/>
  <c r="N523" i="3"/>
  <c r="N524" i="3"/>
  <c r="N525" i="3"/>
  <c r="N526" i="3"/>
  <c r="N527" i="3"/>
  <c r="N528" i="3"/>
  <c r="N529" i="3"/>
  <c r="N530" i="3"/>
  <c r="N531" i="3"/>
  <c r="N532" i="3"/>
  <c r="N533" i="3"/>
  <c r="N534" i="3"/>
  <c r="N535" i="3"/>
  <c r="N536" i="3"/>
  <c r="N537" i="3"/>
  <c r="N538" i="3"/>
  <c r="N539" i="3"/>
  <c r="N540" i="3"/>
  <c r="N541" i="3"/>
  <c r="N542" i="3"/>
  <c r="N543" i="3"/>
  <c r="N544" i="3"/>
  <c r="N545" i="3"/>
  <c r="N546" i="3"/>
  <c r="N547" i="3"/>
  <c r="N548" i="3"/>
  <c r="N549" i="3"/>
  <c r="N550" i="3"/>
  <c r="N551" i="3"/>
  <c r="N552" i="3"/>
  <c r="N553" i="3"/>
  <c r="N554" i="3"/>
  <c r="N555" i="3"/>
  <c r="N556" i="3"/>
  <c r="N557" i="3"/>
  <c r="N558" i="3"/>
  <c r="N559" i="3"/>
  <c r="N560" i="3"/>
  <c r="N561" i="3"/>
  <c r="N562" i="3"/>
  <c r="N563" i="3"/>
  <c r="N564" i="3"/>
  <c r="N565" i="3"/>
  <c r="N566" i="3"/>
  <c r="N567" i="3"/>
  <c r="N568" i="3"/>
  <c r="N569" i="3"/>
  <c r="N570" i="3"/>
  <c r="N571" i="3"/>
  <c r="N572" i="3"/>
  <c r="N573" i="3"/>
  <c r="N574" i="3"/>
  <c r="N575" i="3"/>
  <c r="N576" i="3"/>
  <c r="N577" i="3"/>
  <c r="N578" i="3"/>
  <c r="N579" i="3"/>
  <c r="N580" i="3"/>
  <c r="N581" i="3"/>
  <c r="N582" i="3"/>
  <c r="N583" i="3"/>
  <c r="N584" i="3"/>
  <c r="N585" i="3"/>
  <c r="N586" i="3"/>
  <c r="N587" i="3"/>
  <c r="N588" i="3"/>
  <c r="N589" i="3"/>
  <c r="N590" i="3"/>
  <c r="N591" i="3"/>
  <c r="N592" i="3"/>
  <c r="N593" i="3"/>
  <c r="N594" i="3"/>
  <c r="N595" i="3"/>
  <c r="N596" i="3"/>
  <c r="N597" i="3"/>
  <c r="N598" i="3"/>
  <c r="N599" i="3"/>
  <c r="N600" i="3"/>
  <c r="N601" i="3"/>
  <c r="N602" i="3"/>
  <c r="N603" i="3"/>
  <c r="N604" i="3"/>
  <c r="N605" i="3"/>
  <c r="N606" i="3"/>
  <c r="N607" i="3"/>
  <c r="N608" i="3"/>
  <c r="N609" i="3"/>
  <c r="N610" i="3"/>
  <c r="N611" i="3"/>
  <c r="N612" i="3"/>
  <c r="N613" i="3"/>
  <c r="N614" i="3"/>
  <c r="N615" i="3"/>
  <c r="N616" i="3"/>
  <c r="N617" i="3"/>
  <c r="N618" i="3"/>
  <c r="N619" i="3"/>
  <c r="N620" i="3"/>
  <c r="N621" i="3"/>
  <c r="N622" i="3"/>
  <c r="N623" i="3"/>
  <c r="N624" i="3"/>
  <c r="N625" i="3"/>
  <c r="N626" i="3"/>
  <c r="N627" i="3"/>
  <c r="N628" i="3"/>
  <c r="N629" i="3"/>
  <c r="N630" i="3"/>
  <c r="N631" i="3"/>
  <c r="N632" i="3"/>
  <c r="N633" i="3"/>
  <c r="N634" i="3"/>
  <c r="N635" i="3"/>
  <c r="N636" i="3"/>
  <c r="N637" i="3"/>
  <c r="N638" i="3"/>
  <c r="N639" i="3"/>
  <c r="N640" i="3"/>
  <c r="N641" i="3"/>
  <c r="N642" i="3"/>
  <c r="N643" i="3"/>
  <c r="N644" i="3"/>
  <c r="N645" i="3"/>
  <c r="N646" i="3"/>
  <c r="N647" i="3"/>
  <c r="N648" i="3"/>
  <c r="N649" i="3"/>
  <c r="N650" i="3"/>
  <c r="N651" i="3"/>
  <c r="N652" i="3"/>
  <c r="N653" i="3"/>
  <c r="N654" i="3"/>
  <c r="N655" i="3"/>
  <c r="N656" i="3"/>
  <c r="N657" i="3"/>
  <c r="N658" i="3"/>
  <c r="N659" i="3"/>
  <c r="N660" i="3"/>
  <c r="N661" i="3"/>
  <c r="N662" i="3"/>
  <c r="N663" i="3"/>
  <c r="N664" i="3"/>
  <c r="N665" i="3"/>
  <c r="N666" i="3"/>
  <c r="N667" i="3"/>
  <c r="N668" i="3"/>
  <c r="N669" i="3"/>
  <c r="N670" i="3"/>
  <c r="N671" i="3"/>
  <c r="N672" i="3"/>
  <c r="N673" i="3"/>
  <c r="N674" i="3"/>
  <c r="N675" i="3"/>
  <c r="N676" i="3"/>
  <c r="BD677" i="3"/>
  <c r="BD678" i="3"/>
  <c r="BK679" i="3"/>
  <c r="N682" i="3"/>
  <c r="N683" i="3"/>
  <c r="N684" i="3"/>
  <c r="N685" i="3"/>
  <c r="N686" i="3"/>
  <c r="N687" i="3"/>
  <c r="I3" i="8"/>
  <c r="J3" i="8"/>
  <c r="K3" i="8"/>
  <c r="L3" i="8"/>
  <c r="M3" i="8"/>
  <c r="N3" i="8"/>
  <c r="N4" i="8" s="1"/>
  <c r="B41" i="2"/>
  <c r="A238" i="2"/>
  <c r="A241" i="2"/>
  <c r="B241" i="2"/>
  <c r="A243" i="2"/>
  <c r="A258" i="2"/>
  <c r="AQ27" i="3"/>
  <c r="AQ21" i="3"/>
  <c r="AQ19" i="3"/>
  <c r="B278" i="2"/>
  <c r="B31" i="3"/>
  <c r="B25" i="3"/>
  <c r="AR22" i="3"/>
  <c r="B22" i="3"/>
  <c r="A37" i="3"/>
  <c r="AR37" i="3" s="1"/>
  <c r="AR27" i="3"/>
  <c r="AQ22" i="3"/>
  <c r="B23" i="3"/>
  <c r="AR23" i="3"/>
  <c r="B30" i="3" l="1"/>
  <c r="A32" i="3"/>
  <c r="AR19" i="3"/>
  <c r="AQ20" i="3"/>
  <c r="AL10" i="4"/>
  <c r="AL18" i="4"/>
  <c r="AL26" i="4"/>
  <c r="AL34" i="4"/>
  <c r="AL42" i="4"/>
  <c r="AL50" i="4"/>
  <c r="AL58" i="4"/>
  <c r="AL66" i="4"/>
  <c r="AL74" i="4"/>
  <c r="AL82" i="4"/>
  <c r="AL90" i="4"/>
  <c r="AL98" i="4"/>
  <c r="AL106" i="4"/>
  <c r="AL114" i="4"/>
  <c r="AL122" i="4"/>
  <c r="AL130" i="4"/>
  <c r="AL138" i="4"/>
  <c r="AL146" i="4"/>
  <c r="AL154" i="4"/>
  <c r="AL162" i="4"/>
  <c r="AL170" i="4"/>
  <c r="AL178" i="4"/>
  <c r="AL186" i="4"/>
  <c r="AL194" i="4"/>
  <c r="AL202" i="4"/>
  <c r="AL9" i="4"/>
  <c r="AL155" i="4"/>
  <c r="AL179" i="4"/>
  <c r="AL195" i="4"/>
  <c r="AL57" i="4"/>
  <c r="AL105" i="4"/>
  <c r="AL153" i="4"/>
  <c r="AL201" i="4"/>
  <c r="AL11" i="4"/>
  <c r="AL19" i="4"/>
  <c r="AL27" i="4"/>
  <c r="AL35" i="4"/>
  <c r="AL43" i="4"/>
  <c r="AL51" i="4"/>
  <c r="AL59" i="4"/>
  <c r="AL67" i="4"/>
  <c r="AL75" i="4"/>
  <c r="AL83" i="4"/>
  <c r="AL91" i="4"/>
  <c r="AL99" i="4"/>
  <c r="AL107" i="4"/>
  <c r="AL115" i="4"/>
  <c r="AL123" i="4"/>
  <c r="AL131" i="4"/>
  <c r="AL139" i="4"/>
  <c r="AL147" i="4"/>
  <c r="AL163" i="4"/>
  <c r="AL171" i="4"/>
  <c r="AL187" i="4"/>
  <c r="AL203" i="4"/>
  <c r="AL73" i="4"/>
  <c r="AL161" i="4"/>
  <c r="AL12" i="4"/>
  <c r="AL20" i="4"/>
  <c r="AL28" i="4"/>
  <c r="AL36" i="4"/>
  <c r="AL44" i="4"/>
  <c r="AL52" i="4"/>
  <c r="AL60" i="4"/>
  <c r="AL68" i="4"/>
  <c r="AL76" i="4"/>
  <c r="AL84" i="4"/>
  <c r="AL92" i="4"/>
  <c r="AL100" i="4"/>
  <c r="AL108" i="4"/>
  <c r="AL116" i="4"/>
  <c r="AL124" i="4"/>
  <c r="AL132" i="4"/>
  <c r="AL140" i="4"/>
  <c r="AL148" i="4"/>
  <c r="AL156" i="4"/>
  <c r="AL164" i="4"/>
  <c r="AL172" i="4"/>
  <c r="AL180" i="4"/>
  <c r="AL188" i="4"/>
  <c r="AL196" i="4"/>
  <c r="AL204" i="4"/>
  <c r="AL182" i="4"/>
  <c r="AL183" i="4"/>
  <c r="AL207" i="4"/>
  <c r="AL33" i="4"/>
  <c r="AL97" i="4"/>
  <c r="AL145" i="4"/>
  <c r="AL209" i="4"/>
  <c r="AL13" i="4"/>
  <c r="AL21" i="4"/>
  <c r="AL29" i="4"/>
  <c r="AL37" i="4"/>
  <c r="AL45" i="4"/>
  <c r="AL53" i="4"/>
  <c r="AL61" i="4"/>
  <c r="AL69" i="4"/>
  <c r="AL77" i="4"/>
  <c r="AL85" i="4"/>
  <c r="AL93" i="4"/>
  <c r="AL101" i="4"/>
  <c r="AL109" i="4"/>
  <c r="AL117" i="4"/>
  <c r="AL125" i="4"/>
  <c r="AL133" i="4"/>
  <c r="AL141" i="4"/>
  <c r="AL149" i="4"/>
  <c r="AL157" i="4"/>
  <c r="AL165" i="4"/>
  <c r="AL173" i="4"/>
  <c r="AL181" i="4"/>
  <c r="AL189" i="4"/>
  <c r="AL197" i="4"/>
  <c r="AL205" i="4"/>
  <c r="AL190" i="4"/>
  <c r="AL206" i="4"/>
  <c r="AL191" i="4"/>
  <c r="AL41" i="4"/>
  <c r="AL113" i="4"/>
  <c r="AL169" i="4"/>
  <c r="AL14" i="4"/>
  <c r="AL22" i="4"/>
  <c r="AL30" i="4"/>
  <c r="AL38" i="4"/>
  <c r="AL46" i="4"/>
  <c r="AL54" i="4"/>
  <c r="AL62" i="4"/>
  <c r="AL70" i="4"/>
  <c r="AL78" i="4"/>
  <c r="AL86" i="4"/>
  <c r="AL94" i="4"/>
  <c r="AL102" i="4"/>
  <c r="AL110" i="4"/>
  <c r="AL118" i="4"/>
  <c r="AL126" i="4"/>
  <c r="AL134" i="4"/>
  <c r="AL142" i="4"/>
  <c r="AL150" i="4"/>
  <c r="AL158" i="4"/>
  <c r="AL166" i="4"/>
  <c r="AL174" i="4"/>
  <c r="AL198" i="4"/>
  <c r="AL199" i="4"/>
  <c r="AL49" i="4"/>
  <c r="AL121" i="4"/>
  <c r="AL185" i="4"/>
  <c r="AL15" i="4"/>
  <c r="AL23" i="4"/>
  <c r="AL31" i="4"/>
  <c r="AL39" i="4"/>
  <c r="AL47" i="4"/>
  <c r="AL55" i="4"/>
  <c r="AL63" i="4"/>
  <c r="AL71" i="4"/>
  <c r="AL79" i="4"/>
  <c r="AL87" i="4"/>
  <c r="AL95" i="4"/>
  <c r="AL103" i="4"/>
  <c r="AL111" i="4"/>
  <c r="AL119" i="4"/>
  <c r="AL127" i="4"/>
  <c r="AL135" i="4"/>
  <c r="AL143" i="4"/>
  <c r="AL151" i="4"/>
  <c r="AL159" i="4"/>
  <c r="AL167" i="4"/>
  <c r="AL175" i="4"/>
  <c r="AL25" i="4"/>
  <c r="AL89" i="4"/>
  <c r="AL137" i="4"/>
  <c r="AL193" i="4"/>
  <c r="AL16" i="4"/>
  <c r="AL24" i="4"/>
  <c r="AL32" i="4"/>
  <c r="AL40" i="4"/>
  <c r="AL48" i="4"/>
  <c r="AL56" i="4"/>
  <c r="AL64" i="4"/>
  <c r="AL72" i="4"/>
  <c r="AL80" i="4"/>
  <c r="AL88" i="4"/>
  <c r="AL96" i="4"/>
  <c r="AL104" i="4"/>
  <c r="AL112" i="4"/>
  <c r="AL120" i="4"/>
  <c r="AL128" i="4"/>
  <c r="AL136" i="4"/>
  <c r="AL144" i="4"/>
  <c r="AL152" i="4"/>
  <c r="AL160" i="4"/>
  <c r="AL168" i="4"/>
  <c r="AL176" i="4"/>
  <c r="AL184" i="4"/>
  <c r="AL192" i="4"/>
  <c r="AL200" i="4"/>
  <c r="AL208" i="4"/>
  <c r="AL17" i="4"/>
  <c r="AL65" i="4"/>
  <c r="AL81" i="4"/>
  <c r="AL129" i="4"/>
  <c r="AL177" i="4"/>
  <c r="A35" i="3"/>
  <c r="AR24" i="3"/>
  <c r="AR25" i="3"/>
  <c r="A33" i="3"/>
  <c r="A28" i="3"/>
  <c r="B4" i="11"/>
  <c r="D4" i="11" s="1"/>
  <c r="B6" i="11" s="1"/>
  <c r="D6" i="11" s="1"/>
  <c r="AR26" i="3"/>
  <c r="A29" i="3"/>
  <c r="AQ29" i="3" s="1"/>
  <c r="AR30" i="3"/>
  <c r="AQ25" i="3"/>
  <c r="B26" i="3"/>
  <c r="N44" i="2"/>
  <c r="M44" i="2" s="1"/>
  <c r="C242" i="2" s="1"/>
  <c r="H10" i="4"/>
  <c r="H14" i="4"/>
  <c r="H18" i="4"/>
  <c r="H22" i="4"/>
  <c r="H26" i="4"/>
  <c r="H30" i="4"/>
  <c r="H34" i="4"/>
  <c r="H38" i="4"/>
  <c r="H42" i="4"/>
  <c r="H46" i="4"/>
  <c r="H50" i="4"/>
  <c r="H54" i="4"/>
  <c r="H58" i="4"/>
  <c r="H62" i="4"/>
  <c r="H66" i="4"/>
  <c r="H70" i="4"/>
  <c r="H74" i="4"/>
  <c r="H78" i="4"/>
  <c r="H82" i="4"/>
  <c r="H86" i="4"/>
  <c r="H90" i="4"/>
  <c r="H94" i="4"/>
  <c r="H98" i="4"/>
  <c r="H102" i="4"/>
  <c r="H106" i="4"/>
  <c r="H110" i="4"/>
  <c r="AI110" i="4" s="1"/>
  <c r="H114" i="4"/>
  <c r="AI114" i="4" s="1"/>
  <c r="H118" i="4"/>
  <c r="AI118" i="4" s="1"/>
  <c r="H122" i="4"/>
  <c r="AI122" i="4" s="1"/>
  <c r="H126" i="4"/>
  <c r="AI126" i="4" s="1"/>
  <c r="H130" i="4"/>
  <c r="AI130" i="4" s="1"/>
  <c r="H134" i="4"/>
  <c r="AI134" i="4" s="1"/>
  <c r="H138" i="4"/>
  <c r="AI138" i="4" s="1"/>
  <c r="H142" i="4"/>
  <c r="AI142" i="4" s="1"/>
  <c r="H146" i="4"/>
  <c r="AI146" i="4" s="1"/>
  <c r="H150" i="4"/>
  <c r="AI150" i="4" s="1"/>
  <c r="H154" i="4"/>
  <c r="AI154" i="4" s="1"/>
  <c r="H158" i="4"/>
  <c r="AI158" i="4" s="1"/>
  <c r="H162" i="4"/>
  <c r="AI162" i="4" s="1"/>
  <c r="H166" i="4"/>
  <c r="AI166" i="4" s="1"/>
  <c r="H170" i="4"/>
  <c r="AI170" i="4" s="1"/>
  <c r="H174" i="4"/>
  <c r="AI174" i="4" s="1"/>
  <c r="H178" i="4"/>
  <c r="AI178" i="4" s="1"/>
  <c r="H182" i="4"/>
  <c r="AI182" i="4" s="1"/>
  <c r="H186" i="4"/>
  <c r="AI186" i="4" s="1"/>
  <c r="H190" i="4"/>
  <c r="AI190" i="4" s="1"/>
  <c r="H194" i="4"/>
  <c r="AI194" i="4" s="1"/>
  <c r="H198" i="4"/>
  <c r="AI198" i="4" s="1"/>
  <c r="H202" i="4"/>
  <c r="AI202" i="4" s="1"/>
  <c r="H206" i="4"/>
  <c r="AI206" i="4" s="1"/>
  <c r="H9" i="4"/>
  <c r="H11" i="4"/>
  <c r="H23" i="4"/>
  <c r="H31" i="4"/>
  <c r="H35" i="4"/>
  <c r="H43" i="4"/>
  <c r="H51" i="4"/>
  <c r="H59" i="4"/>
  <c r="H63" i="4"/>
  <c r="H71" i="4"/>
  <c r="H79" i="4"/>
  <c r="H87" i="4"/>
  <c r="H99" i="4"/>
  <c r="H107" i="4"/>
  <c r="H115" i="4"/>
  <c r="AI115" i="4" s="1"/>
  <c r="H123" i="4"/>
  <c r="AI123" i="4" s="1"/>
  <c r="H131" i="4"/>
  <c r="AI131" i="4" s="1"/>
  <c r="H139" i="4"/>
  <c r="AI139" i="4" s="1"/>
  <c r="H147" i="4"/>
  <c r="AI147" i="4" s="1"/>
  <c r="H155" i="4"/>
  <c r="AI155" i="4" s="1"/>
  <c r="H163" i="4"/>
  <c r="AI163" i="4" s="1"/>
  <c r="H171" i="4"/>
  <c r="AI171" i="4" s="1"/>
  <c r="H183" i="4"/>
  <c r="AI183" i="4" s="1"/>
  <c r="H191" i="4"/>
  <c r="AI191" i="4" s="1"/>
  <c r="H199" i="4"/>
  <c r="AI199" i="4" s="1"/>
  <c r="H207" i="4"/>
  <c r="AI207" i="4" s="1"/>
  <c r="H13" i="4"/>
  <c r="H17" i="4"/>
  <c r="H21" i="4"/>
  <c r="H25" i="4"/>
  <c r="H29" i="4"/>
  <c r="H33" i="4"/>
  <c r="H37" i="4"/>
  <c r="H41" i="4"/>
  <c r="H45" i="4"/>
  <c r="H49" i="4"/>
  <c r="H53" i="4"/>
  <c r="H57" i="4"/>
  <c r="H61" i="4"/>
  <c r="H65" i="4"/>
  <c r="H69" i="4"/>
  <c r="H73" i="4"/>
  <c r="H77" i="4"/>
  <c r="H81" i="4"/>
  <c r="H85" i="4"/>
  <c r="AI85" i="4" s="1"/>
  <c r="H89" i="4"/>
  <c r="H93" i="4"/>
  <c r="H97" i="4"/>
  <c r="H101" i="4"/>
  <c r="H105" i="4"/>
  <c r="H109" i="4"/>
  <c r="H113" i="4"/>
  <c r="AI113" i="4" s="1"/>
  <c r="H117" i="4"/>
  <c r="AI117" i="4" s="1"/>
  <c r="H121" i="4"/>
  <c r="AI121" i="4" s="1"/>
  <c r="H125" i="4"/>
  <c r="AI125" i="4" s="1"/>
  <c r="H129" i="4"/>
  <c r="AI129" i="4" s="1"/>
  <c r="H133" i="4"/>
  <c r="AI133" i="4" s="1"/>
  <c r="H137" i="4"/>
  <c r="AI137" i="4" s="1"/>
  <c r="H141" i="4"/>
  <c r="AI141" i="4" s="1"/>
  <c r="H145" i="4"/>
  <c r="AI145" i="4" s="1"/>
  <c r="H149" i="4"/>
  <c r="AI149" i="4" s="1"/>
  <c r="H153" i="4"/>
  <c r="AI153" i="4" s="1"/>
  <c r="H157" i="4"/>
  <c r="AI157" i="4" s="1"/>
  <c r="H161" i="4"/>
  <c r="AI161" i="4" s="1"/>
  <c r="H165" i="4"/>
  <c r="AI165" i="4" s="1"/>
  <c r="H169" i="4"/>
  <c r="AI169" i="4" s="1"/>
  <c r="H173" i="4"/>
  <c r="AI173" i="4" s="1"/>
  <c r="H177" i="4"/>
  <c r="AI177" i="4" s="1"/>
  <c r="H181" i="4"/>
  <c r="AI181" i="4" s="1"/>
  <c r="H185" i="4"/>
  <c r="AI185" i="4" s="1"/>
  <c r="H189" i="4"/>
  <c r="AI189" i="4" s="1"/>
  <c r="H193" i="4"/>
  <c r="AI193" i="4" s="1"/>
  <c r="H197" i="4"/>
  <c r="AI197" i="4" s="1"/>
  <c r="H201" i="4"/>
  <c r="AI201" i="4" s="1"/>
  <c r="H205" i="4"/>
  <c r="AI205" i="4" s="1"/>
  <c r="H209" i="4"/>
  <c r="AI209" i="4" s="1"/>
  <c r="H15" i="4"/>
  <c r="H19" i="4"/>
  <c r="H27" i="4"/>
  <c r="H39" i="4"/>
  <c r="H47" i="4"/>
  <c r="H55" i="4"/>
  <c r="H67" i="4"/>
  <c r="H75" i="4"/>
  <c r="H83" i="4"/>
  <c r="H91" i="4"/>
  <c r="H95" i="4"/>
  <c r="H103" i="4"/>
  <c r="H111" i="4"/>
  <c r="AI111" i="4" s="1"/>
  <c r="H119" i="4"/>
  <c r="AI119" i="4" s="1"/>
  <c r="H127" i="4"/>
  <c r="AI127" i="4" s="1"/>
  <c r="H135" i="4"/>
  <c r="AI135" i="4" s="1"/>
  <c r="H143" i="4"/>
  <c r="AI143" i="4" s="1"/>
  <c r="H151" i="4"/>
  <c r="AI151" i="4" s="1"/>
  <c r="H159" i="4"/>
  <c r="AI159" i="4" s="1"/>
  <c r="H167" i="4"/>
  <c r="AI167" i="4" s="1"/>
  <c r="H175" i="4"/>
  <c r="AI175" i="4" s="1"/>
  <c r="H179" i="4"/>
  <c r="AI179" i="4" s="1"/>
  <c r="H187" i="4"/>
  <c r="AI187" i="4" s="1"/>
  <c r="H195" i="4"/>
  <c r="AI195" i="4" s="1"/>
  <c r="H203" i="4"/>
  <c r="AI203" i="4" s="1"/>
  <c r="H12" i="4"/>
  <c r="H16" i="4"/>
  <c r="H32" i="4"/>
  <c r="H48" i="4"/>
  <c r="H64" i="4"/>
  <c r="H80" i="4"/>
  <c r="H96" i="4"/>
  <c r="H112" i="4"/>
  <c r="AI112" i="4" s="1"/>
  <c r="H128" i="4"/>
  <c r="AI128" i="4" s="1"/>
  <c r="H144" i="4"/>
  <c r="AI144" i="4" s="1"/>
  <c r="H160" i="4"/>
  <c r="AI160" i="4" s="1"/>
  <c r="H176" i="4"/>
  <c r="AI176" i="4" s="1"/>
  <c r="H192" i="4"/>
  <c r="AI192" i="4" s="1"/>
  <c r="H208" i="4"/>
  <c r="AI208" i="4" s="1"/>
  <c r="H20" i="4"/>
  <c r="H36" i="4"/>
  <c r="H52" i="4"/>
  <c r="H68" i="4"/>
  <c r="H84" i="4"/>
  <c r="H100" i="4"/>
  <c r="H116" i="4"/>
  <c r="AI116" i="4" s="1"/>
  <c r="H132" i="4"/>
  <c r="AI132" i="4" s="1"/>
  <c r="H148" i="4"/>
  <c r="AI148" i="4" s="1"/>
  <c r="H164" i="4"/>
  <c r="AI164" i="4" s="1"/>
  <c r="H180" i="4"/>
  <c r="AI180" i="4" s="1"/>
  <c r="H196" i="4"/>
  <c r="AI196" i="4" s="1"/>
  <c r="H24" i="4"/>
  <c r="H40" i="4"/>
  <c r="H56" i="4"/>
  <c r="H72" i="4"/>
  <c r="H88" i="4"/>
  <c r="H104" i="4"/>
  <c r="H120" i="4"/>
  <c r="AI120" i="4" s="1"/>
  <c r="H136" i="4"/>
  <c r="AI136" i="4" s="1"/>
  <c r="H152" i="4"/>
  <c r="AI152" i="4" s="1"/>
  <c r="H168" i="4"/>
  <c r="AI168" i="4" s="1"/>
  <c r="H184" i="4"/>
  <c r="AI184" i="4" s="1"/>
  <c r="H200" i="4"/>
  <c r="AI200" i="4" s="1"/>
  <c r="H28" i="4"/>
  <c r="H44" i="4"/>
  <c r="H60" i="4"/>
  <c r="H76" i="4"/>
  <c r="H92" i="4"/>
  <c r="H108" i="4"/>
  <c r="H124" i="4"/>
  <c r="AI124" i="4" s="1"/>
  <c r="H140" i="4"/>
  <c r="AI140" i="4" s="1"/>
  <c r="H156" i="4"/>
  <c r="AI156" i="4" s="1"/>
  <c r="H172" i="4"/>
  <c r="AI172" i="4" s="1"/>
  <c r="H188" i="4"/>
  <c r="AI188" i="4" s="1"/>
  <c r="H204" i="4"/>
  <c r="AI204" i="4" s="1"/>
  <c r="M66" i="2"/>
  <c r="AM110" i="4"/>
  <c r="AK111" i="4"/>
  <c r="AK112" i="4"/>
  <c r="AM113" i="4"/>
  <c r="AM114" i="4"/>
  <c r="AK115" i="4"/>
  <c r="AK124" i="4"/>
  <c r="AK127" i="4"/>
  <c r="AK128" i="4"/>
  <c r="AM129" i="4"/>
  <c r="AM130" i="4"/>
  <c r="AK131" i="4"/>
  <c r="AK110" i="4"/>
  <c r="AM111" i="4"/>
  <c r="AM112" i="4"/>
  <c r="AK113" i="4"/>
  <c r="AK114" i="4"/>
  <c r="AM115" i="4"/>
  <c r="AK119" i="4"/>
  <c r="AK123" i="4"/>
  <c r="AM124" i="4"/>
  <c r="AK126" i="4"/>
  <c r="AM131" i="4"/>
  <c r="AM132" i="4"/>
  <c r="AM133" i="4"/>
  <c r="AM135" i="4"/>
  <c r="AM136" i="4"/>
  <c r="AM138" i="4"/>
  <c r="AM139" i="4"/>
  <c r="AM140" i="4"/>
  <c r="AM142" i="4"/>
  <c r="AM144" i="4"/>
  <c r="AK145" i="4"/>
  <c r="AM146" i="4"/>
  <c r="AK118" i="4"/>
  <c r="AM119" i="4"/>
  <c r="AK122" i="4"/>
  <c r="AM123" i="4"/>
  <c r="AK125" i="4"/>
  <c r="AM126" i="4"/>
  <c r="AM127" i="4"/>
  <c r="AK137" i="4"/>
  <c r="AK141" i="4"/>
  <c r="AM143" i="4"/>
  <c r="AM116" i="4"/>
  <c r="AM117" i="4"/>
  <c r="AM120" i="4"/>
  <c r="AM121" i="4"/>
  <c r="AM128" i="4"/>
  <c r="AK129" i="4"/>
  <c r="AK133" i="4"/>
  <c r="AM134" i="4"/>
  <c r="AM137" i="4"/>
  <c r="AM141" i="4"/>
  <c r="AK143" i="4"/>
  <c r="AK150" i="4"/>
  <c r="AK151" i="4"/>
  <c r="AK152" i="4"/>
  <c r="AK153" i="4"/>
  <c r="AM154" i="4"/>
  <c r="AM155" i="4"/>
  <c r="AK159" i="4"/>
  <c r="AK160" i="4"/>
  <c r="AM162" i="4"/>
  <c r="AM163" i="4"/>
  <c r="AM164" i="4"/>
  <c r="AM165" i="4"/>
  <c r="AM168" i="4"/>
  <c r="AM170" i="4"/>
  <c r="AM171" i="4"/>
  <c r="AM172" i="4"/>
  <c r="AM173" i="4"/>
  <c r="AM176" i="4"/>
  <c r="AK178" i="4"/>
  <c r="AK181" i="4"/>
  <c r="AM185" i="4"/>
  <c r="AM186" i="4"/>
  <c r="AM187" i="4"/>
  <c r="AK116" i="4"/>
  <c r="AM125" i="4"/>
  <c r="AK132" i="4"/>
  <c r="AK134" i="4"/>
  <c r="AK140" i="4"/>
  <c r="AK146" i="4"/>
  <c r="AM148" i="4"/>
  <c r="AK149" i="4"/>
  <c r="AM151" i="4"/>
  <c r="AK154" i="4"/>
  <c r="AM156" i="4"/>
  <c r="AK161" i="4"/>
  <c r="AK162" i="4"/>
  <c r="AK167" i="4"/>
  <c r="AK169" i="4"/>
  <c r="AK170" i="4"/>
  <c r="AK175" i="4"/>
  <c r="AM183" i="4"/>
  <c r="AK188" i="4"/>
  <c r="AK198" i="4"/>
  <c r="AM202" i="4"/>
  <c r="AK157" i="4"/>
  <c r="AM158" i="4"/>
  <c r="AM159" i="4"/>
  <c r="AK164" i="4"/>
  <c r="AM166" i="4"/>
  <c r="AK172" i="4"/>
  <c r="AM174" i="4"/>
  <c r="AK176" i="4"/>
  <c r="AK177" i="4"/>
  <c r="AM188" i="4"/>
  <c r="AM193" i="4"/>
  <c r="AM197" i="4"/>
  <c r="AM118" i="4"/>
  <c r="AK121" i="4"/>
  <c r="AK138" i="4"/>
  <c r="AK142" i="4"/>
  <c r="AM145" i="4"/>
  <c r="AM149" i="4"/>
  <c r="AM150" i="4"/>
  <c r="AM153" i="4"/>
  <c r="AK158" i="4"/>
  <c r="AM160" i="4"/>
  <c r="AK165" i="4"/>
  <c r="AK166" i="4"/>
  <c r="AM167" i="4"/>
  <c r="AK173" i="4"/>
  <c r="AK174" i="4"/>
  <c r="AM175" i="4"/>
  <c r="AK179" i="4"/>
  <c r="AM180" i="4"/>
  <c r="AK182" i="4"/>
  <c r="AK187" i="4"/>
  <c r="AK189" i="4"/>
  <c r="AK190" i="4"/>
  <c r="AK191" i="4"/>
  <c r="AM192" i="4"/>
  <c r="AK194" i="4"/>
  <c r="AK195" i="4"/>
  <c r="AM196" i="4"/>
  <c r="AK199" i="4"/>
  <c r="AK201" i="4"/>
  <c r="AK203" i="4"/>
  <c r="AM204" i="4"/>
  <c r="AK205" i="4"/>
  <c r="AK206" i="4"/>
  <c r="AK207" i="4"/>
  <c r="AM208" i="4"/>
  <c r="AK209" i="4"/>
  <c r="AK120" i="4"/>
  <c r="AK130" i="4"/>
  <c r="AK135" i="4"/>
  <c r="AK144" i="4"/>
  <c r="AK147" i="4"/>
  <c r="AM161" i="4"/>
  <c r="AM200" i="4"/>
  <c r="AK202" i="4"/>
  <c r="AK117" i="4"/>
  <c r="AM122" i="4"/>
  <c r="AK136" i="4"/>
  <c r="AK139" i="4"/>
  <c r="AM147" i="4"/>
  <c r="AK155" i="4"/>
  <c r="AK156" i="4"/>
  <c r="AM157" i="4"/>
  <c r="AK163" i="4"/>
  <c r="AK171" i="4"/>
  <c r="AM177" i="4"/>
  <c r="AM178" i="4"/>
  <c r="AM179" i="4"/>
  <c r="AK180" i="4"/>
  <c r="AM182" i="4"/>
  <c r="AK183" i="4"/>
  <c r="AM184" i="4"/>
  <c r="AK185" i="4"/>
  <c r="AM189" i="4"/>
  <c r="AM190" i="4"/>
  <c r="AM191" i="4"/>
  <c r="AK192" i="4"/>
  <c r="AM194" i="4"/>
  <c r="AM195" i="4"/>
  <c r="AK196" i="4"/>
  <c r="AM199" i="4"/>
  <c r="AM201" i="4"/>
  <c r="AM203" i="4"/>
  <c r="AK204" i="4"/>
  <c r="AM205" i="4"/>
  <c r="AM206" i="4"/>
  <c r="AM207" i="4"/>
  <c r="AK208" i="4"/>
  <c r="AM209" i="4"/>
  <c r="AK193" i="4"/>
  <c r="AK197" i="4"/>
  <c r="AK200" i="4"/>
  <c r="AK148" i="4"/>
  <c r="AM152" i="4"/>
  <c r="AK168" i="4"/>
  <c r="AM169" i="4"/>
  <c r="AM181" i="4"/>
  <c r="AK184" i="4"/>
  <c r="AK186" i="4"/>
  <c r="AM198" i="4"/>
  <c r="B250" i="2"/>
  <c r="E250" i="2" s="1"/>
  <c r="B38" i="2"/>
  <c r="B25" i="2"/>
  <c r="B26" i="2" s="1"/>
  <c r="B27" i="2"/>
  <c r="B28" i="2" s="1"/>
  <c r="B36" i="2"/>
  <c r="B34" i="2"/>
  <c r="A35" i="16"/>
  <c r="G3" i="8"/>
  <c r="G159" i="8" s="1"/>
  <c r="G158" i="8" s="1"/>
  <c r="G157" i="8" s="1"/>
  <c r="G156" i="8" s="1"/>
  <c r="G155" i="8" s="1"/>
  <c r="G154" i="8" s="1"/>
  <c r="G153" i="8" s="1"/>
  <c r="G152" i="8" s="1"/>
  <c r="G151" i="8" s="1"/>
  <c r="G150" i="8" s="1"/>
  <c r="G149" i="8" s="1"/>
  <c r="G148" i="8" s="1"/>
  <c r="G147" i="8" s="1"/>
  <c r="G146" i="8" s="1"/>
  <c r="G145" i="8" s="1"/>
  <c r="G144" i="8" s="1"/>
  <c r="G143" i="8" s="1"/>
  <c r="G142" i="8" s="1"/>
  <c r="G141" i="8" s="1"/>
  <c r="G140" i="8" s="1"/>
  <c r="G139" i="8" s="1"/>
  <c r="G138" i="8" s="1"/>
  <c r="G137" i="8" s="1"/>
  <c r="G136" i="8" s="1"/>
  <c r="G135" i="8" s="1"/>
  <c r="G134" i="8" s="1"/>
  <c r="G133" i="8" s="1"/>
  <c r="G132" i="8" s="1"/>
  <c r="G131" i="8" s="1"/>
  <c r="G130" i="8" s="1"/>
  <c r="G129" i="8" s="1"/>
  <c r="G128" i="8" s="1"/>
  <c r="G127" i="8" s="1"/>
  <c r="G126" i="8" s="1"/>
  <c r="G125" i="8" s="1"/>
  <c r="G124" i="8" s="1"/>
  <c r="G123" i="8" s="1"/>
  <c r="G122" i="8" s="1"/>
  <c r="G121" i="8" s="1"/>
  <c r="G120" i="8" s="1"/>
  <c r="G119" i="8" s="1"/>
  <c r="G118" i="8" s="1"/>
  <c r="G117" i="8" s="1"/>
  <c r="G116" i="8" s="1"/>
  <c r="G115" i="8" s="1"/>
  <c r="G114" i="8" s="1"/>
  <c r="G113" i="8" s="1"/>
  <c r="G112" i="8" s="1"/>
  <c r="G111" i="8" s="1"/>
  <c r="G110" i="8" s="1"/>
  <c r="G109" i="8" s="1"/>
  <c r="G108" i="8" s="1"/>
  <c r="G107" i="8" s="1"/>
  <c r="G106" i="8" s="1"/>
  <c r="G105" i="8" s="1"/>
  <c r="G104" i="8" s="1"/>
  <c r="G103" i="8" s="1"/>
  <c r="G102" i="8" s="1"/>
  <c r="G101" i="8" s="1"/>
  <c r="G100" i="8" s="1"/>
  <c r="G99" i="8" s="1"/>
  <c r="G98" i="8" s="1"/>
  <c r="G97" i="8" s="1"/>
  <c r="G96" i="8" s="1"/>
  <c r="G95" i="8" s="1"/>
  <c r="G94" i="8" s="1"/>
  <c r="G93" i="8" s="1"/>
  <c r="G92" i="8" s="1"/>
  <c r="G91" i="8" s="1"/>
  <c r="G90" i="8" s="1"/>
  <c r="G89" i="8" s="1"/>
  <c r="G88" i="8" s="1"/>
  <c r="G87" i="8" s="1"/>
  <c r="G86" i="8" s="1"/>
  <c r="G85" i="8" s="1"/>
  <c r="G84" i="8" s="1"/>
  <c r="G83" i="8" s="1"/>
  <c r="G82" i="8" s="1"/>
  <c r="G81" i="8" s="1"/>
  <c r="G80" i="8" s="1"/>
  <c r="G79" i="8" s="1"/>
  <c r="G78" i="8" s="1"/>
  <c r="G77" i="8" s="1"/>
  <c r="G76" i="8" s="1"/>
  <c r="G75" i="8" s="1"/>
  <c r="G74" i="8" s="1"/>
  <c r="G73" i="8" s="1"/>
  <c r="G72" i="8" s="1"/>
  <c r="G71" i="8" s="1"/>
  <c r="G70" i="8" s="1"/>
  <c r="G69" i="8" s="1"/>
  <c r="G68" i="8" s="1"/>
  <c r="G67" i="8" s="1"/>
  <c r="G66" i="8" s="1"/>
  <c r="G65" i="8" s="1"/>
  <c r="G64" i="8" s="1"/>
  <c r="G63" i="8" s="1"/>
  <c r="G62" i="8" s="1"/>
  <c r="G61" i="8" s="1"/>
  <c r="G60" i="8" s="1"/>
  <c r="G59" i="8" s="1"/>
  <c r="G58" i="8" s="1"/>
  <c r="G57" i="8" s="1"/>
  <c r="G56" i="8" s="1"/>
  <c r="G55" i="8" s="1"/>
  <c r="G54" i="8" s="1"/>
  <c r="G53" i="8" s="1"/>
  <c r="G52" i="8" s="1"/>
  <c r="G51" i="8" s="1"/>
  <c r="G50" i="8" s="1"/>
  <c r="G49" i="8" s="1"/>
  <c r="G48" i="8" s="1"/>
  <c r="G47" i="8" s="1"/>
  <c r="G46" i="8" s="1"/>
  <c r="G45" i="8" s="1"/>
  <c r="G44" i="8" s="1"/>
  <c r="G43" i="8" s="1"/>
  <c r="G42" i="8" s="1"/>
  <c r="G41" i="8" s="1"/>
  <c r="G40" i="8" s="1"/>
  <c r="G39" i="8" s="1"/>
  <c r="G38" i="8" s="1"/>
  <c r="G37" i="8" s="1"/>
  <c r="G36" i="8" s="1"/>
  <c r="G35" i="8" s="1"/>
  <c r="G34" i="8" s="1"/>
  <c r="G33" i="8" s="1"/>
  <c r="G32" i="8" s="1"/>
  <c r="G31" i="8" s="1"/>
  <c r="G30" i="8" s="1"/>
  <c r="G29" i="8" s="1"/>
  <c r="G28" i="8" s="1"/>
  <c r="G27" i="8" s="1"/>
  <c r="G26" i="8" s="1"/>
  <c r="G25" i="8" s="1"/>
  <c r="G24" i="8" s="1"/>
  <c r="G23" i="8" s="1"/>
  <c r="G22" i="8" s="1"/>
  <c r="G21" i="8" s="1"/>
  <c r="G20" i="8" s="1"/>
  <c r="G19" i="8" s="1"/>
  <c r="G18" i="8" s="1"/>
  <c r="G17" i="8" s="1"/>
  <c r="G16" i="8" s="1"/>
  <c r="G15" i="8" s="1"/>
  <c r="G14" i="8" s="1"/>
  <c r="G13" i="8" s="1"/>
  <c r="G12" i="8" s="1"/>
  <c r="G11" i="8" s="1"/>
  <c r="G10" i="8" s="1"/>
  <c r="G9" i="8" s="1"/>
  <c r="G8" i="8" s="1"/>
  <c r="G7" i="8" s="1"/>
  <c r="G6" i="8" s="1"/>
  <c r="G4" i="8" s="1"/>
  <c r="B90" i="2"/>
  <c r="B3" i="8" s="1"/>
  <c r="B159" i="8" s="1"/>
  <c r="B158" i="8" s="1"/>
  <c r="B157" i="8" s="1"/>
  <c r="B156" i="8" s="1"/>
  <c r="B155" i="8" s="1"/>
  <c r="B154" i="8" s="1"/>
  <c r="B153" i="8" s="1"/>
  <c r="B152" i="8" s="1"/>
  <c r="B151" i="8" s="1"/>
  <c r="B150" i="8" s="1"/>
  <c r="B149" i="8" s="1"/>
  <c r="B148" i="8" s="1"/>
  <c r="B147" i="8" s="1"/>
  <c r="B146" i="8" s="1"/>
  <c r="B145" i="8" s="1"/>
  <c r="B144" i="8" s="1"/>
  <c r="B143" i="8" s="1"/>
  <c r="B142" i="8" s="1"/>
  <c r="B141" i="8" s="1"/>
  <c r="B140" i="8" s="1"/>
  <c r="B139" i="8" s="1"/>
  <c r="B138" i="8" s="1"/>
  <c r="B137" i="8" s="1"/>
  <c r="B136" i="8" s="1"/>
  <c r="B135" i="8" s="1"/>
  <c r="B134" i="8" s="1"/>
  <c r="B133" i="8" s="1"/>
  <c r="B132" i="8" s="1"/>
  <c r="B131" i="8" s="1"/>
  <c r="B130" i="8" s="1"/>
  <c r="B129" i="8" s="1"/>
  <c r="B128" i="8" s="1"/>
  <c r="B127" i="8" s="1"/>
  <c r="B126" i="8" s="1"/>
  <c r="B125" i="8" s="1"/>
  <c r="B124" i="8" s="1"/>
  <c r="B123" i="8" s="1"/>
  <c r="B122" i="8" s="1"/>
  <c r="B121" i="8" s="1"/>
  <c r="B120" i="8" s="1"/>
  <c r="B119" i="8" s="1"/>
  <c r="B118" i="8" s="1"/>
  <c r="B117" i="8" s="1"/>
  <c r="B116" i="8" s="1"/>
  <c r="B115" i="8" s="1"/>
  <c r="B114" i="8" s="1"/>
  <c r="B113" i="8" s="1"/>
  <c r="B112" i="8" s="1"/>
  <c r="B111" i="8" s="1"/>
  <c r="B110" i="8" s="1"/>
  <c r="B109" i="8" s="1"/>
  <c r="B108" i="8" s="1"/>
  <c r="B107" i="8" s="1"/>
  <c r="B106" i="8" s="1"/>
  <c r="B105" i="8" s="1"/>
  <c r="B104" i="8" s="1"/>
  <c r="B103" i="8" s="1"/>
  <c r="B102" i="8" s="1"/>
  <c r="B101" i="8" s="1"/>
  <c r="B100" i="8" s="1"/>
  <c r="B99" i="8" s="1"/>
  <c r="B98" i="8" s="1"/>
  <c r="B97" i="8" s="1"/>
  <c r="B96" i="8" s="1"/>
  <c r="B95" i="8" s="1"/>
  <c r="B94" i="8" s="1"/>
  <c r="B93" i="8" s="1"/>
  <c r="B92" i="8" s="1"/>
  <c r="B91" i="8" s="1"/>
  <c r="B90" i="8" s="1"/>
  <c r="B89" i="8" s="1"/>
  <c r="B88" i="8" s="1"/>
  <c r="B87" i="8" s="1"/>
  <c r="B86" i="8" s="1"/>
  <c r="B85" i="8" s="1"/>
  <c r="B84" i="8" s="1"/>
  <c r="B83" i="8" s="1"/>
  <c r="B82" i="8" s="1"/>
  <c r="B81" i="8" s="1"/>
  <c r="B80" i="8" s="1"/>
  <c r="B79" i="8" s="1"/>
  <c r="B78" i="8" s="1"/>
  <c r="B77" i="8" s="1"/>
  <c r="B76" i="8" s="1"/>
  <c r="B75" i="8" s="1"/>
  <c r="B74" i="8" s="1"/>
  <c r="B73" i="8" s="1"/>
  <c r="B72" i="8" s="1"/>
  <c r="B71" i="8" s="1"/>
  <c r="B70" i="8" s="1"/>
  <c r="B69" i="8" s="1"/>
  <c r="B68" i="8" s="1"/>
  <c r="B67" i="8" s="1"/>
  <c r="B66" i="8" s="1"/>
  <c r="B65" i="8" s="1"/>
  <c r="B64" i="8" s="1"/>
  <c r="B63" i="8" s="1"/>
  <c r="B62" i="8" s="1"/>
  <c r="B61" i="8" s="1"/>
  <c r="B60" i="8" s="1"/>
  <c r="B59" i="8" s="1"/>
  <c r="B58" i="8" s="1"/>
  <c r="B57" i="8" s="1"/>
  <c r="B56" i="8" s="1"/>
  <c r="B55" i="8" s="1"/>
  <c r="B54" i="8" s="1"/>
  <c r="B53" i="8" s="1"/>
  <c r="B52" i="8" s="1"/>
  <c r="B51" i="8" s="1"/>
  <c r="B50" i="8" s="1"/>
  <c r="B49" i="8" s="1"/>
  <c r="B48" i="8" s="1"/>
  <c r="B47" i="8" s="1"/>
  <c r="B46" i="8" s="1"/>
  <c r="B45" i="8" s="1"/>
  <c r="B44" i="8" s="1"/>
  <c r="B43" i="8" s="1"/>
  <c r="B42" i="8" s="1"/>
  <c r="B41" i="8" s="1"/>
  <c r="B40" i="8" s="1"/>
  <c r="B39" i="8" s="1"/>
  <c r="B38" i="8" s="1"/>
  <c r="B37" i="8" s="1"/>
  <c r="B36" i="8" s="1"/>
  <c r="B35" i="8" s="1"/>
  <c r="B34" i="8" s="1"/>
  <c r="B33" i="8" s="1"/>
  <c r="B32" i="8" s="1"/>
  <c r="B31" i="8" s="1"/>
  <c r="B30" i="8" s="1"/>
  <c r="B29" i="8" s="1"/>
  <c r="B28" i="8" s="1"/>
  <c r="B27" i="8" s="1"/>
  <c r="B26" i="8" s="1"/>
  <c r="B25" i="8" s="1"/>
  <c r="B24" i="8" s="1"/>
  <c r="B23" i="8" s="1"/>
  <c r="B22" i="8" s="1"/>
  <c r="B21" i="8" s="1"/>
  <c r="B20" i="8" s="1"/>
  <c r="B19" i="8" s="1"/>
  <c r="B18" i="8" s="1"/>
  <c r="B17" i="8" s="1"/>
  <c r="B16" i="8" s="1"/>
  <c r="B15" i="8" s="1"/>
  <c r="B14" i="8" s="1"/>
  <c r="B13" i="8" s="1"/>
  <c r="B12" i="8" s="1"/>
  <c r="B11" i="8" s="1"/>
  <c r="B10" i="8" s="1"/>
  <c r="B9" i="8" s="1"/>
  <c r="B8" i="8" s="1"/>
  <c r="B7" i="8" s="1"/>
  <c r="B6" i="8" s="1"/>
  <c r="B4" i="8" s="1"/>
  <c r="B131" i="2"/>
  <c r="J136" i="3" s="1"/>
  <c r="AK10" i="4"/>
  <c r="B19" i="4"/>
  <c r="B34" i="3"/>
  <c r="AR34" i="3"/>
  <c r="AQ34" i="3"/>
  <c r="AQ24" i="3"/>
  <c r="B248" i="2"/>
  <c r="B18" i="4"/>
  <c r="AK24" i="4"/>
  <c r="AJ173" i="3"/>
  <c r="AJ565" i="3"/>
  <c r="AK57" i="4"/>
  <c r="C273" i="2"/>
  <c r="AJ19" i="3"/>
  <c r="AJ175" i="3"/>
  <c r="AJ150" i="3"/>
  <c r="R4" i="8"/>
  <c r="S4" i="8" s="1"/>
  <c r="E13" i="1" s="1"/>
  <c r="B23" i="2"/>
  <c r="B85" i="2" s="1"/>
  <c r="AJ264" i="3"/>
  <c r="AJ522" i="3"/>
  <c r="AJ512" i="3"/>
  <c r="AJ71" i="3"/>
  <c r="AJ553" i="3"/>
  <c r="AJ136" i="3"/>
  <c r="AJ545" i="3"/>
  <c r="AJ195" i="3"/>
  <c r="AJ281" i="3"/>
  <c r="AJ634" i="3"/>
  <c r="AJ384" i="3"/>
  <c r="AJ475" i="3"/>
  <c r="AJ322" i="3"/>
  <c r="AJ434" i="3"/>
  <c r="AJ463" i="3"/>
  <c r="AJ328" i="3"/>
  <c r="AJ200" i="3"/>
  <c r="AJ72" i="3"/>
  <c r="AJ241" i="3"/>
  <c r="AJ639" i="3"/>
  <c r="AJ394" i="3"/>
  <c r="AJ511" i="3"/>
  <c r="AJ105" i="3"/>
  <c r="AJ437" i="3"/>
  <c r="AJ666" i="3"/>
  <c r="AJ576" i="3"/>
  <c r="AJ448" i="3"/>
  <c r="AJ303" i="3"/>
  <c r="AJ603" i="3"/>
  <c r="AJ347" i="3"/>
  <c r="AJ236" i="3"/>
  <c r="AJ66" i="3"/>
  <c r="AJ18" i="3"/>
  <c r="AJ606" i="3"/>
  <c r="AJ187" i="3"/>
  <c r="AJ253" i="3"/>
  <c r="AJ296" i="3"/>
  <c r="AJ232" i="3"/>
  <c r="AJ168" i="3"/>
  <c r="AJ104" i="3"/>
  <c r="AJ40" i="3"/>
  <c r="AJ85" i="3"/>
  <c r="AJ417" i="3"/>
  <c r="AJ671" i="3"/>
  <c r="AJ586" i="3"/>
  <c r="AJ458" i="3"/>
  <c r="AJ323" i="3"/>
  <c r="R10" i="8"/>
  <c r="S10" i="8" s="1"/>
  <c r="AJ383" i="3"/>
  <c r="AJ41" i="3"/>
  <c r="AJ153" i="3"/>
  <c r="AJ373" i="3"/>
  <c r="AJ501" i="3"/>
  <c r="AJ674" i="3"/>
  <c r="AJ650" i="3"/>
  <c r="AJ608" i="3"/>
  <c r="AJ544" i="3"/>
  <c r="AJ480" i="3"/>
  <c r="AJ416" i="3"/>
  <c r="AJ352" i="3"/>
  <c r="AJ239" i="3"/>
  <c r="AJ91" i="3"/>
  <c r="AJ539" i="3"/>
  <c r="AJ411" i="3"/>
  <c r="AJ229" i="3"/>
  <c r="AJ278" i="3"/>
  <c r="AJ194" i="3"/>
  <c r="AJ108" i="3"/>
  <c r="AJ28" i="3"/>
  <c r="AJ377" i="3"/>
  <c r="AJ659" i="3"/>
  <c r="AJ518" i="3"/>
  <c r="AJ141" i="3"/>
  <c r="AJ688" i="3"/>
  <c r="AK25" i="4"/>
  <c r="F64" i="1"/>
  <c r="N159" i="8"/>
  <c r="N158" i="8" s="1"/>
  <c r="N157" i="8" s="1"/>
  <c r="N156" i="8" s="1"/>
  <c r="N155" i="8" s="1"/>
  <c r="N154" i="8" s="1"/>
  <c r="N153" i="8" s="1"/>
  <c r="N152" i="8" s="1"/>
  <c r="N151" i="8" s="1"/>
  <c r="N150" i="8" s="1"/>
  <c r="N149" i="8" s="1"/>
  <c r="N148" i="8" s="1"/>
  <c r="N147" i="8" s="1"/>
  <c r="N146" i="8" s="1"/>
  <c r="N145" i="8" s="1"/>
  <c r="N144" i="8" s="1"/>
  <c r="N143" i="8" s="1"/>
  <c r="N142" i="8" s="1"/>
  <c r="N141" i="8" s="1"/>
  <c r="N140" i="8" s="1"/>
  <c r="N139" i="8" s="1"/>
  <c r="N138" i="8" s="1"/>
  <c r="N137" i="8" s="1"/>
  <c r="N136" i="8" s="1"/>
  <c r="N135" i="8" s="1"/>
  <c r="N134" i="8" s="1"/>
  <c r="N133" i="8" s="1"/>
  <c r="N132" i="8" s="1"/>
  <c r="N131" i="8" s="1"/>
  <c r="N130" i="8" s="1"/>
  <c r="N129" i="8" s="1"/>
  <c r="N128" i="8" s="1"/>
  <c r="N127" i="8" s="1"/>
  <c r="N126" i="8" s="1"/>
  <c r="N125" i="8" s="1"/>
  <c r="N124" i="8" s="1"/>
  <c r="N123" i="8" s="1"/>
  <c r="N122" i="8" s="1"/>
  <c r="N121" i="8" s="1"/>
  <c r="N120" i="8" s="1"/>
  <c r="N119" i="8" s="1"/>
  <c r="N118" i="8" s="1"/>
  <c r="N117" i="8" s="1"/>
  <c r="N116" i="8" s="1"/>
  <c r="N115" i="8" s="1"/>
  <c r="N114" i="8" s="1"/>
  <c r="N113" i="8" s="1"/>
  <c r="N112" i="8" s="1"/>
  <c r="N111" i="8" s="1"/>
  <c r="N110" i="8" s="1"/>
  <c r="N109" i="8" s="1"/>
  <c r="N108" i="8" s="1"/>
  <c r="N107" i="8" s="1"/>
  <c r="N106" i="8" s="1"/>
  <c r="N105" i="8" s="1"/>
  <c r="N104" i="8" s="1"/>
  <c r="N103" i="8" s="1"/>
  <c r="N102" i="8" s="1"/>
  <c r="N101" i="8" s="1"/>
  <c r="N100" i="8" s="1"/>
  <c r="N99" i="8" s="1"/>
  <c r="N98" i="8" s="1"/>
  <c r="N97" i="8" s="1"/>
  <c r="N96" i="8" s="1"/>
  <c r="N95" i="8" s="1"/>
  <c r="N94" i="8" s="1"/>
  <c r="N93" i="8" s="1"/>
  <c r="N92" i="8" s="1"/>
  <c r="N91" i="8" s="1"/>
  <c r="N90" i="8" s="1"/>
  <c r="N89" i="8" s="1"/>
  <c r="N88" i="8" s="1"/>
  <c r="N87" i="8" s="1"/>
  <c r="N86" i="8" s="1"/>
  <c r="N85" i="8" s="1"/>
  <c r="N84" i="8" s="1"/>
  <c r="N83" i="8" s="1"/>
  <c r="N82" i="8" s="1"/>
  <c r="N81" i="8" s="1"/>
  <c r="N80" i="8" s="1"/>
  <c r="N79" i="8" s="1"/>
  <c r="N78" i="8" s="1"/>
  <c r="N77" i="8" s="1"/>
  <c r="N76" i="8" s="1"/>
  <c r="N75" i="8" s="1"/>
  <c r="N74" i="8" s="1"/>
  <c r="N73" i="8" s="1"/>
  <c r="N72" i="8" s="1"/>
  <c r="N71" i="8" s="1"/>
  <c r="N70" i="8" s="1"/>
  <c r="N69" i="8" s="1"/>
  <c r="N68" i="8" s="1"/>
  <c r="N67" i="8" s="1"/>
  <c r="N66" i="8" s="1"/>
  <c r="N65" i="8" s="1"/>
  <c r="N64" i="8" s="1"/>
  <c r="N63" i="8" s="1"/>
  <c r="N62" i="8" s="1"/>
  <c r="N61" i="8" s="1"/>
  <c r="N60" i="8" s="1"/>
  <c r="N59" i="8" s="1"/>
  <c r="N58" i="8" s="1"/>
  <c r="N57" i="8" s="1"/>
  <c r="N56" i="8" s="1"/>
  <c r="N55" i="8" s="1"/>
  <c r="N54" i="8" s="1"/>
  <c r="N53" i="8" s="1"/>
  <c r="N52" i="8" s="1"/>
  <c r="N51" i="8" s="1"/>
  <c r="N50" i="8" s="1"/>
  <c r="N49" i="8" s="1"/>
  <c r="N48" i="8" s="1"/>
  <c r="N47" i="8" s="1"/>
  <c r="N46" i="8" s="1"/>
  <c r="N45" i="8" s="1"/>
  <c r="N44" i="8" s="1"/>
  <c r="N43" i="8" s="1"/>
  <c r="N42" i="8" s="1"/>
  <c r="N41" i="8" s="1"/>
  <c r="N40" i="8" s="1"/>
  <c r="N39" i="8" s="1"/>
  <c r="N38" i="8" s="1"/>
  <c r="N37" i="8" s="1"/>
  <c r="N36" i="8" s="1"/>
  <c r="N35" i="8" s="1"/>
  <c r="N34" i="8" s="1"/>
  <c r="N33" i="8" s="1"/>
  <c r="N32" i="8" s="1"/>
  <c r="N31" i="8" s="1"/>
  <c r="N30" i="8" s="1"/>
  <c r="N29" i="8" s="1"/>
  <c r="N28" i="8" s="1"/>
  <c r="N27" i="8" s="1"/>
  <c r="N26" i="8" s="1"/>
  <c r="N25" i="8" s="1"/>
  <c r="N24" i="8" s="1"/>
  <c r="N23" i="8" s="1"/>
  <c r="N22" i="8" s="1"/>
  <c r="N21" i="8" s="1"/>
  <c r="N20" i="8" s="1"/>
  <c r="N19" i="8" s="1"/>
  <c r="N18" i="8" s="1"/>
  <c r="N17" i="8" s="1"/>
  <c r="N16" i="8" s="1"/>
  <c r="N15" i="8" s="1"/>
  <c r="N14" i="8" s="1"/>
  <c r="N13" i="8" s="1"/>
  <c r="N12" i="8" s="1"/>
  <c r="N11" i="8" s="1"/>
  <c r="N10" i="8" s="1"/>
  <c r="N9" i="8" s="1"/>
  <c r="N8" i="8" s="1"/>
  <c r="N7" i="8" s="1"/>
  <c r="N6" i="8" s="1"/>
  <c r="B53" i="4"/>
  <c r="B22" i="4"/>
  <c r="B194" i="2"/>
  <c r="B45" i="4" s="1"/>
  <c r="B14" i="4"/>
  <c r="AJ375" i="3"/>
  <c r="AJ551" i="3"/>
  <c r="B127" i="2"/>
  <c r="B153" i="2" s="1"/>
  <c r="B146" i="2" s="1"/>
  <c r="AJ312" i="3"/>
  <c r="AJ280" i="3"/>
  <c r="AJ248" i="3"/>
  <c r="AJ216" i="3"/>
  <c r="AJ184" i="3"/>
  <c r="AJ152" i="3"/>
  <c r="AJ120" i="3"/>
  <c r="AJ88" i="3"/>
  <c r="AJ56" i="3"/>
  <c r="AJ29" i="3"/>
  <c r="AJ16" i="3"/>
  <c r="AJ95" i="3"/>
  <c r="AJ353" i="3"/>
  <c r="AJ481" i="3"/>
  <c r="AJ609" i="3"/>
  <c r="AJ655" i="3"/>
  <c r="AJ618" i="3"/>
  <c r="AJ554" i="3"/>
  <c r="AJ490" i="3"/>
  <c r="AJ426" i="3"/>
  <c r="AJ362" i="3"/>
  <c r="AJ259" i="3"/>
  <c r="AJ131" i="3"/>
  <c r="AJ575" i="3"/>
  <c r="AJ447" i="3"/>
  <c r="AJ301" i="3"/>
  <c r="AJ73" i="3"/>
  <c r="AJ47" i="3"/>
  <c r="AJ217" i="3"/>
  <c r="AJ341" i="3"/>
  <c r="AJ405" i="3"/>
  <c r="AJ469" i="3"/>
  <c r="AJ533" i="3"/>
  <c r="AJ597" i="3"/>
  <c r="AJ687" i="3"/>
  <c r="AJ658" i="3"/>
  <c r="AJ642" i="3"/>
  <c r="AJ624" i="3"/>
  <c r="AJ592" i="3"/>
  <c r="AJ560" i="3"/>
  <c r="AJ528" i="3"/>
  <c r="AJ496" i="3"/>
  <c r="AJ464" i="3"/>
  <c r="AJ432" i="3"/>
  <c r="AJ400" i="3"/>
  <c r="AJ368" i="3"/>
  <c r="AJ335" i="3"/>
  <c r="AJ271" i="3"/>
  <c r="AJ207" i="3"/>
  <c r="AJ143" i="3"/>
  <c r="AJ14" i="3"/>
  <c r="AJ571" i="3"/>
  <c r="AJ507" i="3"/>
  <c r="AJ443" i="3"/>
  <c r="AJ379" i="3"/>
  <c r="AJ293" i="3"/>
  <c r="AJ165" i="3"/>
  <c r="AJ300" i="3"/>
  <c r="AJ258" i="3"/>
  <c r="AJ214" i="3"/>
  <c r="AJ172" i="3"/>
  <c r="AJ130" i="3"/>
  <c r="AJ86" i="3"/>
  <c r="AJ44" i="3"/>
  <c r="AJ13" i="3"/>
  <c r="AJ61" i="3"/>
  <c r="AJ257" i="3"/>
  <c r="AJ465" i="3"/>
  <c r="AJ675" i="3"/>
  <c r="AJ637" i="3"/>
  <c r="AJ562" i="3"/>
  <c r="AJ478" i="3"/>
  <c r="AJ390" i="3"/>
  <c r="AJ275" i="3"/>
  <c r="AJ83" i="3"/>
  <c r="AK67" i="4"/>
  <c r="AK89" i="4"/>
  <c r="AK15" i="4"/>
  <c r="AJ583" i="3"/>
  <c r="B25" i="4"/>
  <c r="B171" i="2"/>
  <c r="AJ333" i="3"/>
  <c r="AJ423" i="3"/>
  <c r="AJ503" i="3"/>
  <c r="AJ591" i="3"/>
  <c r="AJ336" i="3"/>
  <c r="AJ320" i="3"/>
  <c r="AJ304" i="3"/>
  <c r="AJ288" i="3"/>
  <c r="AJ272" i="3"/>
  <c r="AJ256" i="3"/>
  <c r="AJ240" i="3"/>
  <c r="AJ224" i="3"/>
  <c r="AJ208" i="3"/>
  <c r="AJ192" i="3"/>
  <c r="AJ176" i="3"/>
  <c r="AJ160" i="3"/>
  <c r="AJ144" i="3"/>
  <c r="AJ128" i="3"/>
  <c r="AJ112" i="3"/>
  <c r="AJ96" i="3"/>
  <c r="AJ80" i="3"/>
  <c r="AJ64" i="3"/>
  <c r="AJ48" i="3"/>
  <c r="AJ35" i="3"/>
  <c r="AJ24" i="3"/>
  <c r="AJ11" i="3"/>
  <c r="AJ53" i="3"/>
  <c r="AJ117" i="3"/>
  <c r="AJ177" i="3"/>
  <c r="AJ305" i="3"/>
  <c r="AJ385" i="3"/>
  <c r="AJ449" i="3"/>
  <c r="AJ513" i="3"/>
  <c r="AJ577" i="3"/>
  <c r="AJ682" i="3"/>
  <c r="AJ663" i="3"/>
  <c r="AJ647" i="3"/>
  <c r="AJ631" i="3"/>
  <c r="AJ602" i="3"/>
  <c r="AJ570" i="3"/>
  <c r="AJ538" i="3"/>
  <c r="AJ506" i="3"/>
  <c r="AJ474" i="3"/>
  <c r="AJ442" i="3"/>
  <c r="AJ410" i="3"/>
  <c r="AJ378" i="3"/>
  <c r="AJ346" i="3"/>
  <c r="AJ291" i="3"/>
  <c r="AJ227" i="3"/>
  <c r="AJ163" i="3"/>
  <c r="AJ67" i="3"/>
  <c r="AJ607" i="3"/>
  <c r="AJ543" i="3"/>
  <c r="AJ479" i="3"/>
  <c r="AJ415" i="3"/>
  <c r="AJ351" i="3"/>
  <c r="AJ237" i="3"/>
  <c r="AJ87" i="3"/>
  <c r="AJ57" i="3"/>
  <c r="AJ89" i="3"/>
  <c r="AJ121" i="3"/>
  <c r="AJ111" i="3"/>
  <c r="AJ185" i="3"/>
  <c r="AJ249" i="3"/>
  <c r="AJ313" i="3"/>
  <c r="AJ357" i="3"/>
  <c r="AJ389" i="3"/>
  <c r="AJ421" i="3"/>
  <c r="AJ453" i="3"/>
  <c r="AJ485" i="3"/>
  <c r="AJ517" i="3"/>
  <c r="AJ549" i="3"/>
  <c r="AJ581" i="3"/>
  <c r="AJ613" i="3"/>
  <c r="AJ683" i="3"/>
  <c r="AJ670" i="3"/>
  <c r="AJ662" i="3"/>
  <c r="AJ654" i="3"/>
  <c r="AJ646" i="3"/>
  <c r="AJ638" i="3"/>
  <c r="AJ630" i="3"/>
  <c r="AJ616" i="3"/>
  <c r="AJ600" i="3"/>
  <c r="AJ584" i="3"/>
  <c r="AJ568" i="3"/>
  <c r="AJ552" i="3"/>
  <c r="AJ536" i="3"/>
  <c r="AJ520" i="3"/>
  <c r="AJ504" i="3"/>
  <c r="AJ488" i="3"/>
  <c r="AJ472" i="3"/>
  <c r="AJ456" i="3"/>
  <c r="AJ440" i="3"/>
  <c r="AJ424" i="3"/>
  <c r="AJ408" i="3"/>
  <c r="AJ392" i="3"/>
  <c r="AJ376" i="3"/>
  <c r="AJ360" i="3"/>
  <c r="AJ344" i="3"/>
  <c r="AJ319" i="3"/>
  <c r="AJ287" i="3"/>
  <c r="AJ255" i="3"/>
  <c r="AJ223" i="3"/>
  <c r="AJ191" i="3"/>
  <c r="AJ159" i="3"/>
  <c r="AJ123" i="3"/>
  <c r="AJ59" i="3"/>
  <c r="AJ619" i="3"/>
  <c r="AJ587" i="3"/>
  <c r="AJ555" i="3"/>
  <c r="AJ523" i="3"/>
  <c r="AJ491" i="3"/>
  <c r="AJ459" i="3"/>
  <c r="AJ427" i="3"/>
  <c r="AJ395" i="3"/>
  <c r="AJ363" i="3"/>
  <c r="AJ325" i="3"/>
  <c r="AJ261" i="3"/>
  <c r="AJ197" i="3"/>
  <c r="AJ133" i="3"/>
  <c r="AJ34" i="3"/>
  <c r="AK98" i="4"/>
  <c r="AJ332" i="3"/>
  <c r="AJ310" i="3"/>
  <c r="AJ290" i="3"/>
  <c r="AJ268" i="3"/>
  <c r="AJ246" i="3"/>
  <c r="AJ226" i="3"/>
  <c r="AJ204" i="3"/>
  <c r="AJ182" i="3"/>
  <c r="AJ162" i="3"/>
  <c r="AJ140" i="3"/>
  <c r="AJ118" i="3"/>
  <c r="AJ98" i="3"/>
  <c r="AJ76" i="3"/>
  <c r="AJ54" i="3"/>
  <c r="AJ36" i="3"/>
  <c r="AJ21" i="3"/>
  <c r="AJ101" i="3"/>
  <c r="AJ161" i="3"/>
  <c r="AJ337" i="3"/>
  <c r="AJ425" i="3"/>
  <c r="AJ505" i="3"/>
  <c r="AJ593" i="3"/>
  <c r="AJ669" i="3"/>
  <c r="AJ649" i="3"/>
  <c r="AJ626" i="3"/>
  <c r="AJ582" i="3"/>
  <c r="AJ542" i="3"/>
  <c r="AJ498" i="3"/>
  <c r="AJ454" i="3"/>
  <c r="AJ414" i="3"/>
  <c r="AJ370" i="3"/>
  <c r="AJ315" i="3"/>
  <c r="AJ235" i="3"/>
  <c r="AJ147" i="3"/>
  <c r="AK77" i="4"/>
  <c r="AK45" i="4"/>
  <c r="AK90" i="4"/>
  <c r="AK78" i="4"/>
  <c r="AK36" i="4"/>
  <c r="AJ359" i="3"/>
  <c r="AJ471" i="3"/>
  <c r="AK106" i="4"/>
  <c r="AK38" i="4"/>
  <c r="AK108" i="4"/>
  <c r="AK14" i="4"/>
  <c r="AK35" i="4"/>
  <c r="AK56" i="4"/>
  <c r="AK79" i="4"/>
  <c r="AK100" i="4"/>
  <c r="AK42" i="4"/>
  <c r="AK34" i="4"/>
  <c r="AK96" i="4"/>
  <c r="AK68" i="4"/>
  <c r="AK47" i="4"/>
  <c r="B54" i="4"/>
  <c r="B224" i="2"/>
  <c r="B39" i="4"/>
  <c r="B77" i="4"/>
  <c r="B223" i="2"/>
  <c r="AJ55" i="3"/>
  <c r="AJ205" i="3"/>
  <c r="AJ317" i="3"/>
  <c r="AJ391" i="3"/>
  <c r="AJ439" i="3"/>
  <c r="AJ495" i="3"/>
  <c r="AJ559" i="3"/>
  <c r="AJ615" i="3"/>
  <c r="AJ26" i="3"/>
  <c r="AJ115" i="3"/>
  <c r="AJ171" i="3"/>
  <c r="AJ211" i="3"/>
  <c r="AJ251" i="3"/>
  <c r="AJ299" i="3"/>
  <c r="AJ338" i="3"/>
  <c r="AJ358" i="3"/>
  <c r="AJ382" i="3"/>
  <c r="AJ402" i="3"/>
  <c r="AJ422" i="3"/>
  <c r="AJ446" i="3"/>
  <c r="AJ466" i="3"/>
  <c r="AJ486" i="3"/>
  <c r="AJ510" i="3"/>
  <c r="AJ530" i="3"/>
  <c r="AJ550" i="3"/>
  <c r="AJ574" i="3"/>
  <c r="AJ594" i="3"/>
  <c r="AJ614" i="3"/>
  <c r="AJ633" i="3"/>
  <c r="AJ643" i="3"/>
  <c r="AJ653" i="3"/>
  <c r="AJ665" i="3"/>
  <c r="AJ686" i="3"/>
  <c r="AJ617" i="3"/>
  <c r="AJ569" i="3"/>
  <c r="AJ529" i="3"/>
  <c r="AJ489" i="3"/>
  <c r="AJ441" i="3"/>
  <c r="AJ401" i="3"/>
  <c r="AJ361" i="3"/>
  <c r="AJ289" i="3"/>
  <c r="AJ209" i="3"/>
  <c r="AJ127" i="3"/>
  <c r="AJ125" i="3"/>
  <c r="AJ77" i="3"/>
  <c r="AJ30" i="3"/>
  <c r="AJ17" i="3"/>
  <c r="AJ25" i="3"/>
  <c r="AJ32" i="3"/>
  <c r="AJ38" i="3"/>
  <c r="AJ50" i="3"/>
  <c r="AJ60" i="3"/>
  <c r="AJ70" i="3"/>
  <c r="AJ82" i="3"/>
  <c r="AJ92" i="3"/>
  <c r="AJ102" i="3"/>
  <c r="AJ114" i="3"/>
  <c r="AJ124" i="3"/>
  <c r="AJ134" i="3"/>
  <c r="AJ146" i="3"/>
  <c r="AJ156" i="3"/>
  <c r="AJ166" i="3"/>
  <c r="AJ178" i="3"/>
  <c r="AJ188" i="3"/>
  <c r="AJ198" i="3"/>
  <c r="AJ210" i="3"/>
  <c r="AJ220" i="3"/>
  <c r="AJ230" i="3"/>
  <c r="AJ242" i="3"/>
  <c r="AJ252" i="3"/>
  <c r="AJ262" i="3"/>
  <c r="AJ274" i="3"/>
  <c r="AJ284" i="3"/>
  <c r="AJ294" i="3"/>
  <c r="AJ306" i="3"/>
  <c r="AJ316" i="3"/>
  <c r="AJ326" i="3"/>
  <c r="AJ39" i="3"/>
  <c r="AJ103" i="3"/>
  <c r="AJ149" i="3"/>
  <c r="AJ181" i="3"/>
  <c r="AJ213" i="3"/>
  <c r="AJ245" i="3"/>
  <c r="AJ277" i="3"/>
  <c r="AJ309" i="3"/>
  <c r="AJ339" i="3"/>
  <c r="AJ355" i="3"/>
  <c r="AJ371" i="3"/>
  <c r="AJ387" i="3"/>
  <c r="AJ403" i="3"/>
  <c r="AJ419" i="3"/>
  <c r="AJ435" i="3"/>
  <c r="AJ451" i="3"/>
  <c r="AJ467" i="3"/>
  <c r="AJ483" i="3"/>
  <c r="AJ499" i="3"/>
  <c r="AJ515" i="3"/>
  <c r="AJ531" i="3"/>
  <c r="AJ547" i="3"/>
  <c r="AJ563" i="3"/>
  <c r="AJ579" i="3"/>
  <c r="AJ595" i="3"/>
  <c r="AJ611" i="3"/>
  <c r="AJ627" i="3"/>
  <c r="AJ43" i="3"/>
  <c r="AJ75" i="3"/>
  <c r="AJ107" i="3"/>
  <c r="AJ135" i="3"/>
  <c r="AJ151" i="3"/>
  <c r="AJ167" i="3"/>
  <c r="AJ183" i="3"/>
  <c r="AJ199" i="3"/>
  <c r="AJ215" i="3"/>
  <c r="AJ231" i="3"/>
  <c r="AJ247" i="3"/>
  <c r="AJ263" i="3"/>
  <c r="AJ279" i="3"/>
  <c r="AJ295" i="3"/>
  <c r="AJ311" i="3"/>
  <c r="AJ327" i="3"/>
  <c r="AJ340" i="3"/>
  <c r="AJ348" i="3"/>
  <c r="AJ356" i="3"/>
  <c r="AJ364" i="3"/>
  <c r="AJ372" i="3"/>
  <c r="AJ380" i="3"/>
  <c r="AJ388" i="3"/>
  <c r="AJ396" i="3"/>
  <c r="AJ404" i="3"/>
  <c r="AJ412" i="3"/>
  <c r="AJ420" i="3"/>
  <c r="AJ428" i="3"/>
  <c r="AJ436" i="3"/>
  <c r="AJ444" i="3"/>
  <c r="AJ452" i="3"/>
  <c r="AJ460" i="3"/>
  <c r="AJ468" i="3"/>
  <c r="AJ476" i="3"/>
  <c r="AJ484" i="3"/>
  <c r="AJ492" i="3"/>
  <c r="AJ500" i="3"/>
  <c r="AJ508" i="3"/>
  <c r="AJ516" i="3"/>
  <c r="AJ524" i="3"/>
  <c r="AJ532" i="3"/>
  <c r="AJ540" i="3"/>
  <c r="AJ548" i="3"/>
  <c r="AJ556" i="3"/>
  <c r="AJ564" i="3"/>
  <c r="AJ572" i="3"/>
  <c r="AJ580" i="3"/>
  <c r="AJ588" i="3"/>
  <c r="AJ596" i="3"/>
  <c r="AJ604" i="3"/>
  <c r="AJ612" i="3"/>
  <c r="AJ620" i="3"/>
  <c r="AJ628" i="3"/>
  <c r="AJ632" i="3"/>
  <c r="AJ636" i="3"/>
  <c r="AJ640" i="3"/>
  <c r="AJ644" i="3"/>
  <c r="AJ648" i="3"/>
  <c r="AJ652" i="3"/>
  <c r="AJ656" i="3"/>
  <c r="AJ660" i="3"/>
  <c r="AJ664" i="3"/>
  <c r="AJ668" i="3"/>
  <c r="AJ672" i="3"/>
  <c r="AJ685" i="3"/>
  <c r="AJ676" i="3"/>
  <c r="AJ621" i="3"/>
  <c r="AJ605" i="3"/>
  <c r="AJ589" i="3"/>
  <c r="AJ573" i="3"/>
  <c r="AJ557" i="3"/>
  <c r="AJ541" i="3"/>
  <c r="AJ525" i="3"/>
  <c r="AJ509" i="3"/>
  <c r="AJ493" i="3"/>
  <c r="AJ477" i="3"/>
  <c r="AJ461" i="3"/>
  <c r="AJ445" i="3"/>
  <c r="AJ429" i="3"/>
  <c r="AJ413" i="3"/>
  <c r="AJ397" i="3"/>
  <c r="AJ381" i="3"/>
  <c r="AJ365" i="3"/>
  <c r="AJ349" i="3"/>
  <c r="AJ329" i="3"/>
  <c r="AJ297" i="3"/>
  <c r="AJ265" i="3"/>
  <c r="AJ233" i="3"/>
  <c r="AJ201" i="3"/>
  <c r="AJ169" i="3"/>
  <c r="AJ137" i="3"/>
  <c r="AJ79" i="3"/>
  <c r="AJ129" i="3"/>
  <c r="AJ113" i="3"/>
  <c r="AJ97" i="3"/>
  <c r="AJ81" i="3"/>
  <c r="AJ65" i="3"/>
  <c r="AJ49" i="3"/>
  <c r="AK74" i="4"/>
  <c r="AK20" i="4"/>
  <c r="AK31" i="4"/>
  <c r="AK41" i="4"/>
  <c r="AK52" i="4"/>
  <c r="AK63" i="4"/>
  <c r="AK73" i="4"/>
  <c r="AK84" i="4"/>
  <c r="AK101" i="4"/>
  <c r="AK58" i="4"/>
  <c r="AK18" i="4"/>
  <c r="AK22" i="4"/>
  <c r="AK82" i="4"/>
  <c r="AK107" i="4"/>
  <c r="AK95" i="4"/>
  <c r="AK83" i="4"/>
  <c r="AK72" i="4"/>
  <c r="AK61" i="4"/>
  <c r="AK51" i="4"/>
  <c r="AK40" i="4"/>
  <c r="AK29" i="4"/>
  <c r="AK19" i="4"/>
  <c r="AK103" i="4"/>
  <c r="AK104" i="4"/>
  <c r="AK87" i="4"/>
  <c r="AK66" i="4"/>
  <c r="D145" i="2"/>
  <c r="B24" i="4"/>
  <c r="B12" i="4"/>
  <c r="AJ527" i="3"/>
  <c r="AJ407" i="3"/>
  <c r="AJ269" i="3"/>
  <c r="M159" i="8"/>
  <c r="M158" i="8" s="1"/>
  <c r="M157" i="8" s="1"/>
  <c r="M156" i="8" s="1"/>
  <c r="M155" i="8" s="1"/>
  <c r="M154" i="8" s="1"/>
  <c r="M153" i="8" s="1"/>
  <c r="M152" i="8" s="1"/>
  <c r="M151" i="8" s="1"/>
  <c r="M150" i="8" s="1"/>
  <c r="M149" i="8" s="1"/>
  <c r="M148" i="8" s="1"/>
  <c r="M147" i="8" s="1"/>
  <c r="M146" i="8" s="1"/>
  <c r="M145" i="8" s="1"/>
  <c r="M144" i="8" s="1"/>
  <c r="M143" i="8" s="1"/>
  <c r="M142" i="8" s="1"/>
  <c r="M141" i="8" s="1"/>
  <c r="M140" i="8" s="1"/>
  <c r="M139" i="8" s="1"/>
  <c r="M138" i="8" s="1"/>
  <c r="M137" i="8" s="1"/>
  <c r="M136" i="8" s="1"/>
  <c r="M135" i="8" s="1"/>
  <c r="M134" i="8" s="1"/>
  <c r="M133" i="8" s="1"/>
  <c r="M132" i="8" s="1"/>
  <c r="M131" i="8" s="1"/>
  <c r="M130" i="8" s="1"/>
  <c r="M129" i="8" s="1"/>
  <c r="M128" i="8" s="1"/>
  <c r="M127" i="8" s="1"/>
  <c r="M126" i="8" s="1"/>
  <c r="M125" i="8" s="1"/>
  <c r="M124" i="8" s="1"/>
  <c r="M123" i="8" s="1"/>
  <c r="M122" i="8" s="1"/>
  <c r="M121" i="8" s="1"/>
  <c r="M120" i="8" s="1"/>
  <c r="M119" i="8" s="1"/>
  <c r="M118" i="8" s="1"/>
  <c r="M117" i="8" s="1"/>
  <c r="M116" i="8" s="1"/>
  <c r="M115" i="8" s="1"/>
  <c r="M114" i="8" s="1"/>
  <c r="M113" i="8" s="1"/>
  <c r="M112" i="8" s="1"/>
  <c r="M111" i="8" s="1"/>
  <c r="M110" i="8" s="1"/>
  <c r="M109" i="8" s="1"/>
  <c r="M108" i="8" s="1"/>
  <c r="M107" i="8" s="1"/>
  <c r="M106" i="8" s="1"/>
  <c r="M105" i="8" s="1"/>
  <c r="M104" i="8" s="1"/>
  <c r="M103" i="8" s="1"/>
  <c r="M102" i="8" s="1"/>
  <c r="M101" i="8" s="1"/>
  <c r="M100" i="8" s="1"/>
  <c r="M99" i="8" s="1"/>
  <c r="M98" i="8" s="1"/>
  <c r="M97" i="8" s="1"/>
  <c r="M96" i="8" s="1"/>
  <c r="M95" i="8" s="1"/>
  <c r="M94" i="8" s="1"/>
  <c r="M93" i="8" s="1"/>
  <c r="M92" i="8" s="1"/>
  <c r="M91" i="8" s="1"/>
  <c r="M90" i="8" s="1"/>
  <c r="M89" i="8" s="1"/>
  <c r="M88" i="8" s="1"/>
  <c r="M87" i="8" s="1"/>
  <c r="M86" i="8" s="1"/>
  <c r="M85" i="8" s="1"/>
  <c r="M84" i="8" s="1"/>
  <c r="M83" i="8" s="1"/>
  <c r="M82" i="8" s="1"/>
  <c r="M81" i="8" s="1"/>
  <c r="M80" i="8" s="1"/>
  <c r="M79" i="8" s="1"/>
  <c r="M78" i="8" s="1"/>
  <c r="M77" i="8" s="1"/>
  <c r="M76" i="8" s="1"/>
  <c r="M75" i="8" s="1"/>
  <c r="M74" i="8" s="1"/>
  <c r="M73" i="8" s="1"/>
  <c r="M72" i="8" s="1"/>
  <c r="M71" i="8" s="1"/>
  <c r="M70" i="8" s="1"/>
  <c r="M69" i="8" s="1"/>
  <c r="M68" i="8" s="1"/>
  <c r="M67" i="8" s="1"/>
  <c r="M66" i="8" s="1"/>
  <c r="M65" i="8" s="1"/>
  <c r="M64" i="8" s="1"/>
  <c r="M63" i="8" s="1"/>
  <c r="M62" i="8" s="1"/>
  <c r="M61" i="8" s="1"/>
  <c r="M60" i="8" s="1"/>
  <c r="M59" i="8" s="1"/>
  <c r="M58" i="8" s="1"/>
  <c r="M57" i="8" s="1"/>
  <c r="M56" i="8" s="1"/>
  <c r="M55" i="8" s="1"/>
  <c r="M54" i="8" s="1"/>
  <c r="M53" i="8" s="1"/>
  <c r="M52" i="8" s="1"/>
  <c r="M51" i="8" s="1"/>
  <c r="M50" i="8" s="1"/>
  <c r="M49" i="8" s="1"/>
  <c r="M48" i="8" s="1"/>
  <c r="M47" i="8" s="1"/>
  <c r="M46" i="8" s="1"/>
  <c r="M45" i="8" s="1"/>
  <c r="M44" i="8" s="1"/>
  <c r="M43" i="8" s="1"/>
  <c r="M42" i="8" s="1"/>
  <c r="M41" i="8" s="1"/>
  <c r="M40" i="8" s="1"/>
  <c r="M39" i="8" s="1"/>
  <c r="M38" i="8" s="1"/>
  <c r="M37" i="8" s="1"/>
  <c r="M36" i="8" s="1"/>
  <c r="M35" i="8" s="1"/>
  <c r="M34" i="8" s="1"/>
  <c r="M33" i="8" s="1"/>
  <c r="M32" i="8" s="1"/>
  <c r="M31" i="8" s="1"/>
  <c r="M30" i="8" s="1"/>
  <c r="M29" i="8" s="1"/>
  <c r="M28" i="8" s="1"/>
  <c r="M27" i="8" s="1"/>
  <c r="M26" i="8" s="1"/>
  <c r="M25" i="8" s="1"/>
  <c r="M24" i="8" s="1"/>
  <c r="M23" i="8" s="1"/>
  <c r="M22" i="8" s="1"/>
  <c r="M21" i="8" s="1"/>
  <c r="M20" i="8" s="1"/>
  <c r="M19" i="8" s="1"/>
  <c r="M18" i="8" s="1"/>
  <c r="M17" i="8" s="1"/>
  <c r="M16" i="8" s="1"/>
  <c r="M15" i="8" s="1"/>
  <c r="M14" i="8" s="1"/>
  <c r="M13" i="8" s="1"/>
  <c r="M12" i="8" s="1"/>
  <c r="M11" i="8" s="1"/>
  <c r="M10" i="8" s="1"/>
  <c r="M9" i="8" s="1"/>
  <c r="M8" i="8" s="1"/>
  <c r="M7" i="8" s="1"/>
  <c r="M6" i="8" s="1"/>
  <c r="M4" i="8" s="1"/>
  <c r="J159" i="8"/>
  <c r="J158" i="8" s="1"/>
  <c r="J157" i="8" s="1"/>
  <c r="J156" i="8" s="1"/>
  <c r="J155" i="8" s="1"/>
  <c r="J154" i="8" s="1"/>
  <c r="J153" i="8" s="1"/>
  <c r="J152" i="8" s="1"/>
  <c r="J151" i="8" s="1"/>
  <c r="J150" i="8" s="1"/>
  <c r="J149" i="8" s="1"/>
  <c r="J148" i="8" s="1"/>
  <c r="J147" i="8" s="1"/>
  <c r="J146" i="8" s="1"/>
  <c r="J145" i="8" s="1"/>
  <c r="J144" i="8" s="1"/>
  <c r="J143" i="8" s="1"/>
  <c r="J142" i="8" s="1"/>
  <c r="J141" i="8" s="1"/>
  <c r="J140" i="8" s="1"/>
  <c r="J139" i="8" s="1"/>
  <c r="J138" i="8" s="1"/>
  <c r="J137" i="8" s="1"/>
  <c r="J136" i="8" s="1"/>
  <c r="J135" i="8" s="1"/>
  <c r="J134" i="8" s="1"/>
  <c r="J133" i="8" s="1"/>
  <c r="J132" i="8" s="1"/>
  <c r="J131" i="8" s="1"/>
  <c r="J130" i="8" s="1"/>
  <c r="J129" i="8" s="1"/>
  <c r="J128" i="8" s="1"/>
  <c r="J127" i="8" s="1"/>
  <c r="J126" i="8" s="1"/>
  <c r="J125" i="8" s="1"/>
  <c r="J124" i="8" s="1"/>
  <c r="J123" i="8" s="1"/>
  <c r="J122" i="8" s="1"/>
  <c r="J121" i="8" s="1"/>
  <c r="J120" i="8" s="1"/>
  <c r="J119" i="8" s="1"/>
  <c r="J118" i="8" s="1"/>
  <c r="J117" i="8" s="1"/>
  <c r="J116" i="8" s="1"/>
  <c r="J115" i="8" s="1"/>
  <c r="J114" i="8" s="1"/>
  <c r="J113" i="8" s="1"/>
  <c r="J112" i="8" s="1"/>
  <c r="J111" i="8" s="1"/>
  <c r="J110" i="8" s="1"/>
  <c r="J109" i="8" s="1"/>
  <c r="J108" i="8" s="1"/>
  <c r="J107" i="8" s="1"/>
  <c r="J106" i="8" s="1"/>
  <c r="J105" i="8" s="1"/>
  <c r="J104" i="8" s="1"/>
  <c r="J103" i="8" s="1"/>
  <c r="J102" i="8" s="1"/>
  <c r="J101" i="8" s="1"/>
  <c r="J100" i="8" s="1"/>
  <c r="J99" i="8" s="1"/>
  <c r="J98" i="8" s="1"/>
  <c r="J97" i="8" s="1"/>
  <c r="J96" i="8" s="1"/>
  <c r="J95" i="8" s="1"/>
  <c r="J94" i="8" s="1"/>
  <c r="J93" i="8" s="1"/>
  <c r="J92" i="8" s="1"/>
  <c r="J91" i="8" s="1"/>
  <c r="J90" i="8" s="1"/>
  <c r="J89" i="8" s="1"/>
  <c r="J88" i="8" s="1"/>
  <c r="J87" i="8" s="1"/>
  <c r="J86" i="8" s="1"/>
  <c r="J85" i="8" s="1"/>
  <c r="J84" i="8" s="1"/>
  <c r="J83" i="8" s="1"/>
  <c r="J82" i="8" s="1"/>
  <c r="J81" i="8" s="1"/>
  <c r="J80" i="8" s="1"/>
  <c r="J79" i="8" s="1"/>
  <c r="J78" i="8" s="1"/>
  <c r="J77" i="8" s="1"/>
  <c r="J76" i="8" s="1"/>
  <c r="J75" i="8" s="1"/>
  <c r="J74" i="8" s="1"/>
  <c r="J73" i="8" s="1"/>
  <c r="J72" i="8" s="1"/>
  <c r="J71" i="8" s="1"/>
  <c r="J70" i="8" s="1"/>
  <c r="J69" i="8" s="1"/>
  <c r="J68" i="8" s="1"/>
  <c r="J67" i="8" s="1"/>
  <c r="J66" i="8" s="1"/>
  <c r="J65" i="8" s="1"/>
  <c r="J64" i="8" s="1"/>
  <c r="J63" i="8" s="1"/>
  <c r="J62" i="8" s="1"/>
  <c r="J61" i="8" s="1"/>
  <c r="J60" i="8" s="1"/>
  <c r="J59" i="8" s="1"/>
  <c r="J58" i="8" s="1"/>
  <c r="J57" i="8" s="1"/>
  <c r="J56" i="8" s="1"/>
  <c r="J55" i="8" s="1"/>
  <c r="J54" i="8" s="1"/>
  <c r="J53" i="8" s="1"/>
  <c r="J52" i="8" s="1"/>
  <c r="J51" i="8" s="1"/>
  <c r="J50" i="8" s="1"/>
  <c r="J49" i="8" s="1"/>
  <c r="J48" i="8" s="1"/>
  <c r="J47" i="8" s="1"/>
  <c r="J46" i="8" s="1"/>
  <c r="J45" i="8" s="1"/>
  <c r="J44" i="8" s="1"/>
  <c r="J43" i="8" s="1"/>
  <c r="J42" i="8" s="1"/>
  <c r="J41" i="8" s="1"/>
  <c r="J40" i="8" s="1"/>
  <c r="J39" i="8" s="1"/>
  <c r="J38" i="8" s="1"/>
  <c r="J37" i="8" s="1"/>
  <c r="J36" i="8" s="1"/>
  <c r="J35" i="8" s="1"/>
  <c r="J34" i="8" s="1"/>
  <c r="J33" i="8" s="1"/>
  <c r="J32" i="8" s="1"/>
  <c r="J31" i="8" s="1"/>
  <c r="J30" i="8" s="1"/>
  <c r="J29" i="8" s="1"/>
  <c r="J28" i="8" s="1"/>
  <c r="J27" i="8" s="1"/>
  <c r="J26" i="8" s="1"/>
  <c r="J25" i="8" s="1"/>
  <c r="J24" i="8" s="1"/>
  <c r="J23" i="8" s="1"/>
  <c r="J22" i="8" s="1"/>
  <c r="J21" i="8" s="1"/>
  <c r="J20" i="8" s="1"/>
  <c r="J19" i="8" s="1"/>
  <c r="J18" i="8" s="1"/>
  <c r="J17" i="8" s="1"/>
  <c r="J16" i="8" s="1"/>
  <c r="J15" i="8" s="1"/>
  <c r="J14" i="8" s="1"/>
  <c r="J13" i="8" s="1"/>
  <c r="J12" i="8" s="1"/>
  <c r="J11" i="8" s="1"/>
  <c r="J10" i="8" s="1"/>
  <c r="J9" i="8" s="1"/>
  <c r="J8" i="8" s="1"/>
  <c r="J7" i="8" s="1"/>
  <c r="J6" i="8" s="1"/>
  <c r="J4" i="8" s="1"/>
  <c r="L159" i="8"/>
  <c r="L158" i="8" s="1"/>
  <c r="L157" i="8" s="1"/>
  <c r="L156" i="8" s="1"/>
  <c r="L155" i="8" s="1"/>
  <c r="L154" i="8" s="1"/>
  <c r="L153" i="8" s="1"/>
  <c r="L152" i="8" s="1"/>
  <c r="L151" i="8" s="1"/>
  <c r="L150" i="8" s="1"/>
  <c r="L149" i="8" s="1"/>
  <c r="L148" i="8" s="1"/>
  <c r="L147" i="8" s="1"/>
  <c r="L146" i="8" s="1"/>
  <c r="L145" i="8" s="1"/>
  <c r="L144" i="8" s="1"/>
  <c r="L143" i="8" s="1"/>
  <c r="L142" i="8" s="1"/>
  <c r="L141" i="8" s="1"/>
  <c r="L140" i="8" s="1"/>
  <c r="L139" i="8" s="1"/>
  <c r="L138" i="8" s="1"/>
  <c r="L137" i="8" s="1"/>
  <c r="L136" i="8" s="1"/>
  <c r="L135" i="8" s="1"/>
  <c r="L134" i="8" s="1"/>
  <c r="L133" i="8" s="1"/>
  <c r="L132" i="8" s="1"/>
  <c r="L131" i="8" s="1"/>
  <c r="L130" i="8" s="1"/>
  <c r="L129" i="8" s="1"/>
  <c r="L128" i="8" s="1"/>
  <c r="L127" i="8" s="1"/>
  <c r="L126" i="8" s="1"/>
  <c r="L125" i="8" s="1"/>
  <c r="L124" i="8" s="1"/>
  <c r="L123" i="8" s="1"/>
  <c r="L122" i="8" s="1"/>
  <c r="L121" i="8" s="1"/>
  <c r="L120" i="8" s="1"/>
  <c r="L119" i="8" s="1"/>
  <c r="L118" i="8" s="1"/>
  <c r="L117" i="8" s="1"/>
  <c r="L116" i="8" s="1"/>
  <c r="L115" i="8" s="1"/>
  <c r="L114" i="8" s="1"/>
  <c r="L113" i="8" s="1"/>
  <c r="L112" i="8" s="1"/>
  <c r="L111" i="8" s="1"/>
  <c r="L110" i="8" s="1"/>
  <c r="L109" i="8" s="1"/>
  <c r="L108" i="8" s="1"/>
  <c r="L107" i="8" s="1"/>
  <c r="L106" i="8" s="1"/>
  <c r="L105" i="8" s="1"/>
  <c r="L104" i="8" s="1"/>
  <c r="L103" i="8" s="1"/>
  <c r="L102" i="8" s="1"/>
  <c r="L101" i="8" s="1"/>
  <c r="L100" i="8" s="1"/>
  <c r="L99" i="8" s="1"/>
  <c r="L98" i="8" s="1"/>
  <c r="L97" i="8" s="1"/>
  <c r="L96" i="8" s="1"/>
  <c r="L95" i="8" s="1"/>
  <c r="L94" i="8" s="1"/>
  <c r="L93" i="8" s="1"/>
  <c r="L92" i="8" s="1"/>
  <c r="L91" i="8" s="1"/>
  <c r="L90" i="8" s="1"/>
  <c r="L89" i="8" s="1"/>
  <c r="L88" i="8" s="1"/>
  <c r="L87" i="8" s="1"/>
  <c r="L86" i="8" s="1"/>
  <c r="L85" i="8" s="1"/>
  <c r="L84" i="8" s="1"/>
  <c r="L83" i="8" s="1"/>
  <c r="L82" i="8" s="1"/>
  <c r="L81" i="8" s="1"/>
  <c r="L80" i="8" s="1"/>
  <c r="L79" i="8" s="1"/>
  <c r="L78" i="8" s="1"/>
  <c r="L77" i="8" s="1"/>
  <c r="L76" i="8" s="1"/>
  <c r="L75" i="8" s="1"/>
  <c r="L74" i="8" s="1"/>
  <c r="L73" i="8" s="1"/>
  <c r="L72" i="8" s="1"/>
  <c r="L71" i="8" s="1"/>
  <c r="L70" i="8" s="1"/>
  <c r="L69" i="8" s="1"/>
  <c r="L68" i="8" s="1"/>
  <c r="L67" i="8" s="1"/>
  <c r="L66" i="8" s="1"/>
  <c r="L65" i="8" s="1"/>
  <c r="L64" i="8" s="1"/>
  <c r="L63" i="8" s="1"/>
  <c r="L62" i="8" s="1"/>
  <c r="L61" i="8" s="1"/>
  <c r="L60" i="8" s="1"/>
  <c r="L59" i="8" s="1"/>
  <c r="L58" i="8" s="1"/>
  <c r="L57" i="8" s="1"/>
  <c r="L56" i="8" s="1"/>
  <c r="L55" i="8" s="1"/>
  <c r="L54" i="8" s="1"/>
  <c r="L53" i="8" s="1"/>
  <c r="L52" i="8" s="1"/>
  <c r="L51" i="8" s="1"/>
  <c r="L50" i="8" s="1"/>
  <c r="L49" i="8" s="1"/>
  <c r="L48" i="8" s="1"/>
  <c r="L47" i="8" s="1"/>
  <c r="L46" i="8" s="1"/>
  <c r="L45" i="8" s="1"/>
  <c r="L44" i="8" s="1"/>
  <c r="L43" i="8" s="1"/>
  <c r="L42" i="8" s="1"/>
  <c r="L41" i="8" s="1"/>
  <c r="L40" i="8" s="1"/>
  <c r="L39" i="8" s="1"/>
  <c r="L38" i="8" s="1"/>
  <c r="L37" i="8" s="1"/>
  <c r="L36" i="8" s="1"/>
  <c r="L35" i="8" s="1"/>
  <c r="L34" i="8" s="1"/>
  <c r="L33" i="8" s="1"/>
  <c r="L32" i="8" s="1"/>
  <c r="L31" i="8" s="1"/>
  <c r="L30" i="8" s="1"/>
  <c r="L29" i="8" s="1"/>
  <c r="L28" i="8" s="1"/>
  <c r="L27" i="8" s="1"/>
  <c r="L26" i="8" s="1"/>
  <c r="L25" i="8" s="1"/>
  <c r="L24" i="8" s="1"/>
  <c r="L23" i="8" s="1"/>
  <c r="L22" i="8" s="1"/>
  <c r="L21" i="8" s="1"/>
  <c r="L20" i="8" s="1"/>
  <c r="L19" i="8" s="1"/>
  <c r="L18" i="8" s="1"/>
  <c r="L17" i="8" s="1"/>
  <c r="L16" i="8" s="1"/>
  <c r="L15" i="8" s="1"/>
  <c r="L14" i="8" s="1"/>
  <c r="L13" i="8" s="1"/>
  <c r="L12" i="8" s="1"/>
  <c r="L11" i="8" s="1"/>
  <c r="L10" i="8" s="1"/>
  <c r="L9" i="8" s="1"/>
  <c r="L8" i="8" s="1"/>
  <c r="L7" i="8" s="1"/>
  <c r="L6" i="8" s="1"/>
  <c r="L4" i="8" s="1"/>
  <c r="I159" i="8"/>
  <c r="I158" i="8" s="1"/>
  <c r="I157" i="8" s="1"/>
  <c r="I156" i="8" s="1"/>
  <c r="I155" i="8" s="1"/>
  <c r="I154" i="8" s="1"/>
  <c r="I153" i="8" s="1"/>
  <c r="I152" i="8" s="1"/>
  <c r="I151" i="8" s="1"/>
  <c r="I150" i="8" s="1"/>
  <c r="I149" i="8" s="1"/>
  <c r="I148" i="8" s="1"/>
  <c r="I147" i="8" s="1"/>
  <c r="I146" i="8" s="1"/>
  <c r="I145" i="8" s="1"/>
  <c r="I144" i="8" s="1"/>
  <c r="I143" i="8" s="1"/>
  <c r="I142" i="8" s="1"/>
  <c r="I141" i="8" s="1"/>
  <c r="I140" i="8" s="1"/>
  <c r="I139" i="8" s="1"/>
  <c r="I138" i="8" s="1"/>
  <c r="I137" i="8" s="1"/>
  <c r="I136" i="8" s="1"/>
  <c r="I135" i="8" s="1"/>
  <c r="I134" i="8" s="1"/>
  <c r="I133" i="8" s="1"/>
  <c r="I132" i="8" s="1"/>
  <c r="I131" i="8" s="1"/>
  <c r="I130" i="8" s="1"/>
  <c r="I129" i="8" s="1"/>
  <c r="I128" i="8" s="1"/>
  <c r="I127" i="8" s="1"/>
  <c r="I126" i="8" s="1"/>
  <c r="I125" i="8" s="1"/>
  <c r="I124" i="8" s="1"/>
  <c r="I123" i="8" s="1"/>
  <c r="I122" i="8" s="1"/>
  <c r="I121" i="8" s="1"/>
  <c r="I120" i="8" s="1"/>
  <c r="I119" i="8" s="1"/>
  <c r="I118" i="8" s="1"/>
  <c r="I117" i="8" s="1"/>
  <c r="I116" i="8" s="1"/>
  <c r="I115" i="8" s="1"/>
  <c r="I114" i="8" s="1"/>
  <c r="I113" i="8" s="1"/>
  <c r="I112" i="8" s="1"/>
  <c r="I111" i="8" s="1"/>
  <c r="I110" i="8" s="1"/>
  <c r="I109" i="8" s="1"/>
  <c r="I108" i="8" s="1"/>
  <c r="I107" i="8" s="1"/>
  <c r="I106" i="8" s="1"/>
  <c r="I105" i="8" s="1"/>
  <c r="I104" i="8" s="1"/>
  <c r="I103" i="8" s="1"/>
  <c r="I102" i="8" s="1"/>
  <c r="I101" i="8" s="1"/>
  <c r="I100" i="8" s="1"/>
  <c r="I99" i="8" s="1"/>
  <c r="I98" i="8" s="1"/>
  <c r="I97" i="8" s="1"/>
  <c r="I96" i="8" s="1"/>
  <c r="I95" i="8" s="1"/>
  <c r="I94" i="8" s="1"/>
  <c r="I93" i="8" s="1"/>
  <c r="I92" i="8" s="1"/>
  <c r="I91" i="8" s="1"/>
  <c r="I90" i="8" s="1"/>
  <c r="I89" i="8" s="1"/>
  <c r="I88" i="8" s="1"/>
  <c r="I87" i="8" s="1"/>
  <c r="I86" i="8" s="1"/>
  <c r="I85" i="8" s="1"/>
  <c r="I84" i="8" s="1"/>
  <c r="I83" i="8" s="1"/>
  <c r="I82" i="8" s="1"/>
  <c r="I81" i="8" s="1"/>
  <c r="I80" i="8" s="1"/>
  <c r="I79" i="8" s="1"/>
  <c r="I78" i="8" s="1"/>
  <c r="I77" i="8" s="1"/>
  <c r="I76" i="8" s="1"/>
  <c r="I75" i="8" s="1"/>
  <c r="I74" i="8" s="1"/>
  <c r="I73" i="8" s="1"/>
  <c r="I72" i="8" s="1"/>
  <c r="I71" i="8" s="1"/>
  <c r="I70" i="8" s="1"/>
  <c r="I69" i="8" s="1"/>
  <c r="I68" i="8" s="1"/>
  <c r="I67" i="8" s="1"/>
  <c r="I66" i="8" s="1"/>
  <c r="I65" i="8" s="1"/>
  <c r="I64" i="8" s="1"/>
  <c r="I63" i="8" s="1"/>
  <c r="I62" i="8" s="1"/>
  <c r="I61" i="8" s="1"/>
  <c r="I60" i="8" s="1"/>
  <c r="I59" i="8" s="1"/>
  <c r="I58" i="8" s="1"/>
  <c r="I57" i="8" s="1"/>
  <c r="I56" i="8" s="1"/>
  <c r="I55" i="8" s="1"/>
  <c r="I54" i="8" s="1"/>
  <c r="I53" i="8" s="1"/>
  <c r="I52" i="8" s="1"/>
  <c r="I51" i="8" s="1"/>
  <c r="I50" i="8" s="1"/>
  <c r="I49" i="8" s="1"/>
  <c r="I48" i="8" s="1"/>
  <c r="I47" i="8" s="1"/>
  <c r="I46" i="8" s="1"/>
  <c r="I45" i="8" s="1"/>
  <c r="I44" i="8" s="1"/>
  <c r="I43" i="8" s="1"/>
  <c r="I42" i="8" s="1"/>
  <c r="I41" i="8" s="1"/>
  <c r="I40" i="8" s="1"/>
  <c r="I39" i="8" s="1"/>
  <c r="I38" i="8" s="1"/>
  <c r="I37" i="8" s="1"/>
  <c r="I36" i="8" s="1"/>
  <c r="I35" i="8" s="1"/>
  <c r="I34" i="8" s="1"/>
  <c r="I33" i="8" s="1"/>
  <c r="I32" i="8" s="1"/>
  <c r="I31" i="8" s="1"/>
  <c r="I30" i="8" s="1"/>
  <c r="I29" i="8" s="1"/>
  <c r="I28" i="8" s="1"/>
  <c r="I27" i="8" s="1"/>
  <c r="I26" i="8" s="1"/>
  <c r="I25" i="8" s="1"/>
  <c r="I24" i="8" s="1"/>
  <c r="I23" i="8" s="1"/>
  <c r="I22" i="8" s="1"/>
  <c r="I21" i="8" s="1"/>
  <c r="I20" i="8" s="1"/>
  <c r="I19" i="8" s="1"/>
  <c r="I18" i="8" s="1"/>
  <c r="I17" i="8" s="1"/>
  <c r="I16" i="8" s="1"/>
  <c r="I15" i="8" s="1"/>
  <c r="I14" i="8" s="1"/>
  <c r="I13" i="8" s="1"/>
  <c r="I12" i="8" s="1"/>
  <c r="I11" i="8" s="1"/>
  <c r="I10" i="8" s="1"/>
  <c r="I9" i="8" s="1"/>
  <c r="I8" i="8" s="1"/>
  <c r="I7" i="8" s="1"/>
  <c r="I6" i="8" s="1"/>
  <c r="I4" i="8" s="1"/>
  <c r="K159" i="8"/>
  <c r="K158" i="8" s="1"/>
  <c r="K157" i="8" s="1"/>
  <c r="K156" i="8" s="1"/>
  <c r="K155" i="8" s="1"/>
  <c r="K154" i="8" s="1"/>
  <c r="K153" i="8" s="1"/>
  <c r="K152" i="8" s="1"/>
  <c r="K151" i="8" s="1"/>
  <c r="K150" i="8" s="1"/>
  <c r="K149" i="8" s="1"/>
  <c r="K148" i="8" s="1"/>
  <c r="K147" i="8" s="1"/>
  <c r="K146" i="8" s="1"/>
  <c r="K145" i="8" s="1"/>
  <c r="K144" i="8" s="1"/>
  <c r="K143" i="8" s="1"/>
  <c r="K142" i="8" s="1"/>
  <c r="K141" i="8" s="1"/>
  <c r="K140" i="8" s="1"/>
  <c r="K139" i="8" s="1"/>
  <c r="K138" i="8" s="1"/>
  <c r="K137" i="8" s="1"/>
  <c r="K136" i="8" s="1"/>
  <c r="K135" i="8" s="1"/>
  <c r="K134" i="8" s="1"/>
  <c r="K133" i="8" s="1"/>
  <c r="K132" i="8" s="1"/>
  <c r="K131" i="8" s="1"/>
  <c r="K130" i="8" s="1"/>
  <c r="K129" i="8" s="1"/>
  <c r="K128" i="8" s="1"/>
  <c r="K127" i="8" s="1"/>
  <c r="K126" i="8" s="1"/>
  <c r="K125" i="8" s="1"/>
  <c r="K124" i="8" s="1"/>
  <c r="K123" i="8" s="1"/>
  <c r="K122" i="8" s="1"/>
  <c r="K121" i="8" s="1"/>
  <c r="K120" i="8" s="1"/>
  <c r="K119" i="8" s="1"/>
  <c r="K118" i="8" s="1"/>
  <c r="K117" i="8" s="1"/>
  <c r="K116" i="8" s="1"/>
  <c r="K115" i="8" s="1"/>
  <c r="K114" i="8" s="1"/>
  <c r="K113" i="8" s="1"/>
  <c r="K112" i="8" s="1"/>
  <c r="K111" i="8" s="1"/>
  <c r="K110" i="8" s="1"/>
  <c r="K109" i="8" s="1"/>
  <c r="K108" i="8" s="1"/>
  <c r="K107" i="8" s="1"/>
  <c r="K106" i="8" s="1"/>
  <c r="K105" i="8" s="1"/>
  <c r="K104" i="8" s="1"/>
  <c r="K103" i="8" s="1"/>
  <c r="K102" i="8" s="1"/>
  <c r="K101" i="8" s="1"/>
  <c r="K100" i="8" s="1"/>
  <c r="K99" i="8" s="1"/>
  <c r="K98" i="8" s="1"/>
  <c r="K97" i="8" s="1"/>
  <c r="K96" i="8" s="1"/>
  <c r="K95" i="8" s="1"/>
  <c r="K94" i="8" s="1"/>
  <c r="K93" i="8" s="1"/>
  <c r="K92" i="8" s="1"/>
  <c r="K91" i="8" s="1"/>
  <c r="K90" i="8" s="1"/>
  <c r="K89" i="8" s="1"/>
  <c r="K88" i="8" s="1"/>
  <c r="K87" i="8" s="1"/>
  <c r="K86" i="8" s="1"/>
  <c r="K85" i="8" s="1"/>
  <c r="K84" i="8" s="1"/>
  <c r="K83" i="8" s="1"/>
  <c r="K82" i="8" s="1"/>
  <c r="K81" i="8" s="1"/>
  <c r="K80" i="8" s="1"/>
  <c r="K79" i="8" s="1"/>
  <c r="K78" i="8" s="1"/>
  <c r="K77" i="8" s="1"/>
  <c r="K76" i="8" s="1"/>
  <c r="K75" i="8" s="1"/>
  <c r="K74" i="8" s="1"/>
  <c r="K73" i="8" s="1"/>
  <c r="K72" i="8" s="1"/>
  <c r="K71" i="8" s="1"/>
  <c r="K70" i="8" s="1"/>
  <c r="K69" i="8" s="1"/>
  <c r="K68" i="8" s="1"/>
  <c r="K67" i="8" s="1"/>
  <c r="K66" i="8" s="1"/>
  <c r="K65" i="8" s="1"/>
  <c r="K64" i="8" s="1"/>
  <c r="K63" i="8" s="1"/>
  <c r="K62" i="8" s="1"/>
  <c r="K61" i="8" s="1"/>
  <c r="K60" i="8" s="1"/>
  <c r="K59" i="8" s="1"/>
  <c r="K58" i="8" s="1"/>
  <c r="K57" i="8" s="1"/>
  <c r="K56" i="8" s="1"/>
  <c r="K55" i="8" s="1"/>
  <c r="K54" i="8" s="1"/>
  <c r="K53" i="8" s="1"/>
  <c r="K52" i="8" s="1"/>
  <c r="K51" i="8" s="1"/>
  <c r="K50" i="8" s="1"/>
  <c r="K49" i="8" s="1"/>
  <c r="K48" i="8" s="1"/>
  <c r="K47" i="8" s="1"/>
  <c r="K46" i="8" s="1"/>
  <c r="K45" i="8" s="1"/>
  <c r="K44" i="8" s="1"/>
  <c r="K43" i="8" s="1"/>
  <c r="K42" i="8" s="1"/>
  <c r="K41" i="8" s="1"/>
  <c r="K40" i="8" s="1"/>
  <c r="K39" i="8" s="1"/>
  <c r="K38" i="8" s="1"/>
  <c r="K37" i="8" s="1"/>
  <c r="K36" i="8" s="1"/>
  <c r="K35" i="8" s="1"/>
  <c r="K34" i="8" s="1"/>
  <c r="K33" i="8" s="1"/>
  <c r="K32" i="8" s="1"/>
  <c r="K31" i="8" s="1"/>
  <c r="K30" i="8" s="1"/>
  <c r="K29" i="8" s="1"/>
  <c r="K28" i="8" s="1"/>
  <c r="K27" i="8" s="1"/>
  <c r="K26" i="8" s="1"/>
  <c r="K25" i="8" s="1"/>
  <c r="K24" i="8" s="1"/>
  <c r="K23" i="8" s="1"/>
  <c r="K22" i="8" s="1"/>
  <c r="K21" i="8" s="1"/>
  <c r="K20" i="8" s="1"/>
  <c r="K19" i="8" s="1"/>
  <c r="K18" i="8" s="1"/>
  <c r="K17" i="8" s="1"/>
  <c r="K16" i="8" s="1"/>
  <c r="K15" i="8" s="1"/>
  <c r="K14" i="8" s="1"/>
  <c r="K13" i="8" s="1"/>
  <c r="K12" i="8" s="1"/>
  <c r="K11" i="8" s="1"/>
  <c r="K10" i="8" s="1"/>
  <c r="K9" i="8" s="1"/>
  <c r="K8" i="8" s="1"/>
  <c r="K7" i="8" s="1"/>
  <c r="K6" i="8" s="1"/>
  <c r="K4" i="8" s="1"/>
  <c r="AJ157" i="3"/>
  <c r="AJ119" i="3"/>
  <c r="AJ189" i="3"/>
  <c r="AJ221" i="3"/>
  <c r="AJ285" i="3"/>
  <c r="AJ343" i="3"/>
  <c r="AJ367" i="3"/>
  <c r="AJ399" i="3"/>
  <c r="AJ431" i="3"/>
  <c r="AJ455" i="3"/>
  <c r="AJ487" i="3"/>
  <c r="AJ519" i="3"/>
  <c r="AJ535" i="3"/>
  <c r="AJ567" i="3"/>
  <c r="AJ599" i="3"/>
  <c r="AJ623" i="3"/>
  <c r="AJ12" i="3"/>
  <c r="AJ51" i="3"/>
  <c r="AJ99" i="3"/>
  <c r="AJ139" i="3"/>
  <c r="AJ155" i="3"/>
  <c r="AJ179" i="3"/>
  <c r="AJ203" i="3"/>
  <c r="AJ219" i="3"/>
  <c r="AJ243" i="3"/>
  <c r="AJ267" i="3"/>
  <c r="AJ283" i="3"/>
  <c r="AJ307" i="3"/>
  <c r="AJ331" i="3"/>
  <c r="AJ342" i="3"/>
  <c r="AJ354" i="3"/>
  <c r="AJ366" i="3"/>
  <c r="AJ374" i="3"/>
  <c r="AJ386" i="3"/>
  <c r="AJ398" i="3"/>
  <c r="AJ406" i="3"/>
  <c r="AJ418" i="3"/>
  <c r="AJ430" i="3"/>
  <c r="AJ438" i="3"/>
  <c r="AJ450" i="3"/>
  <c r="AJ462" i="3"/>
  <c r="AJ470" i="3"/>
  <c r="AJ482" i="3"/>
  <c r="AJ494" i="3"/>
  <c r="AJ502" i="3"/>
  <c r="AJ514" i="3"/>
  <c r="AJ526" i="3"/>
  <c r="AJ534" i="3"/>
  <c r="AJ546" i="3"/>
  <c r="AJ558" i="3"/>
  <c r="AJ566" i="3"/>
  <c r="AJ578" i="3"/>
  <c r="AJ590" i="3"/>
  <c r="AJ598" i="3"/>
  <c r="AJ610" i="3"/>
  <c r="AJ622" i="3"/>
  <c r="AJ629" i="3"/>
  <c r="AJ635" i="3"/>
  <c r="AJ641" i="3"/>
  <c r="AJ645" i="3"/>
  <c r="AJ651" i="3"/>
  <c r="AJ657" i="3"/>
  <c r="AJ661" i="3"/>
  <c r="AJ667" i="3"/>
  <c r="AJ673" i="3"/>
  <c r="AJ684" i="3"/>
  <c r="AJ625" i="3"/>
  <c r="AJ601" i="3"/>
  <c r="AJ585" i="3"/>
  <c r="AJ561" i="3"/>
  <c r="AJ537" i="3"/>
  <c r="AJ521" i="3"/>
  <c r="AJ497" i="3"/>
  <c r="AJ473" i="3"/>
  <c r="AJ457" i="3"/>
  <c r="AJ433" i="3"/>
  <c r="AJ409" i="3"/>
  <c r="AJ393" i="3"/>
  <c r="AJ369" i="3"/>
  <c r="AJ345" i="3"/>
  <c r="AJ321" i="3"/>
  <c r="AJ273" i="3"/>
  <c r="AJ225" i="3"/>
  <c r="AJ193" i="3"/>
  <c r="AJ145" i="3"/>
  <c r="AJ63" i="3"/>
  <c r="AJ109" i="3"/>
  <c r="AJ93" i="3"/>
  <c r="AJ69" i="3"/>
  <c r="AJ45" i="3"/>
  <c r="AJ22" i="3"/>
  <c r="AJ10" i="3"/>
  <c r="AJ15" i="3"/>
  <c r="AJ20" i="3"/>
  <c r="AJ23" i="3"/>
  <c r="AJ27" i="3"/>
  <c r="AJ31" i="3"/>
  <c r="AJ33" i="3"/>
  <c r="AJ37" i="3"/>
  <c r="AJ42" i="3"/>
  <c r="AJ46" i="3"/>
  <c r="AJ52" i="3"/>
  <c r="AJ58" i="3"/>
  <c r="AJ62" i="3"/>
  <c r="AJ68" i="3"/>
  <c r="AJ74" i="3"/>
  <c r="AJ78" i="3"/>
  <c r="AJ84" i="3"/>
  <c r="AJ90" i="3"/>
  <c r="AJ94" i="3"/>
  <c r="AJ100" i="3"/>
  <c r="AJ106" i="3"/>
  <c r="AJ110" i="3"/>
  <c r="AJ116" i="3"/>
  <c r="AJ122" i="3"/>
  <c r="AJ126" i="3"/>
  <c r="AJ132" i="3"/>
  <c r="AJ138" i="3"/>
  <c r="AJ142" i="3"/>
  <c r="AJ148" i="3"/>
  <c r="AJ154" i="3"/>
  <c r="AJ158" i="3"/>
  <c r="AJ164" i="3"/>
  <c r="AJ170" i="3"/>
  <c r="AJ174" i="3"/>
  <c r="AJ180" i="3"/>
  <c r="AJ186" i="3"/>
  <c r="AJ190" i="3"/>
  <c r="AJ196" i="3"/>
  <c r="AJ202" i="3"/>
  <c r="AJ206" i="3"/>
  <c r="AJ212" i="3"/>
  <c r="AJ218" i="3"/>
  <c r="AJ222" i="3"/>
  <c r="AJ228" i="3"/>
  <c r="AJ234" i="3"/>
  <c r="AJ238" i="3"/>
  <c r="AJ244" i="3"/>
  <c r="AJ250" i="3"/>
  <c r="AJ254" i="3"/>
  <c r="AJ260" i="3"/>
  <c r="AJ266" i="3"/>
  <c r="AJ270" i="3"/>
  <c r="AJ276" i="3"/>
  <c r="AJ282" i="3"/>
  <c r="AJ286" i="3"/>
  <c r="AJ292" i="3"/>
  <c r="AJ298" i="3"/>
  <c r="AJ302" i="3"/>
  <c r="AJ308" i="3"/>
  <c r="AJ314" i="3"/>
  <c r="AJ318" i="3"/>
  <c r="AJ324" i="3"/>
  <c r="AJ330" i="3"/>
  <c r="AJ334" i="3"/>
  <c r="AK93" i="4"/>
  <c r="B280" i="2"/>
  <c r="AK9" i="4"/>
  <c r="AK17" i="4"/>
  <c r="AK23" i="4"/>
  <c r="AK28" i="4"/>
  <c r="AK33" i="4"/>
  <c r="AK39" i="4"/>
  <c r="AK44" i="4"/>
  <c r="AK49" i="4"/>
  <c r="AK55" i="4"/>
  <c r="AK60" i="4"/>
  <c r="AK65" i="4"/>
  <c r="AK71" i="4"/>
  <c r="AK76" i="4"/>
  <c r="AK80" i="4"/>
  <c r="AK94" i="4"/>
  <c r="AK99" i="4"/>
  <c r="AK62" i="4"/>
  <c r="AK46" i="4"/>
  <c r="AK26" i="4"/>
  <c r="AK12" i="4"/>
  <c r="AK13" i="4"/>
  <c r="AK30" i="4"/>
  <c r="B11" i="4"/>
  <c r="AK102" i="4"/>
  <c r="AK97" i="4"/>
  <c r="AK85" i="4"/>
  <c r="AK81" i="4"/>
  <c r="AK75" i="4"/>
  <c r="AK69" i="4"/>
  <c r="AK64" i="4"/>
  <c r="AK59" i="4"/>
  <c r="AK53" i="4"/>
  <c r="AK48" i="4"/>
  <c r="AK43" i="4"/>
  <c r="AK37" i="4"/>
  <c r="AK32" i="4"/>
  <c r="AK27" i="4"/>
  <c r="AK21" i="4"/>
  <c r="AK16" i="4"/>
  <c r="AK109" i="4"/>
  <c r="AK92" i="4"/>
  <c r="AK54" i="4"/>
  <c r="AK105" i="4"/>
  <c r="AK88" i="4"/>
  <c r="AK86" i="4"/>
  <c r="AK70" i="4"/>
  <c r="AK50" i="4"/>
  <c r="AK11" i="4"/>
  <c r="B78" i="4"/>
  <c r="B4" i="6"/>
  <c r="B12" i="6" s="1"/>
  <c r="B13" i="6" s="1"/>
  <c r="B13" i="4"/>
  <c r="AJ9" i="3"/>
  <c r="AM10" i="4"/>
  <c r="B44" i="2"/>
  <c r="B42" i="4"/>
  <c r="B43" i="2"/>
  <c r="AK91" i="4"/>
  <c r="B148" i="2"/>
  <c r="E69" i="1" s="1"/>
  <c r="B89" i="2"/>
  <c r="F3" i="8"/>
  <c r="F159" i="8" s="1"/>
  <c r="F158" i="8" s="1"/>
  <c r="F157" i="8" s="1"/>
  <c r="F156" i="8" s="1"/>
  <c r="F155" i="8" s="1"/>
  <c r="F154" i="8" s="1"/>
  <c r="F153" i="8" s="1"/>
  <c r="F152" i="8" s="1"/>
  <c r="F151" i="8" s="1"/>
  <c r="F150" i="8" s="1"/>
  <c r="F149" i="8" s="1"/>
  <c r="F148" i="8" s="1"/>
  <c r="F147" i="8" s="1"/>
  <c r="F146" i="8" s="1"/>
  <c r="F145" i="8" s="1"/>
  <c r="F144" i="8" s="1"/>
  <c r="F143" i="8" s="1"/>
  <c r="F142" i="8" s="1"/>
  <c r="F141" i="8" s="1"/>
  <c r="F140" i="8" s="1"/>
  <c r="F139" i="8" s="1"/>
  <c r="F138" i="8" s="1"/>
  <c r="F137" i="8" s="1"/>
  <c r="F136" i="8" s="1"/>
  <c r="F135" i="8" s="1"/>
  <c r="F134" i="8" s="1"/>
  <c r="F133" i="8" s="1"/>
  <c r="F132" i="8" s="1"/>
  <c r="F131" i="8" s="1"/>
  <c r="F130" i="8" s="1"/>
  <c r="F129" i="8" s="1"/>
  <c r="F128" i="8" s="1"/>
  <c r="F127" i="8" s="1"/>
  <c r="F126" i="8" s="1"/>
  <c r="F125" i="8" s="1"/>
  <c r="F124" i="8" s="1"/>
  <c r="F123" i="8" s="1"/>
  <c r="F122" i="8" s="1"/>
  <c r="F121" i="8" s="1"/>
  <c r="F120" i="8" s="1"/>
  <c r="F119" i="8" s="1"/>
  <c r="F118" i="8" s="1"/>
  <c r="F117" i="8" s="1"/>
  <c r="F116" i="8" s="1"/>
  <c r="F115" i="8" s="1"/>
  <c r="F114" i="8" s="1"/>
  <c r="F113" i="8" s="1"/>
  <c r="F112" i="8" s="1"/>
  <c r="F111" i="8" s="1"/>
  <c r="F110" i="8" s="1"/>
  <c r="F109" i="8" s="1"/>
  <c r="F108" i="8" s="1"/>
  <c r="F107" i="8" s="1"/>
  <c r="F106" i="8" s="1"/>
  <c r="F105" i="8" s="1"/>
  <c r="F104" i="8" s="1"/>
  <c r="F103" i="8" s="1"/>
  <c r="F102" i="8" s="1"/>
  <c r="F101" i="8" s="1"/>
  <c r="F100" i="8" s="1"/>
  <c r="F99" i="8" s="1"/>
  <c r="F98" i="8" s="1"/>
  <c r="F97" i="8" s="1"/>
  <c r="F96" i="8" s="1"/>
  <c r="F95" i="8" s="1"/>
  <c r="F94" i="8" s="1"/>
  <c r="F93" i="8" s="1"/>
  <c r="F92" i="8" s="1"/>
  <c r="F91" i="8" s="1"/>
  <c r="F90" i="8" s="1"/>
  <c r="F89" i="8" s="1"/>
  <c r="F88" i="8" s="1"/>
  <c r="F87" i="8" s="1"/>
  <c r="F86" i="8" s="1"/>
  <c r="F85" i="8" s="1"/>
  <c r="F84" i="8" s="1"/>
  <c r="F83" i="8" s="1"/>
  <c r="F82" i="8" s="1"/>
  <c r="F81" i="8" s="1"/>
  <c r="F80" i="8" s="1"/>
  <c r="F79" i="8" s="1"/>
  <c r="F78" i="8" s="1"/>
  <c r="F77" i="8" s="1"/>
  <c r="F76" i="8" s="1"/>
  <c r="F75" i="8" s="1"/>
  <c r="F74" i="8" s="1"/>
  <c r="F73" i="8" s="1"/>
  <c r="F72" i="8" s="1"/>
  <c r="F71" i="8" s="1"/>
  <c r="F70" i="8" s="1"/>
  <c r="F69" i="8" s="1"/>
  <c r="F68" i="8" s="1"/>
  <c r="F67" i="8" s="1"/>
  <c r="F66" i="8" s="1"/>
  <c r="F65" i="8" s="1"/>
  <c r="F64" i="8" s="1"/>
  <c r="F63" i="8" s="1"/>
  <c r="F62" i="8" s="1"/>
  <c r="F61" i="8" s="1"/>
  <c r="F60" i="8" s="1"/>
  <c r="F59" i="8" s="1"/>
  <c r="F58" i="8" s="1"/>
  <c r="F57" i="8" s="1"/>
  <c r="F56" i="8" s="1"/>
  <c r="F55" i="8" s="1"/>
  <c r="F54" i="8" s="1"/>
  <c r="F53" i="8" s="1"/>
  <c r="F52" i="8" s="1"/>
  <c r="F51" i="8" s="1"/>
  <c r="F50" i="8" s="1"/>
  <c r="F49" i="8" s="1"/>
  <c r="F48" i="8" s="1"/>
  <c r="F47" i="8" s="1"/>
  <c r="F46" i="8" s="1"/>
  <c r="F45" i="8" s="1"/>
  <c r="F44" i="8" s="1"/>
  <c r="F43" i="8" s="1"/>
  <c r="F42" i="8" s="1"/>
  <c r="F41" i="8" s="1"/>
  <c r="F40" i="8" s="1"/>
  <c r="F39" i="8" s="1"/>
  <c r="F38" i="8" s="1"/>
  <c r="F37" i="8" s="1"/>
  <c r="F36" i="8" s="1"/>
  <c r="F35" i="8" s="1"/>
  <c r="F34" i="8" s="1"/>
  <c r="F33" i="8" s="1"/>
  <c r="F32" i="8" s="1"/>
  <c r="F31" i="8" s="1"/>
  <c r="F30" i="8" s="1"/>
  <c r="F29" i="8" s="1"/>
  <c r="F28" i="8" s="1"/>
  <c r="F27" i="8" s="1"/>
  <c r="F26" i="8" s="1"/>
  <c r="F25" i="8" s="1"/>
  <c r="F24" i="8" s="1"/>
  <c r="F23" i="8" s="1"/>
  <c r="F22" i="8" s="1"/>
  <c r="F21" i="8" s="1"/>
  <c r="F20" i="8" s="1"/>
  <c r="F19" i="8" s="1"/>
  <c r="F18" i="8" s="1"/>
  <c r="F17" i="8" s="1"/>
  <c r="F16" i="8" s="1"/>
  <c r="F15" i="8" s="1"/>
  <c r="F14" i="8" s="1"/>
  <c r="F13" i="8" s="1"/>
  <c r="F12" i="8" s="1"/>
  <c r="F11" i="8" s="1"/>
  <c r="F10" i="8" s="1"/>
  <c r="F9" i="8" s="1"/>
  <c r="F8" i="8" s="1"/>
  <c r="F7" i="8" s="1"/>
  <c r="F6" i="8" s="1"/>
  <c r="F4" i="8" s="1"/>
  <c r="AQ37" i="3"/>
  <c r="A38" i="3"/>
  <c r="B37" i="3"/>
  <c r="AR29" i="3"/>
  <c r="B29" i="3"/>
  <c r="AQ31" i="3"/>
  <c r="AR31" i="3"/>
  <c r="AR36" i="3"/>
  <c r="B36" i="3"/>
  <c r="B27" i="3"/>
  <c r="AQ32" i="3" l="1"/>
  <c r="AR32" i="3"/>
  <c r="B32" i="3"/>
  <c r="E68" i="1"/>
  <c r="E67" i="1"/>
  <c r="B28" i="3"/>
  <c r="AR28" i="3"/>
  <c r="AQ28" i="3"/>
  <c r="AR33" i="3"/>
  <c r="B33" i="3"/>
  <c r="AQ33" i="3"/>
  <c r="B35" i="3"/>
  <c r="AQ35" i="3"/>
  <c r="AR35" i="3"/>
  <c r="AN20" i="4"/>
  <c r="AJ157" i="4"/>
  <c r="AJ204" i="4"/>
  <c r="I132" i="4"/>
  <c r="J132" i="4" s="1"/>
  <c r="K132" i="4" s="1"/>
  <c r="AP138" i="4"/>
  <c r="AJ186" i="4"/>
  <c r="AP157" i="4"/>
  <c r="AJ208" i="4"/>
  <c r="I202" i="4"/>
  <c r="J202" i="4" s="1"/>
  <c r="AJ115" i="4"/>
  <c r="AP173" i="4"/>
  <c r="AP127" i="4"/>
  <c r="AJ122" i="4"/>
  <c r="AJ170" i="4"/>
  <c r="AP125" i="4"/>
  <c r="AJ192" i="4"/>
  <c r="AJ118" i="4"/>
  <c r="I166" i="4"/>
  <c r="J166" i="4" s="1"/>
  <c r="K166" i="4" s="1"/>
  <c r="AJ120" i="4"/>
  <c r="AP150" i="4"/>
  <c r="AP124" i="4"/>
  <c r="AJ188" i="4"/>
  <c r="I184" i="4"/>
  <c r="J184" i="4" s="1"/>
  <c r="K184" i="4" s="1"/>
  <c r="I180" i="4"/>
  <c r="J180" i="4" s="1"/>
  <c r="AJ166" i="4"/>
  <c r="AJ153" i="4"/>
  <c r="I201" i="4"/>
  <c r="J201" i="4" s="1"/>
  <c r="K201" i="4" s="1"/>
  <c r="AJ171" i="4"/>
  <c r="I198" i="4"/>
  <c r="J198" i="4" s="1"/>
  <c r="K198" i="4" s="1"/>
  <c r="I207" i="4"/>
  <c r="J207" i="4" s="1"/>
  <c r="AJ184" i="4"/>
  <c r="I153" i="4"/>
  <c r="J153" i="4" s="1"/>
  <c r="K153" i="4" s="1"/>
  <c r="AP166" i="4"/>
  <c r="AP134" i="4"/>
  <c r="AP192" i="4"/>
  <c r="AP116" i="4"/>
  <c r="AJ151" i="4"/>
  <c r="AJ134" i="4"/>
  <c r="I116" i="4"/>
  <c r="J116" i="4" s="1"/>
  <c r="AJ179" i="4"/>
  <c r="AJ137" i="4"/>
  <c r="AP179" i="4"/>
  <c r="AP180" i="4"/>
  <c r="AP151" i="4"/>
  <c r="I151" i="4"/>
  <c r="J151" i="4" s="1"/>
  <c r="AJ198" i="4"/>
  <c r="AJ169" i="4"/>
  <c r="AJ207" i="4"/>
  <c r="I121" i="4"/>
  <c r="J121" i="4" s="1"/>
  <c r="K121" i="4" s="1"/>
  <c r="I169" i="4"/>
  <c r="J169" i="4" s="1"/>
  <c r="I192" i="4"/>
  <c r="J192" i="4" s="1"/>
  <c r="K192" i="4" s="1"/>
  <c r="AJ116" i="4"/>
  <c r="AP121" i="4"/>
  <c r="AP129" i="4"/>
  <c r="AP132" i="4"/>
  <c r="AJ177" i="4"/>
  <c r="AJ167" i="4"/>
  <c r="AN137" i="4"/>
  <c r="AN185" i="4"/>
  <c r="AN191" i="4"/>
  <c r="I127" i="4"/>
  <c r="J127" i="4" s="1"/>
  <c r="K127" i="4" s="1"/>
  <c r="I186" i="4"/>
  <c r="J186" i="4" s="1"/>
  <c r="K186" i="4" s="1"/>
  <c r="AJ125" i="4"/>
  <c r="AJ196" i="4"/>
  <c r="AJ200" i="4"/>
  <c r="I138" i="4"/>
  <c r="J138" i="4" s="1"/>
  <c r="K138" i="4" s="1"/>
  <c r="I208" i="4"/>
  <c r="J208" i="4" s="1"/>
  <c r="K208" i="4" s="1"/>
  <c r="I200" i="4"/>
  <c r="J200" i="4" s="1"/>
  <c r="K200" i="4" s="1"/>
  <c r="I154" i="4"/>
  <c r="J154" i="4" s="1"/>
  <c r="K154" i="4" s="1"/>
  <c r="I141" i="4"/>
  <c r="J141" i="4" s="1"/>
  <c r="K141" i="4" s="1"/>
  <c r="AJ144" i="4"/>
  <c r="AP186" i="4"/>
  <c r="AP205" i="4"/>
  <c r="AP183" i="4"/>
  <c r="AP208" i="4"/>
  <c r="I173" i="4"/>
  <c r="J173" i="4" s="1"/>
  <c r="I170" i="4"/>
  <c r="J170" i="4" s="1"/>
  <c r="K170" i="4" s="1"/>
  <c r="I183" i="4"/>
  <c r="J183" i="4" s="1"/>
  <c r="K183" i="4" s="1"/>
  <c r="I157" i="4"/>
  <c r="J157" i="4" s="1"/>
  <c r="I125" i="4"/>
  <c r="J125" i="4" s="1"/>
  <c r="K125" i="4" s="1"/>
  <c r="AP170" i="4"/>
  <c r="AP144" i="4"/>
  <c r="AP196" i="4"/>
  <c r="AN139" i="4"/>
  <c r="AN163" i="4"/>
  <c r="AN192" i="4"/>
  <c r="AN132" i="4"/>
  <c r="I171" i="4"/>
  <c r="J171" i="4" s="1"/>
  <c r="K171" i="4" s="1"/>
  <c r="I150" i="4"/>
  <c r="J150" i="4" s="1"/>
  <c r="K150" i="4" s="1"/>
  <c r="I118" i="4"/>
  <c r="J118" i="4" s="1"/>
  <c r="K118" i="4" s="1"/>
  <c r="AJ185" i="4"/>
  <c r="AJ150" i="4"/>
  <c r="AJ182" i="4"/>
  <c r="I110" i="4"/>
  <c r="J110" i="4" s="1"/>
  <c r="K110" i="4" s="1"/>
  <c r="AJ201" i="4"/>
  <c r="AJ124" i="4"/>
  <c r="I185" i="4"/>
  <c r="J185" i="4" s="1"/>
  <c r="AJ180" i="4"/>
  <c r="I120" i="4"/>
  <c r="J120" i="4" s="1"/>
  <c r="AP153" i="4"/>
  <c r="AP169" i="4"/>
  <c r="AP171" i="4"/>
  <c r="AP185" i="4"/>
  <c r="AP139" i="4"/>
  <c r="AP207" i="4"/>
  <c r="AP184" i="4"/>
  <c r="I134" i="4"/>
  <c r="J134" i="4" s="1"/>
  <c r="K134" i="4" s="1"/>
  <c r="AJ121" i="4"/>
  <c r="I139" i="4"/>
  <c r="J139" i="4" s="1"/>
  <c r="K139" i="4" s="1"/>
  <c r="AJ139" i="4"/>
  <c r="I188" i="4"/>
  <c r="J188" i="4" s="1"/>
  <c r="K188" i="4" s="1"/>
  <c r="I179" i="4"/>
  <c r="J179" i="4" s="1"/>
  <c r="K179" i="4" s="1"/>
  <c r="I137" i="4"/>
  <c r="J137" i="4" s="1"/>
  <c r="I182" i="4"/>
  <c r="J182" i="4" s="1"/>
  <c r="AJ128" i="4"/>
  <c r="AJ119" i="4"/>
  <c r="I128" i="4"/>
  <c r="J128" i="4" s="1"/>
  <c r="K128" i="4" s="1"/>
  <c r="I119" i="4"/>
  <c r="J119" i="4" s="1"/>
  <c r="K119" i="4" s="1"/>
  <c r="AP118" i="4"/>
  <c r="AP198" i="4"/>
  <c r="AP201" i="4"/>
  <c r="AP182" i="4"/>
  <c r="AP128" i="4"/>
  <c r="AP119" i="4"/>
  <c r="AP137" i="4"/>
  <c r="AP188" i="4"/>
  <c r="AP165" i="4"/>
  <c r="AP120" i="4"/>
  <c r="AN129" i="4"/>
  <c r="AN187" i="4"/>
  <c r="AN167" i="4"/>
  <c r="AN136" i="4"/>
  <c r="AN177" i="4"/>
  <c r="AN118" i="4"/>
  <c r="AN135" i="4"/>
  <c r="AJ159" i="4"/>
  <c r="AJ147" i="4"/>
  <c r="AJ138" i="4"/>
  <c r="I159" i="4"/>
  <c r="J159" i="4" s="1"/>
  <c r="K159" i="4" s="1"/>
  <c r="AJ202" i="4"/>
  <c r="AJ141" i="4"/>
  <c r="I178" i="4"/>
  <c r="J178" i="4" s="1"/>
  <c r="K178" i="4" s="1"/>
  <c r="I189" i="4"/>
  <c r="J189" i="4" s="1"/>
  <c r="K189" i="4" s="1"/>
  <c r="AJ183" i="4"/>
  <c r="I140" i="4"/>
  <c r="J140" i="4" s="1"/>
  <c r="I204" i="4"/>
  <c r="J204" i="4" s="1"/>
  <c r="K204" i="4" s="1"/>
  <c r="I144" i="4"/>
  <c r="J144" i="4" s="1"/>
  <c r="K144" i="4" s="1"/>
  <c r="AJ140" i="4"/>
  <c r="I115" i="4"/>
  <c r="J115" i="4" s="1"/>
  <c r="K115" i="4" s="1"/>
  <c r="AJ132" i="4"/>
  <c r="AP159" i="4"/>
  <c r="AP122" i="4"/>
  <c r="AP189" i="4"/>
  <c r="AP141" i="4"/>
  <c r="AP147" i="4"/>
  <c r="AP115" i="4"/>
  <c r="I187" i="4"/>
  <c r="J187" i="4" s="1"/>
  <c r="K187" i="4" s="1"/>
  <c r="I205" i="4"/>
  <c r="J205" i="4" s="1"/>
  <c r="K205" i="4" s="1"/>
  <c r="AJ205" i="4"/>
  <c r="I122" i="4"/>
  <c r="J122" i="4" s="1"/>
  <c r="AJ187" i="4"/>
  <c r="AJ154" i="4"/>
  <c r="I196" i="4"/>
  <c r="J196" i="4" s="1"/>
  <c r="K196" i="4" s="1"/>
  <c r="I147" i="4"/>
  <c r="J147" i="4" s="1"/>
  <c r="K147" i="4" s="1"/>
  <c r="AJ189" i="4"/>
  <c r="AJ173" i="4"/>
  <c r="I136" i="4"/>
  <c r="J136" i="4" s="1"/>
  <c r="K136" i="4" s="1"/>
  <c r="AJ127" i="4"/>
  <c r="AJ136" i="4"/>
  <c r="AP154" i="4"/>
  <c r="AP187" i="4"/>
  <c r="AP202" i="4"/>
  <c r="AN200" i="4"/>
  <c r="AN119" i="4"/>
  <c r="AJ145" i="4"/>
  <c r="AJ158" i="4"/>
  <c r="I124" i="4"/>
  <c r="J124" i="4" s="1"/>
  <c r="AP123" i="4"/>
  <c r="AJ129" i="4"/>
  <c r="I129" i="4"/>
  <c r="J129" i="4" s="1"/>
  <c r="K129" i="4" s="1"/>
  <c r="I190" i="4"/>
  <c r="J190" i="4" s="1"/>
  <c r="AJ209" i="4"/>
  <c r="AP174" i="4"/>
  <c r="AP167" i="4"/>
  <c r="AP113" i="4"/>
  <c r="AP135" i="4"/>
  <c r="I193" i="4"/>
  <c r="J193" i="4" s="1"/>
  <c r="K193" i="4" s="1"/>
  <c r="I126" i="4"/>
  <c r="J126" i="4" s="1"/>
  <c r="AJ191" i="4"/>
  <c r="AP152" i="4"/>
  <c r="AN150" i="4"/>
  <c r="AN123" i="4"/>
  <c r="AN208" i="4"/>
  <c r="AN126" i="4"/>
  <c r="AN166" i="4"/>
  <c r="AN196" i="4"/>
  <c r="AN209" i="4"/>
  <c r="AN138" i="4"/>
  <c r="AN149" i="4"/>
  <c r="AN140" i="4"/>
  <c r="AN110" i="4"/>
  <c r="AN124" i="4"/>
  <c r="AP204" i="4"/>
  <c r="AP148" i="4"/>
  <c r="AN197" i="4"/>
  <c r="AN158" i="4"/>
  <c r="AN113" i="4"/>
  <c r="AN127" i="4"/>
  <c r="AP175" i="4"/>
  <c r="AN193" i="4"/>
  <c r="AN199" i="4"/>
  <c r="I199" i="4"/>
  <c r="J199" i="4" s="1"/>
  <c r="K199" i="4" s="1"/>
  <c r="AJ113" i="4"/>
  <c r="AJ206" i="4"/>
  <c r="I165" i="4"/>
  <c r="J165" i="4" s="1"/>
  <c r="I177" i="4"/>
  <c r="J177" i="4" s="1"/>
  <c r="I113" i="4"/>
  <c r="J113" i="4" s="1"/>
  <c r="I172" i="4"/>
  <c r="J172" i="4" s="1"/>
  <c r="AJ195" i="4"/>
  <c r="AJ123" i="4"/>
  <c r="I123" i="4"/>
  <c r="J123" i="4" s="1"/>
  <c r="AP161" i="4"/>
  <c r="AP190" i="4"/>
  <c r="AP206" i="4"/>
  <c r="AP209" i="4"/>
  <c r="AP156" i="4"/>
  <c r="AP140" i="4"/>
  <c r="I164" i="4"/>
  <c r="J164" i="4" s="1"/>
  <c r="K164" i="4" s="1"/>
  <c r="AJ130" i="4"/>
  <c r="AJ174" i="4"/>
  <c r="I130" i="4"/>
  <c r="J130" i="4" s="1"/>
  <c r="I167" i="4"/>
  <c r="J167" i="4" s="1"/>
  <c r="I197" i="4"/>
  <c r="J197" i="4" s="1"/>
  <c r="K197" i="4" s="1"/>
  <c r="AJ156" i="4"/>
  <c r="I145" i="4"/>
  <c r="J145" i="4" s="1"/>
  <c r="I206" i="4"/>
  <c r="J206" i="4" s="1"/>
  <c r="K206" i="4" s="1"/>
  <c r="AJ142" i="4"/>
  <c r="I191" i="4"/>
  <c r="J191" i="4" s="1"/>
  <c r="I152" i="4"/>
  <c r="J152" i="4" s="1"/>
  <c r="AJ148" i="4"/>
  <c r="AP111" i="4"/>
  <c r="AP191" i="4"/>
  <c r="AP195" i="4"/>
  <c r="AP145" i="4"/>
  <c r="AN207" i="4"/>
  <c r="AN203" i="4"/>
  <c r="AN154" i="4"/>
  <c r="AN186" i="4"/>
  <c r="AN134" i="4"/>
  <c r="AN143" i="4"/>
  <c r="AN184" i="4"/>
  <c r="AN147" i="4"/>
  <c r="AN195" i="4"/>
  <c r="AN182" i="4"/>
  <c r="AN202" i="4"/>
  <c r="AN157" i="4"/>
  <c r="AN175" i="4"/>
  <c r="AN116" i="4"/>
  <c r="AN148" i="4"/>
  <c r="AN190" i="4"/>
  <c r="AN179" i="4"/>
  <c r="AN156" i="4"/>
  <c r="AN206" i="4"/>
  <c r="AN201" i="4"/>
  <c r="AN194" i="4"/>
  <c r="AN174" i="4"/>
  <c r="AN159" i="4"/>
  <c r="AN152" i="4"/>
  <c r="AN170" i="4"/>
  <c r="AN131" i="4"/>
  <c r="AN115" i="4"/>
  <c r="AN180" i="4"/>
  <c r="AN155" i="4"/>
  <c r="AN205" i="4"/>
  <c r="AN142" i="4"/>
  <c r="AN122" i="4"/>
  <c r="AJ114" i="4"/>
  <c r="AJ117" i="4"/>
  <c r="AJ199" i="4"/>
  <c r="I149" i="4"/>
  <c r="J149" i="4" s="1"/>
  <c r="AJ194" i="4"/>
  <c r="AP197" i="4"/>
  <c r="AP181" i="4"/>
  <c r="AJ160" i="4"/>
  <c r="I117" i="4"/>
  <c r="J117" i="4" s="1"/>
  <c r="K117" i="4" s="1"/>
  <c r="AJ163" i="4"/>
  <c r="AJ178" i="4"/>
  <c r="I163" i="4"/>
  <c r="J163" i="4" s="1"/>
  <c r="I160" i="4"/>
  <c r="J160" i="4" s="1"/>
  <c r="I143" i="4"/>
  <c r="J143" i="4" s="1"/>
  <c r="AJ190" i="4"/>
  <c r="I162" i="4"/>
  <c r="J162" i="4" s="1"/>
  <c r="X162" i="4" s="1"/>
  <c r="Y162" i="4" s="1"/>
  <c r="I209" i="4"/>
  <c r="J209" i="4" s="1"/>
  <c r="AJ162" i="4"/>
  <c r="AJ203" i="4"/>
  <c r="I203" i="4"/>
  <c r="J203" i="4" s="1"/>
  <c r="AJ176" i="4"/>
  <c r="AJ172" i="4"/>
  <c r="AJ168" i="4"/>
  <c r="AJ164" i="4"/>
  <c r="I148" i="4"/>
  <c r="J148" i="4" s="1"/>
  <c r="K148" i="4" s="1"/>
  <c r="I135" i="4"/>
  <c r="J135" i="4" s="1"/>
  <c r="I131" i="4"/>
  <c r="J131" i="4" s="1"/>
  <c r="I111" i="4"/>
  <c r="J111" i="4" s="1"/>
  <c r="L111" i="4" s="1"/>
  <c r="AP163" i="4"/>
  <c r="AP155" i="4"/>
  <c r="AP126" i="4"/>
  <c r="AP110" i="4"/>
  <c r="AP158" i="4"/>
  <c r="AP177" i="4"/>
  <c r="AP162" i="4"/>
  <c r="AP133" i="4"/>
  <c r="AP193" i="4"/>
  <c r="AP112" i="4"/>
  <c r="AP164" i="4"/>
  <c r="AP172" i="4"/>
  <c r="AP200" i="4"/>
  <c r="AP136" i="4"/>
  <c r="I114" i="4"/>
  <c r="J114" i="4" s="1"/>
  <c r="R114" i="4" s="1"/>
  <c r="S114" i="4" s="1"/>
  <c r="T114" i="4" s="1"/>
  <c r="AJ143" i="4"/>
  <c r="I175" i="4"/>
  <c r="J175" i="4" s="1"/>
  <c r="AJ149" i="4"/>
  <c r="I181" i="4"/>
  <c r="J181" i="4" s="1"/>
  <c r="I176" i="4"/>
  <c r="J176" i="4" s="1"/>
  <c r="K176" i="4" s="1"/>
  <c r="I168" i="4"/>
  <c r="J168" i="4" s="1"/>
  <c r="AJ165" i="4"/>
  <c r="AJ112" i="4"/>
  <c r="AP114" i="4"/>
  <c r="AP199" i="4"/>
  <c r="AP143" i="4"/>
  <c r="I133" i="4"/>
  <c r="J133" i="4" s="1"/>
  <c r="AJ193" i="4"/>
  <c r="AJ110" i="4"/>
  <c r="I155" i="4"/>
  <c r="J155" i="4" s="1"/>
  <c r="K155" i="4" s="1"/>
  <c r="I174" i="4"/>
  <c r="J174" i="4" s="1"/>
  <c r="K174" i="4" s="1"/>
  <c r="AJ126" i="4"/>
  <c r="I146" i="4"/>
  <c r="J146" i="4" s="1"/>
  <c r="AJ146" i="4"/>
  <c r="I156" i="4"/>
  <c r="J156" i="4" s="1"/>
  <c r="K156" i="4" s="1"/>
  <c r="AJ197" i="4"/>
  <c r="I194" i="4"/>
  <c r="J194" i="4" s="1"/>
  <c r="AJ133" i="4"/>
  <c r="AJ175" i="4"/>
  <c r="I142" i="4"/>
  <c r="J142" i="4" s="1"/>
  <c r="K142" i="4" s="1"/>
  <c r="AJ161" i="4"/>
  <c r="I158" i="4"/>
  <c r="J158" i="4" s="1"/>
  <c r="AJ181" i="4"/>
  <c r="AJ155" i="4"/>
  <c r="I161" i="4"/>
  <c r="J161" i="4" s="1"/>
  <c r="K161" i="4" s="1"/>
  <c r="I195" i="4"/>
  <c r="J195" i="4" s="1"/>
  <c r="AJ152" i="4"/>
  <c r="AJ131" i="4"/>
  <c r="AJ135" i="4"/>
  <c r="I112" i="4"/>
  <c r="J112" i="4" s="1"/>
  <c r="AJ111" i="4"/>
  <c r="AP117" i="4"/>
  <c r="AP203" i="4"/>
  <c r="AP146" i="4"/>
  <c r="AP142" i="4"/>
  <c r="AP130" i="4"/>
  <c r="AP160" i="4"/>
  <c r="AP149" i="4"/>
  <c r="AP178" i="4"/>
  <c r="AP194" i="4"/>
  <c r="AP131" i="4"/>
  <c r="AP176" i="4"/>
  <c r="AP168" i="4"/>
  <c r="C243" i="2"/>
  <c r="F243" i="2" s="1"/>
  <c r="C44" i="16" s="1"/>
  <c r="B244" i="2"/>
  <c r="D44" i="16" s="1"/>
  <c r="D242" i="2"/>
  <c r="B245" i="2" s="1"/>
  <c r="D243" i="2" s="1"/>
  <c r="AN120" i="4"/>
  <c r="AN173" i="4"/>
  <c r="AN165" i="4"/>
  <c r="AN172" i="4"/>
  <c r="AN161" i="4"/>
  <c r="AN183" i="4"/>
  <c r="AN178" i="4"/>
  <c r="AN160" i="4"/>
  <c r="AN153" i="4"/>
  <c r="AN146" i="4"/>
  <c r="AN141" i="4"/>
  <c r="AN128" i="4"/>
  <c r="AN125" i="4"/>
  <c r="AN112" i="4"/>
  <c r="AN204" i="4"/>
  <c r="AN130" i="4"/>
  <c r="AN181" i="4"/>
  <c r="AN176" i="4"/>
  <c r="AN198" i="4"/>
  <c r="AN145" i="4"/>
  <c r="AN114" i="4"/>
  <c r="AN111" i="4"/>
  <c r="AN189" i="4"/>
  <c r="AN168" i="4"/>
  <c r="AN171" i="4"/>
  <c r="AN144" i="4"/>
  <c r="AN164" i="4"/>
  <c r="AN188" i="4"/>
  <c r="AN169" i="4"/>
  <c r="AN162" i="4"/>
  <c r="AN151" i="4"/>
  <c r="AN121" i="4"/>
  <c r="AN117" i="4"/>
  <c r="AN133" i="4"/>
  <c r="AJ43" i="4"/>
  <c r="AP98" i="4"/>
  <c r="AJ13" i="4"/>
  <c r="AJ80" i="4"/>
  <c r="AP109" i="4"/>
  <c r="AJ78" i="4"/>
  <c r="AJ40" i="4"/>
  <c r="AJ97" i="4"/>
  <c r="AJ19" i="4"/>
  <c r="AJ61" i="4"/>
  <c r="AP22" i="4"/>
  <c r="AP85" i="4"/>
  <c r="AI38" i="4"/>
  <c r="AP73" i="4"/>
  <c r="AJ84" i="4"/>
  <c r="AI86" i="4"/>
  <c r="AJ29" i="4"/>
  <c r="I107" i="4"/>
  <c r="J107" i="4" s="1"/>
  <c r="K107" i="4" s="1"/>
  <c r="AI25" i="4"/>
  <c r="I30" i="4"/>
  <c r="J30" i="4" s="1"/>
  <c r="K30" i="4" s="1"/>
  <c r="AJ94" i="4"/>
  <c r="AP88" i="4"/>
  <c r="AI26" i="4"/>
  <c r="I37" i="4"/>
  <c r="J37" i="4" s="1"/>
  <c r="K37" i="4" s="1"/>
  <c r="AJ41" i="4"/>
  <c r="AP66" i="4"/>
  <c r="AJ39" i="4"/>
  <c r="AP76" i="4"/>
  <c r="I51" i="4"/>
  <c r="J51" i="4" s="1"/>
  <c r="K51" i="4" s="1"/>
  <c r="AP12" i="4"/>
  <c r="AP17" i="4"/>
  <c r="AI70" i="4"/>
  <c r="I16" i="4"/>
  <c r="J16" i="4" s="1"/>
  <c r="K16" i="4" s="1"/>
  <c r="AP104" i="4"/>
  <c r="AJ87" i="4"/>
  <c r="AJ52" i="4"/>
  <c r="AP15" i="4"/>
  <c r="AI100" i="4"/>
  <c r="AP18" i="4"/>
  <c r="AJ67" i="4"/>
  <c r="AJ45" i="4"/>
  <c r="AP62" i="4"/>
  <c r="AP56" i="4"/>
  <c r="I20" i="4"/>
  <c r="J20" i="4" s="1"/>
  <c r="K20" i="4" s="1"/>
  <c r="AI34" i="4"/>
  <c r="AI103" i="4"/>
  <c r="AJ44" i="4"/>
  <c r="AI21" i="4"/>
  <c r="AP31" i="4"/>
  <c r="AP69" i="4"/>
  <c r="AJ42" i="4"/>
  <c r="AP49" i="4"/>
  <c r="I99" i="4"/>
  <c r="J99" i="4" s="1"/>
  <c r="K99" i="4" s="1"/>
  <c r="AP24" i="4"/>
  <c r="AJ64" i="4"/>
  <c r="AI28" i="4"/>
  <c r="AP53" i="4"/>
  <c r="AJ96" i="4"/>
  <c r="AP68" i="4"/>
  <c r="AI32" i="4"/>
  <c r="AP106" i="4"/>
  <c r="AP11" i="4"/>
  <c r="AI9" i="4"/>
  <c r="I75" i="4"/>
  <c r="J75" i="4" s="1"/>
  <c r="K75" i="4" s="1"/>
  <c r="AI82" i="4"/>
  <c r="AP92" i="4"/>
  <c r="AI48" i="4"/>
  <c r="AP23" i="4"/>
  <c r="I27" i="4"/>
  <c r="J27" i="4" s="1"/>
  <c r="K27" i="4" s="1"/>
  <c r="AI89" i="4"/>
  <c r="AJ91" i="4"/>
  <c r="AP58" i="4"/>
  <c r="AI10" i="4"/>
  <c r="I33" i="4"/>
  <c r="J33" i="4" s="1"/>
  <c r="K33" i="4" s="1"/>
  <c r="AP105" i="4"/>
  <c r="AJ79" i="4"/>
  <c r="AI46" i="4"/>
  <c r="I72" i="4"/>
  <c r="J72" i="4" s="1"/>
  <c r="K72" i="4" s="1"/>
  <c r="AJ101" i="4"/>
  <c r="AJ50" i="4"/>
  <c r="AJ71" i="4"/>
  <c r="AI81" i="4"/>
  <c r="AI60" i="4"/>
  <c r="AJ83" i="4"/>
  <c r="AJ57" i="4"/>
  <c r="AJ95" i="4"/>
  <c r="AI102" i="4"/>
  <c r="AI59" i="4"/>
  <c r="I74" i="4"/>
  <c r="J74" i="4" s="1"/>
  <c r="K74" i="4" s="1"/>
  <c r="AP93" i="4"/>
  <c r="AP35" i="4"/>
  <c r="AP77" i="4"/>
  <c r="AI90" i="4"/>
  <c r="AJ36" i="4"/>
  <c r="AJ54" i="4"/>
  <c r="I55" i="4"/>
  <c r="J55" i="4" s="1"/>
  <c r="K55" i="4" s="1"/>
  <c r="AP63" i="4"/>
  <c r="AI14" i="4"/>
  <c r="L66" i="2"/>
  <c r="G243" i="2" s="1"/>
  <c r="B39" i="2"/>
  <c r="B17" i="2"/>
  <c r="B37" i="2"/>
  <c r="B18" i="2" s="1"/>
  <c r="B62" i="2"/>
  <c r="R14" i="8" s="1"/>
  <c r="AP10" i="4"/>
  <c r="B125" i="2"/>
  <c r="B132" i="2" s="1"/>
  <c r="I10" i="4"/>
  <c r="J10" i="4" s="1"/>
  <c r="K10" i="4" s="1"/>
  <c r="AJ10" i="4"/>
  <c r="AI18" i="4"/>
  <c r="B273" i="2"/>
  <c r="I28" i="4"/>
  <c r="J28" i="4" s="1"/>
  <c r="K28" i="4" s="1"/>
  <c r="AP45" i="4"/>
  <c r="AN10" i="4"/>
  <c r="AI16" i="4"/>
  <c r="AN93" i="4"/>
  <c r="AN24" i="4"/>
  <c r="I45" i="4"/>
  <c r="J45" i="4" s="1"/>
  <c r="K45" i="4" s="1"/>
  <c r="AI45" i="4"/>
  <c r="B80" i="2"/>
  <c r="E41" i="1" s="1"/>
  <c r="B30" i="2"/>
  <c r="E16" i="1" s="1"/>
  <c r="I104" i="4"/>
  <c r="J104" i="4" s="1"/>
  <c r="K104" i="4" s="1"/>
  <c r="AP28" i="4"/>
  <c r="I58" i="4"/>
  <c r="J58" i="4" s="1"/>
  <c r="K58" i="4" s="1"/>
  <c r="AP91" i="4"/>
  <c r="AI104" i="4"/>
  <c r="AI55" i="4"/>
  <c r="AI96" i="4"/>
  <c r="I36" i="4"/>
  <c r="J36" i="4" s="1"/>
  <c r="K36" i="4" s="1"/>
  <c r="J668" i="3"/>
  <c r="AN57" i="4"/>
  <c r="I77" i="4"/>
  <c r="J77" i="4" s="1"/>
  <c r="K77" i="4" s="1"/>
  <c r="J640" i="3"/>
  <c r="J95" i="3"/>
  <c r="AJ93" i="4"/>
  <c r="AJ32" i="4"/>
  <c r="I68" i="4"/>
  <c r="J68" i="4" s="1"/>
  <c r="K68" i="4" s="1"/>
  <c r="AP36" i="4"/>
  <c r="J526" i="3"/>
  <c r="J660" i="3"/>
  <c r="AP44" i="4"/>
  <c r="AI20" i="4"/>
  <c r="AJ27" i="4"/>
  <c r="AI74" i="4"/>
  <c r="AJ51" i="4"/>
  <c r="I32" i="4"/>
  <c r="J32" i="4" s="1"/>
  <c r="K32" i="4" s="1"/>
  <c r="J265" i="3"/>
  <c r="J393" i="3"/>
  <c r="J300" i="3"/>
  <c r="J665" i="3"/>
  <c r="AP67" i="4"/>
  <c r="J409" i="3"/>
  <c r="B24" i="2"/>
  <c r="AP89" i="4"/>
  <c r="AN23" i="4"/>
  <c r="J13" i="3"/>
  <c r="J317" i="3"/>
  <c r="AJ88" i="4"/>
  <c r="AJ74" i="4"/>
  <c r="J173" i="3"/>
  <c r="J643" i="3"/>
  <c r="J267" i="3"/>
  <c r="J537" i="3"/>
  <c r="J140" i="3"/>
  <c r="J480" i="3"/>
  <c r="J233" i="3"/>
  <c r="J19" i="3"/>
  <c r="J332" i="3"/>
  <c r="J286" i="3"/>
  <c r="J397" i="3"/>
  <c r="J511" i="3"/>
  <c r="AJ48" i="4"/>
  <c r="AI95" i="4"/>
  <c r="AP94" i="4"/>
  <c r="I91" i="4"/>
  <c r="J91" i="4" s="1"/>
  <c r="K91" i="4" s="1"/>
  <c r="I54" i="4"/>
  <c r="J54" i="4" s="1"/>
  <c r="K54" i="4" s="1"/>
  <c r="AJ55" i="4"/>
  <c r="I64" i="4"/>
  <c r="J64" i="4" s="1"/>
  <c r="K64" i="4" s="1"/>
  <c r="J423" i="3"/>
  <c r="J110" i="3"/>
  <c r="J280" i="3"/>
  <c r="J106" i="3"/>
  <c r="J309" i="3"/>
  <c r="J179" i="3"/>
  <c r="J621" i="3"/>
  <c r="J463" i="3"/>
  <c r="J174" i="3"/>
  <c r="J224" i="3"/>
  <c r="J354" i="3"/>
  <c r="J552" i="3"/>
  <c r="J197" i="3"/>
  <c r="J384" i="3"/>
  <c r="J111" i="3"/>
  <c r="J636" i="3"/>
  <c r="J395" i="3"/>
  <c r="AI63" i="4"/>
  <c r="J337" i="3"/>
  <c r="J427" i="3"/>
  <c r="J125" i="3"/>
  <c r="J687" i="3"/>
  <c r="J604" i="3"/>
  <c r="J595" i="3"/>
  <c r="J346" i="3"/>
  <c r="AP42" i="4"/>
  <c r="AP54" i="4"/>
  <c r="AI54" i="4"/>
  <c r="I96" i="4"/>
  <c r="J96" i="4" s="1"/>
  <c r="K96" i="4" s="1"/>
  <c r="AI101" i="4"/>
  <c r="I92" i="4"/>
  <c r="J92" i="4" s="1"/>
  <c r="K92" i="4" s="1"/>
  <c r="I9" i="4"/>
  <c r="J9" i="4" s="1"/>
  <c r="K9" i="4" s="1"/>
  <c r="I87" i="4"/>
  <c r="J87" i="4" s="1"/>
  <c r="K87" i="4" s="1"/>
  <c r="I19" i="4"/>
  <c r="J19" i="4" s="1"/>
  <c r="K19" i="4" s="1"/>
  <c r="I53" i="4"/>
  <c r="J53" i="4" s="1"/>
  <c r="K53" i="4" s="1"/>
  <c r="I42" i="4"/>
  <c r="J42" i="4" s="1"/>
  <c r="K42" i="4" s="1"/>
  <c r="AP78" i="4"/>
  <c r="AI53" i="4"/>
  <c r="AI52" i="4"/>
  <c r="I24" i="4"/>
  <c r="J24" i="4" s="1"/>
  <c r="K24" i="4" s="1"/>
  <c r="AJ15" i="4"/>
  <c r="AI67" i="4"/>
  <c r="I52" i="4"/>
  <c r="J52" i="4" s="1"/>
  <c r="K52" i="4" s="1"/>
  <c r="AI22" i="4"/>
  <c r="I76" i="4"/>
  <c r="J76" i="4" s="1"/>
  <c r="K76" i="4" s="1"/>
  <c r="AP21" i="4"/>
  <c r="I12" i="4"/>
  <c r="J12" i="4" s="1"/>
  <c r="K12" i="4" s="1"/>
  <c r="AP55" i="4"/>
  <c r="I93" i="4"/>
  <c r="J93" i="4" s="1"/>
  <c r="K93" i="4" s="1"/>
  <c r="AI91" i="4"/>
  <c r="AJ90" i="4"/>
  <c r="AJ58" i="4"/>
  <c r="I21" i="4"/>
  <c r="J21" i="4" s="1"/>
  <c r="K21" i="4" s="1"/>
  <c r="AI98" i="4"/>
  <c r="I94" i="4"/>
  <c r="J94" i="4" s="1"/>
  <c r="K94" i="4" s="1"/>
  <c r="I102" i="4"/>
  <c r="J102" i="4" s="1"/>
  <c r="K102" i="4" s="1"/>
  <c r="I39" i="4"/>
  <c r="J39" i="4" s="1"/>
  <c r="K39" i="4" s="1"/>
  <c r="I90" i="4"/>
  <c r="J90" i="4" s="1"/>
  <c r="K90" i="4" s="1"/>
  <c r="AJ35" i="4"/>
  <c r="I35" i="4"/>
  <c r="J35" i="4" s="1"/>
  <c r="K35" i="4" s="1"/>
  <c r="AJ98" i="4"/>
  <c r="AN70" i="4"/>
  <c r="AN39" i="4"/>
  <c r="AJ12" i="4"/>
  <c r="AI77" i="4"/>
  <c r="AI27" i="4"/>
  <c r="I63" i="4"/>
  <c r="J63" i="4" s="1"/>
  <c r="K63" i="4" s="1"/>
  <c r="B275" i="2"/>
  <c r="AJ17" i="4"/>
  <c r="AJ14" i="4"/>
  <c r="I81" i="4"/>
  <c r="J81" i="4" s="1"/>
  <c r="K81" i="4" s="1"/>
  <c r="AP16" i="4"/>
  <c r="AP96" i="4"/>
  <c r="AJ18" i="4"/>
  <c r="AI61" i="4"/>
  <c r="AJ22" i="4"/>
  <c r="AP83" i="4"/>
  <c r="AJ85" i="4"/>
  <c r="AP40" i="4"/>
  <c r="AP32" i="4"/>
  <c r="I80" i="4"/>
  <c r="J80" i="4" s="1"/>
  <c r="J113" i="3"/>
  <c r="J11" i="3"/>
  <c r="J307" i="3"/>
  <c r="J533" i="3"/>
  <c r="J146" i="3"/>
  <c r="J440" i="3"/>
  <c r="J611" i="3"/>
  <c r="J437" i="3"/>
  <c r="J353" i="3"/>
  <c r="J658" i="3"/>
  <c r="J223" i="3"/>
  <c r="J139" i="3"/>
  <c r="J24" i="3"/>
  <c r="J577" i="3"/>
  <c r="J507" i="3"/>
  <c r="J388" i="3"/>
  <c r="J254" i="3"/>
  <c r="J50" i="3"/>
  <c r="J184" i="3"/>
  <c r="J268" i="3"/>
  <c r="J310" i="3"/>
  <c r="J418" i="3"/>
  <c r="J524" i="3"/>
  <c r="J594" i="3"/>
  <c r="J14" i="3"/>
  <c r="J407" i="3"/>
  <c r="I49" i="4"/>
  <c r="J49" i="4" s="1"/>
  <c r="K49" i="4" s="1"/>
  <c r="I57" i="4"/>
  <c r="J57" i="4" s="1"/>
  <c r="K57" i="4" s="1"/>
  <c r="I67" i="4"/>
  <c r="J67" i="4" s="1"/>
  <c r="K67" i="4" s="1"/>
  <c r="I14" i="4"/>
  <c r="J14" i="4" s="1"/>
  <c r="K14" i="4" s="1"/>
  <c r="I18" i="4"/>
  <c r="J18" i="4" s="1"/>
  <c r="K18" i="4" s="1"/>
  <c r="AI99" i="4"/>
  <c r="J109" i="3"/>
  <c r="J505" i="3"/>
  <c r="J18" i="3"/>
  <c r="J553" i="3"/>
  <c r="J124" i="3"/>
  <c r="J422" i="3"/>
  <c r="J598" i="3"/>
  <c r="J225" i="3"/>
  <c r="AI49" i="4"/>
  <c r="AJ106" i="4"/>
  <c r="AI24" i="4"/>
  <c r="AP70" i="4"/>
  <c r="J241" i="3"/>
  <c r="J664" i="3"/>
  <c r="J663" i="3"/>
  <c r="J656" i="3"/>
  <c r="J183" i="3"/>
  <c r="J166" i="3"/>
  <c r="J490" i="3"/>
  <c r="J48" i="3"/>
  <c r="J227" i="3"/>
  <c r="J291" i="3"/>
  <c r="J81" i="3"/>
  <c r="AN15" i="4"/>
  <c r="AN46" i="4"/>
  <c r="J615" i="3"/>
  <c r="J582" i="3"/>
  <c r="J403" i="3"/>
  <c r="J467" i="3"/>
  <c r="J67" i="3"/>
  <c r="AJ68" i="4"/>
  <c r="AJ69" i="4"/>
  <c r="J182" i="3"/>
  <c r="J509" i="3"/>
  <c r="J287" i="3"/>
  <c r="I69" i="4"/>
  <c r="J69" i="4" s="1"/>
  <c r="K69" i="4" s="1"/>
  <c r="AP14" i="4"/>
  <c r="AI80" i="4"/>
  <c r="AI68" i="4"/>
  <c r="AI37" i="4"/>
  <c r="AP90" i="4"/>
  <c r="J683" i="3"/>
  <c r="R11" i="8"/>
  <c r="S11" i="8" s="1"/>
  <c r="B128" i="2" s="1"/>
  <c r="AI64" i="4"/>
  <c r="AJ70" i="4"/>
  <c r="AJ104" i="4"/>
  <c r="AJ28" i="4"/>
  <c r="AJ100" i="4"/>
  <c r="C25" i="3"/>
  <c r="AJ86" i="4"/>
  <c r="AI29" i="4"/>
  <c r="AI58" i="4"/>
  <c r="AJ63" i="4"/>
  <c r="AI93" i="4"/>
  <c r="C55" i="16"/>
  <c r="D55" i="16" s="1"/>
  <c r="AJ89" i="4"/>
  <c r="AP38" i="4"/>
  <c r="AP86" i="4"/>
  <c r="AJ24" i="4"/>
  <c r="AP95" i="4"/>
  <c r="I29" i="4"/>
  <c r="J29" i="4" s="1"/>
  <c r="K29" i="4" s="1"/>
  <c r="I89" i="4"/>
  <c r="J89" i="4" s="1"/>
  <c r="K89" i="4" s="1"/>
  <c r="I23" i="4"/>
  <c r="J23" i="4" s="1"/>
  <c r="K23" i="4" s="1"/>
  <c r="AP46" i="4"/>
  <c r="AP27" i="4"/>
  <c r="AJ59" i="4"/>
  <c r="AI73" i="4"/>
  <c r="AP71" i="4"/>
  <c r="AP81" i="4"/>
  <c r="AJ60" i="4"/>
  <c r="AJ9" i="4"/>
  <c r="AP72" i="4"/>
  <c r="AI57" i="4"/>
  <c r="AP29" i="4"/>
  <c r="I50" i="4"/>
  <c r="J50" i="4" s="1"/>
  <c r="K50" i="4" s="1"/>
  <c r="AP48" i="4"/>
  <c r="AP97" i="4"/>
  <c r="I97" i="4"/>
  <c r="J97" i="4" s="1"/>
  <c r="K97" i="4" s="1"/>
  <c r="I84" i="4"/>
  <c r="J84" i="4" s="1"/>
  <c r="K84" i="4" s="1"/>
  <c r="AI36" i="4"/>
  <c r="I78" i="4"/>
  <c r="J78" i="4" s="1"/>
  <c r="K78" i="4" s="1"/>
  <c r="I86" i="4"/>
  <c r="J86" i="4" s="1"/>
  <c r="K86" i="4" s="1"/>
  <c r="I61" i="4"/>
  <c r="J61" i="4" s="1"/>
  <c r="K61" i="4" s="1"/>
  <c r="AP82" i="4"/>
  <c r="AI19" i="4"/>
  <c r="AN63" i="4"/>
  <c r="AN34" i="4"/>
  <c r="AN109" i="4"/>
  <c r="AN21" i="4"/>
  <c r="AN85" i="4"/>
  <c r="AN71" i="4"/>
  <c r="AN60" i="4"/>
  <c r="AP79" i="4"/>
  <c r="AP102" i="4"/>
  <c r="AP74" i="4"/>
  <c r="AP84" i="4"/>
  <c r="AI35" i="4"/>
  <c r="AJ77" i="4"/>
  <c r="AJ38" i="4"/>
  <c r="AN25" i="4"/>
  <c r="AI84" i="4"/>
  <c r="AN45" i="4"/>
  <c r="AJ102" i="4"/>
  <c r="AI44" i="4"/>
  <c r="AJ56" i="4"/>
  <c r="AI94" i="4"/>
  <c r="AJ31" i="4"/>
  <c r="AJ76" i="4"/>
  <c r="AP51" i="4"/>
  <c r="AP80" i="4"/>
  <c r="AP87" i="4"/>
  <c r="AP64" i="4"/>
  <c r="AJ37" i="4"/>
  <c r="AP20" i="4"/>
  <c r="AI39" i="4"/>
  <c r="I103" i="4"/>
  <c r="J103" i="4" s="1"/>
  <c r="K103" i="4" s="1"/>
  <c r="AI51" i="4"/>
  <c r="AI56" i="4"/>
  <c r="I26" i="4"/>
  <c r="J26" i="4" s="1"/>
  <c r="K26" i="4" s="1"/>
  <c r="AJ16" i="4"/>
  <c r="AJ49" i="4"/>
  <c r="I15" i="4"/>
  <c r="J15" i="4" s="1"/>
  <c r="K15" i="4" s="1"/>
  <c r="I13" i="4"/>
  <c r="J13" i="4" s="1"/>
  <c r="K13" i="4" s="1"/>
  <c r="I34" i="4"/>
  <c r="J34" i="4" s="1"/>
  <c r="K34" i="4" s="1"/>
  <c r="J477" i="3"/>
  <c r="J273" i="3"/>
  <c r="J493" i="3"/>
  <c r="J93" i="3"/>
  <c r="J269" i="3"/>
  <c r="J387" i="3"/>
  <c r="J599" i="3"/>
  <c r="J416" i="3"/>
  <c r="J138" i="3"/>
  <c r="J226" i="3"/>
  <c r="J360" i="3"/>
  <c r="J497" i="3"/>
  <c r="J563" i="3"/>
  <c r="J53" i="3"/>
  <c r="J457" i="3"/>
  <c r="J417" i="3"/>
  <c r="J373" i="3"/>
  <c r="J329" i="3"/>
  <c r="J289" i="3"/>
  <c r="J26" i="3"/>
  <c r="J243" i="3"/>
  <c r="J203" i="3"/>
  <c r="J159" i="3"/>
  <c r="J115" i="3"/>
  <c r="J75" i="3"/>
  <c r="J685" i="3"/>
  <c r="J601" i="3"/>
  <c r="J557" i="3"/>
  <c r="J527" i="3"/>
  <c r="J487" i="3"/>
  <c r="J428" i="3"/>
  <c r="J340" i="3"/>
  <c r="J648" i="3"/>
  <c r="J214" i="3"/>
  <c r="J126" i="3"/>
  <c r="J116" i="3"/>
  <c r="J160" i="3"/>
  <c r="J204" i="3"/>
  <c r="J248" i="3"/>
  <c r="J29" i="3"/>
  <c r="J290" i="3"/>
  <c r="J334" i="3"/>
  <c r="J374" i="3"/>
  <c r="J460" i="3"/>
  <c r="J502" i="3"/>
  <c r="J671" i="3"/>
  <c r="J574" i="3"/>
  <c r="J616" i="3"/>
  <c r="J39" i="3"/>
  <c r="J331" i="3"/>
  <c r="J27" i="3"/>
  <c r="J97" i="3"/>
  <c r="J74" i="3"/>
  <c r="I31" i="4"/>
  <c r="J31" i="4" s="1"/>
  <c r="K31" i="4" s="1"/>
  <c r="I100" i="4"/>
  <c r="J100" i="4" s="1"/>
  <c r="K100" i="4" s="1"/>
  <c r="AI43" i="4"/>
  <c r="AI42" i="4"/>
  <c r="AI12" i="4"/>
  <c r="AP99" i="4"/>
  <c r="AP52" i="4"/>
  <c r="I17" i="4"/>
  <c r="J17" i="4" s="1"/>
  <c r="K17" i="4" s="1"/>
  <c r="I41" i="4"/>
  <c r="J41" i="4" s="1"/>
  <c r="K41" i="4" s="1"/>
  <c r="J295" i="3"/>
  <c r="J419" i="3"/>
  <c r="J258" i="3"/>
  <c r="J36" i="3"/>
  <c r="J325" i="3"/>
  <c r="J195" i="3"/>
  <c r="J661" i="3"/>
  <c r="J479" i="3"/>
  <c r="J206" i="3"/>
  <c r="J208" i="3"/>
  <c r="J338" i="3"/>
  <c r="J484" i="3"/>
  <c r="J554" i="3"/>
  <c r="J673" i="3"/>
  <c r="J85" i="3"/>
  <c r="J304" i="3"/>
  <c r="AI31" i="4"/>
  <c r="J210" i="3"/>
  <c r="J57" i="3"/>
  <c r="J156" i="3"/>
  <c r="J454" i="3"/>
  <c r="J614" i="3"/>
  <c r="J279" i="3"/>
  <c r="J591" i="3"/>
  <c r="J567" i="3"/>
  <c r="J603" i="3"/>
  <c r="J666" i="3"/>
  <c r="J32" i="3"/>
  <c r="J380" i="3"/>
  <c r="J180" i="3"/>
  <c r="J394" i="3"/>
  <c r="J540" i="3"/>
  <c r="J89" i="3"/>
  <c r="J638" i="3"/>
  <c r="AI15" i="4"/>
  <c r="I98" i="4"/>
  <c r="J98" i="4" s="1"/>
  <c r="K98" i="4" s="1"/>
  <c r="J17" i="3"/>
  <c r="J357" i="3"/>
  <c r="J130" i="3"/>
  <c r="AN105" i="4"/>
  <c r="AN64" i="4"/>
  <c r="AN13" i="4"/>
  <c r="AN26" i="4"/>
  <c r="AN49" i="4"/>
  <c r="J163" i="3"/>
  <c r="J390" i="3"/>
  <c r="J439" i="3"/>
  <c r="J153" i="3"/>
  <c r="J521" i="3"/>
  <c r="J103" i="3"/>
  <c r="J132" i="3"/>
  <c r="J530" i="3"/>
  <c r="J161" i="3"/>
  <c r="AI13" i="4"/>
  <c r="AJ53" i="4"/>
  <c r="AP100" i="4"/>
  <c r="AP43" i="4"/>
  <c r="J237" i="3"/>
  <c r="J560" i="3"/>
  <c r="J62" i="3"/>
  <c r="I70" i="4"/>
  <c r="J70" i="4" s="1"/>
  <c r="K70" i="4" s="1"/>
  <c r="AI87" i="4"/>
  <c r="J263" i="3"/>
  <c r="AJ99" i="4"/>
  <c r="J375" i="3"/>
  <c r="AI69" i="4"/>
  <c r="AP13" i="4"/>
  <c r="AJ26" i="4"/>
  <c r="AJ20" i="4"/>
  <c r="AI17" i="4"/>
  <c r="AP34" i="4"/>
  <c r="J688" i="3"/>
  <c r="I48" i="4"/>
  <c r="J48" i="4" s="1"/>
  <c r="I22" i="4"/>
  <c r="J22" i="4" s="1"/>
  <c r="K22" i="4" s="1"/>
  <c r="AJ46" i="4"/>
  <c r="AP59" i="4"/>
  <c r="AP101" i="4"/>
  <c r="AJ73" i="4"/>
  <c r="I71" i="4"/>
  <c r="J71" i="4" s="1"/>
  <c r="K71" i="4" s="1"/>
  <c r="AP61" i="4"/>
  <c r="AJ81" i="4"/>
  <c r="AI92" i="4"/>
  <c r="AP60" i="4"/>
  <c r="I83" i="4"/>
  <c r="J83" i="4" s="1"/>
  <c r="K83" i="4" s="1"/>
  <c r="I85" i="4"/>
  <c r="J85" i="4" s="1"/>
  <c r="K85" i="4" s="1"/>
  <c r="AP9" i="4"/>
  <c r="I40" i="4"/>
  <c r="J40" i="4" s="1"/>
  <c r="K40" i="4" s="1"/>
  <c r="AP57" i="4"/>
  <c r="I82" i="4"/>
  <c r="J82" i="4" s="1"/>
  <c r="K82" i="4" s="1"/>
  <c r="AP19" i="4"/>
  <c r="AJ82" i="4"/>
  <c r="AJ23" i="4"/>
  <c r="I101" i="4"/>
  <c r="J101" i="4" s="1"/>
  <c r="K101" i="4" s="1"/>
  <c r="I38" i="4"/>
  <c r="J38" i="4" s="1"/>
  <c r="K38" i="4" s="1"/>
  <c r="I46" i="4"/>
  <c r="J46" i="4" s="1"/>
  <c r="K46" i="4" s="1"/>
  <c r="I73" i="4"/>
  <c r="J73" i="4" s="1"/>
  <c r="K73" i="4" s="1"/>
  <c r="AI75" i="4"/>
  <c r="I95" i="4"/>
  <c r="J95" i="4" s="1"/>
  <c r="K95" i="4" s="1"/>
  <c r="I59" i="4"/>
  <c r="J59" i="4" s="1"/>
  <c r="K59" i="4" s="1"/>
  <c r="I105" i="4"/>
  <c r="J105" i="4" s="1"/>
  <c r="K105" i="4" s="1"/>
  <c r="AI50" i="4"/>
  <c r="AI23" i="4"/>
  <c r="AI97" i="4"/>
  <c r="AI83" i="4"/>
  <c r="AP75" i="4"/>
  <c r="AI72" i="4"/>
  <c r="B217" i="2"/>
  <c r="AP50" i="4"/>
  <c r="I60" i="4"/>
  <c r="J60" i="4" s="1"/>
  <c r="K60" i="4" s="1"/>
  <c r="AI40" i="4"/>
  <c r="AJ92" i="4"/>
  <c r="AN82" i="4"/>
  <c r="AN74" i="4"/>
  <c r="AI78" i="4"/>
  <c r="AN96" i="4"/>
  <c r="AN42" i="4"/>
  <c r="AI71" i="4"/>
  <c r="AJ72" i="4"/>
  <c r="AI11" i="4"/>
  <c r="AN68" i="4"/>
  <c r="AN38" i="4"/>
  <c r="AN52" i="4"/>
  <c r="I79" i="4"/>
  <c r="J79" i="4" s="1"/>
  <c r="K79" i="4" s="1"/>
  <c r="AI79" i="4"/>
  <c r="AN89" i="4"/>
  <c r="AJ75" i="4"/>
  <c r="I11" i="4"/>
  <c r="J11" i="4" s="1"/>
  <c r="K11" i="4" s="1"/>
  <c r="AJ11" i="4"/>
  <c r="AN19" i="4"/>
  <c r="AP37" i="4"/>
  <c r="AP39" i="4"/>
  <c r="AJ103" i="4"/>
  <c r="B73" i="4"/>
  <c r="AJ21" i="4"/>
  <c r="I88" i="4"/>
  <c r="J88" i="4" s="1"/>
  <c r="K88" i="4" s="1"/>
  <c r="I56" i="4"/>
  <c r="J56" i="4" s="1"/>
  <c r="K56" i="4" s="1"/>
  <c r="AP26" i="4"/>
  <c r="AI66" i="4"/>
  <c r="I62" i="4"/>
  <c r="J62" i="4" s="1"/>
  <c r="K62" i="4" s="1"/>
  <c r="I44" i="4"/>
  <c r="J44" i="4" s="1"/>
  <c r="K44" i="4" s="1"/>
  <c r="I66" i="4"/>
  <c r="J66" i="4" s="1"/>
  <c r="K66" i="4" s="1"/>
  <c r="AJ34" i="4"/>
  <c r="AI76" i="4"/>
  <c r="AP41" i="4"/>
  <c r="B216" i="2"/>
  <c r="AP103" i="4"/>
  <c r="AJ66" i="4"/>
  <c r="I43" i="4"/>
  <c r="J43" i="4" s="1"/>
  <c r="K43" i="4" s="1"/>
  <c r="AI41" i="4"/>
  <c r="AI88" i="4"/>
  <c r="AJ62" i="4"/>
  <c r="AN107" i="4"/>
  <c r="AJ109" i="4"/>
  <c r="AJ107" i="4"/>
  <c r="AI107" i="4"/>
  <c r="AP107" i="4"/>
  <c r="AJ108" i="4"/>
  <c r="I108" i="4"/>
  <c r="J108" i="4" s="1"/>
  <c r="K108" i="4" s="1"/>
  <c r="J432" i="3"/>
  <c r="J118" i="3"/>
  <c r="J628" i="3"/>
  <c r="J682" i="3"/>
  <c r="J431" i="3"/>
  <c r="J76" i="3"/>
  <c r="J377" i="3"/>
  <c r="J315" i="3"/>
  <c r="J284" i="3"/>
  <c r="J320" i="3"/>
  <c r="J602" i="3"/>
  <c r="J170" i="3"/>
  <c r="J670" i="3"/>
  <c r="J378" i="3"/>
  <c r="J412" i="3"/>
  <c r="J285" i="3"/>
  <c r="J637" i="3"/>
  <c r="J129" i="3"/>
  <c r="J63" i="3"/>
  <c r="J488" i="3"/>
  <c r="J220" i="3"/>
  <c r="J635" i="3"/>
  <c r="J555" i="3"/>
  <c r="J60" i="3"/>
  <c r="J336" i="3"/>
  <c r="J443" i="3"/>
  <c r="J612" i="3"/>
  <c r="J548" i="3"/>
  <c r="J498" i="3"/>
  <c r="J410" i="3"/>
  <c r="J282" i="3"/>
  <c r="J196" i="3"/>
  <c r="J134" i="3"/>
  <c r="J348" i="3"/>
  <c r="J531" i="3"/>
  <c r="J65" i="3"/>
  <c r="J167" i="3"/>
  <c r="J634" i="3"/>
  <c r="J381" i="3"/>
  <c r="J653" i="3"/>
  <c r="J328" i="3"/>
  <c r="J517" i="3"/>
  <c r="J189" i="3"/>
  <c r="J68" i="3"/>
  <c r="J319" i="3"/>
  <c r="J213" i="3"/>
  <c r="J624" i="3"/>
  <c r="J538" i="3"/>
  <c r="J468" i="3"/>
  <c r="J306" i="3"/>
  <c r="J176" i="3"/>
  <c r="J270" i="3"/>
  <c r="J605" i="3"/>
  <c r="J293" i="3"/>
  <c r="J344" i="3"/>
  <c r="J543" i="3"/>
  <c r="J201" i="3"/>
  <c r="J359" i="3"/>
  <c r="J157" i="3"/>
  <c r="J451" i="3"/>
  <c r="J288" i="3"/>
  <c r="J33" i="3"/>
  <c r="J529" i="3"/>
  <c r="J114" i="3"/>
  <c r="J401" i="3"/>
  <c r="J313" i="3"/>
  <c r="J271" i="3"/>
  <c r="J187" i="3"/>
  <c r="J99" i="3"/>
  <c r="J625" i="3"/>
  <c r="J541" i="3"/>
  <c r="J471" i="3"/>
  <c r="J86" i="3"/>
  <c r="J52" i="3"/>
  <c r="J669" i="3"/>
  <c r="J165" i="3"/>
  <c r="J379" i="3"/>
  <c r="J51" i="3"/>
  <c r="J620" i="3"/>
  <c r="J588" i="3"/>
  <c r="J556" i="3"/>
  <c r="J647" i="3"/>
  <c r="J506" i="3"/>
  <c r="J474" i="3"/>
  <c r="J426" i="3"/>
  <c r="J362" i="3"/>
  <c r="J298" i="3"/>
  <c r="J276" i="3"/>
  <c r="J212" i="3"/>
  <c r="J148" i="3"/>
  <c r="J80" i="3"/>
  <c r="J230" i="3"/>
  <c r="J316" i="3"/>
  <c r="J444" i="3"/>
  <c r="J515" i="3"/>
  <c r="J565" i="3"/>
  <c r="J629" i="3"/>
  <c r="J87" i="3"/>
  <c r="J151" i="3"/>
  <c r="J215" i="3"/>
  <c r="J9" i="3"/>
  <c r="J301" i="3"/>
  <c r="J365" i="3"/>
  <c r="J429" i="3"/>
  <c r="J20" i="3"/>
  <c r="J539" i="3"/>
  <c r="J392" i="3"/>
  <c r="J178" i="3"/>
  <c r="J448" i="3"/>
  <c r="J78" i="3"/>
  <c r="J253" i="3"/>
  <c r="J672" i="3"/>
  <c r="J177" i="3"/>
  <c r="J70" i="3"/>
  <c r="J368" i="3"/>
  <c r="J461" i="3"/>
  <c r="J662" i="3"/>
  <c r="J367" i="3"/>
  <c r="J649" i="3"/>
  <c r="J592" i="3"/>
  <c r="J550" i="3"/>
  <c r="J520" i="3"/>
  <c r="J478" i="3"/>
  <c r="J414" i="3"/>
  <c r="J326" i="3"/>
  <c r="J21" i="3"/>
  <c r="J200" i="3"/>
  <c r="J100" i="3"/>
  <c r="J222" i="3"/>
  <c r="J356" i="3"/>
  <c r="J561" i="3"/>
  <c r="J123" i="3"/>
  <c r="J34" i="3"/>
  <c r="J421" i="3"/>
  <c r="J481" i="3"/>
  <c r="J469" i="3"/>
  <c r="J77" i="3"/>
  <c r="J169" i="3"/>
  <c r="J38" i="3"/>
  <c r="J343" i="3"/>
  <c r="J120" i="3"/>
  <c r="J181" i="3"/>
  <c r="J299" i="3"/>
  <c r="J94" i="3"/>
  <c r="J55" i="3"/>
  <c r="J633" i="3"/>
  <c r="J608" i="3"/>
  <c r="J586" i="3"/>
  <c r="J566" i="3"/>
  <c r="J544" i="3"/>
  <c r="J639" i="3"/>
  <c r="J516" i="3"/>
  <c r="J494" i="3"/>
  <c r="J472" i="3"/>
  <c r="J446" i="3"/>
  <c r="J402" i="3"/>
  <c r="J358" i="3"/>
  <c r="J318" i="3"/>
  <c r="J676" i="3"/>
  <c r="J272" i="3"/>
  <c r="J232" i="3"/>
  <c r="J188" i="3"/>
  <c r="J144" i="3"/>
  <c r="J84" i="3"/>
  <c r="J158" i="3"/>
  <c r="J246" i="3"/>
  <c r="J292" i="3"/>
  <c r="J372" i="3"/>
  <c r="J459" i="3"/>
  <c r="J503" i="3"/>
  <c r="J667" i="3"/>
  <c r="J573" i="3"/>
  <c r="J617" i="3"/>
  <c r="J41" i="3"/>
  <c r="J91" i="3"/>
  <c r="J131" i="3"/>
  <c r="J175" i="3"/>
  <c r="J219" i="3"/>
  <c r="J259" i="3"/>
  <c r="J650" i="3"/>
  <c r="J305" i="3"/>
  <c r="J345" i="3"/>
  <c r="J389" i="3"/>
  <c r="J433" i="3"/>
  <c r="J90" i="3"/>
  <c r="J619" i="3"/>
  <c r="J675" i="3"/>
  <c r="J465" i="3"/>
  <c r="J296" i="3"/>
  <c r="J162" i="3"/>
  <c r="J266" i="3"/>
  <c r="J501" i="3"/>
  <c r="J28" i="3"/>
  <c r="J323" i="3"/>
  <c r="J205" i="3"/>
  <c r="J40" i="3"/>
  <c r="J455" i="3"/>
  <c r="J145" i="3"/>
  <c r="J351" i="3"/>
  <c r="J249" i="3"/>
  <c r="J105" i="3"/>
  <c r="J383" i="3"/>
  <c r="J154" i="3"/>
  <c r="J193" i="3"/>
  <c r="J311" i="3"/>
  <c r="J58" i="3"/>
  <c r="J250" i="3"/>
  <c r="J54" i="3"/>
  <c r="J149" i="3"/>
  <c r="J245" i="3"/>
  <c r="J283" i="3"/>
  <c r="J363" i="3"/>
  <c r="J15" i="3"/>
  <c r="J303" i="3"/>
  <c r="J623" i="3"/>
  <c r="J47" i="3"/>
  <c r="J71" i="3"/>
  <c r="J641" i="3"/>
  <c r="J622" i="3"/>
  <c r="J610" i="3"/>
  <c r="J600" i="3"/>
  <c r="J590" i="3"/>
  <c r="J578" i="3"/>
  <c r="J568" i="3"/>
  <c r="J558" i="3"/>
  <c r="J546" i="3"/>
  <c r="J536" i="3"/>
  <c r="J655" i="3"/>
  <c r="J528" i="3"/>
  <c r="J518" i="3"/>
  <c r="J508" i="3"/>
  <c r="J496" i="3"/>
  <c r="J486" i="3"/>
  <c r="J476" i="3"/>
  <c r="J464" i="3"/>
  <c r="J450" i="3"/>
  <c r="J430" i="3"/>
  <c r="J406" i="3"/>
  <c r="J386" i="3"/>
  <c r="AJ47" i="4"/>
  <c r="AP47" i="4"/>
  <c r="AI47" i="4"/>
  <c r="I47" i="4"/>
  <c r="J47" i="4" s="1"/>
  <c r="K47" i="4" s="1"/>
  <c r="AP30" i="4"/>
  <c r="AI30" i="4"/>
  <c r="AJ30" i="4"/>
  <c r="J137" i="3"/>
  <c r="J415" i="3"/>
  <c r="J35" i="3"/>
  <c r="J209" i="3"/>
  <c r="J327" i="3"/>
  <c r="J102" i="3"/>
  <c r="J186" i="3"/>
  <c r="J56" i="3"/>
  <c r="J141" i="3"/>
  <c r="J221" i="3"/>
  <c r="J646" i="3"/>
  <c r="J355" i="3"/>
  <c r="J435" i="3"/>
  <c r="J61" i="3"/>
  <c r="J551" i="3"/>
  <c r="J485" i="3"/>
  <c r="J352" i="3"/>
  <c r="J202" i="3"/>
  <c r="J66" i="3"/>
  <c r="J194" i="3"/>
  <c r="J274" i="3"/>
  <c r="J312" i="3"/>
  <c r="J408" i="3"/>
  <c r="J473" i="3"/>
  <c r="J513" i="3"/>
  <c r="J547" i="3"/>
  <c r="J587" i="3"/>
  <c r="J627" i="3"/>
  <c r="J122" i="3"/>
  <c r="J82" i="3"/>
  <c r="J449" i="3"/>
  <c r="J425" i="3"/>
  <c r="J405" i="3"/>
  <c r="J385" i="3"/>
  <c r="J361" i="3"/>
  <c r="J341" i="3"/>
  <c r="J321" i="3"/>
  <c r="J297" i="3"/>
  <c r="J686" i="3"/>
  <c r="J642" i="3"/>
  <c r="J275" i="3"/>
  <c r="J255" i="3"/>
  <c r="J235" i="3"/>
  <c r="J211" i="3"/>
  <c r="J191" i="3"/>
  <c r="J171" i="3"/>
  <c r="J147" i="3"/>
  <c r="J127" i="3"/>
  <c r="J107" i="3"/>
  <c r="J83" i="3"/>
  <c r="J23" i="3"/>
  <c r="J49" i="3"/>
  <c r="J645" i="3"/>
  <c r="J609" i="3"/>
  <c r="J589" i="3"/>
  <c r="J569" i="3"/>
  <c r="J545" i="3"/>
  <c r="J651" i="3"/>
  <c r="J519" i="3"/>
  <c r="J495" i="3"/>
  <c r="J475" i="3"/>
  <c r="J452" i="3"/>
  <c r="J404" i="3"/>
  <c r="J364" i="3"/>
  <c r="J324" i="3"/>
  <c r="J684" i="3"/>
  <c r="J10" i="3"/>
  <c r="J238" i="3"/>
  <c r="J190" i="3"/>
  <c r="J150" i="3"/>
  <c r="J96" i="3"/>
  <c r="J92" i="3"/>
  <c r="J128" i="3"/>
  <c r="J152" i="3"/>
  <c r="J172" i="3"/>
  <c r="J192" i="3"/>
  <c r="J216" i="3"/>
  <c r="J236" i="3"/>
  <c r="J256" i="3"/>
  <c r="J12" i="3"/>
  <c r="J644" i="3"/>
  <c r="J278" i="3"/>
  <c r="J302" i="3"/>
  <c r="J322" i="3"/>
  <c r="J342" i="3"/>
  <c r="J366" i="3"/>
  <c r="J398" i="3"/>
  <c r="J438" i="3"/>
  <c r="J470" i="3"/>
  <c r="J492" i="3"/>
  <c r="J512" i="3"/>
  <c r="J631" i="3"/>
  <c r="J542" i="3"/>
  <c r="J562" i="3"/>
  <c r="J584" i="3"/>
  <c r="J606" i="3"/>
  <c r="J626" i="3"/>
  <c r="J59" i="3"/>
  <c r="J185" i="3"/>
  <c r="J411" i="3"/>
  <c r="J277" i="3"/>
  <c r="J117" i="3"/>
  <c r="J525" i="3"/>
  <c r="J257" i="3"/>
  <c r="J659" i="3"/>
  <c r="J559" i="3"/>
  <c r="J16" i="3"/>
  <c r="J400" i="3"/>
  <c r="J22" i="3"/>
  <c r="J583" i="3"/>
  <c r="J31" i="3"/>
  <c r="J376" i="3"/>
  <c r="J579" i="3"/>
  <c r="J453" i="3"/>
  <c r="J369" i="3"/>
  <c r="J281" i="3"/>
  <c r="J239" i="3"/>
  <c r="J155" i="3"/>
  <c r="J46" i="3"/>
  <c r="J593" i="3"/>
  <c r="J523" i="3"/>
  <c r="J420" i="3"/>
  <c r="J25" i="3"/>
  <c r="J112" i="3"/>
  <c r="J168" i="3"/>
  <c r="J252" i="3"/>
  <c r="J294" i="3"/>
  <c r="J382" i="3"/>
  <c r="J462" i="3"/>
  <c r="J504" i="3"/>
  <c r="J534" i="3"/>
  <c r="J576" i="3"/>
  <c r="J618" i="3"/>
  <c r="J44" i="3"/>
  <c r="J261" i="3"/>
  <c r="J575" i="3"/>
  <c r="J447" i="3"/>
  <c r="J371" i="3"/>
  <c r="J69" i="3"/>
  <c r="J207" i="3"/>
  <c r="J491" i="3"/>
  <c r="J142" i="3"/>
  <c r="J240" i="3"/>
  <c r="J370" i="3"/>
  <c r="J500" i="3"/>
  <c r="J570" i="3"/>
  <c r="J43" i="3"/>
  <c r="J133" i="3"/>
  <c r="J218" i="3"/>
  <c r="J121" i="3"/>
  <c r="J391" i="3"/>
  <c r="J339" i="3"/>
  <c r="J234" i="3"/>
  <c r="J489" i="3"/>
  <c r="J42" i="3"/>
  <c r="J333" i="3"/>
  <c r="J247" i="3"/>
  <c r="J119" i="3"/>
  <c r="J597" i="3"/>
  <c r="J483" i="3"/>
  <c r="J632" i="3"/>
  <c r="J108" i="3"/>
  <c r="J244" i="3"/>
  <c r="J330" i="3"/>
  <c r="J458" i="3"/>
  <c r="J522" i="3"/>
  <c r="J572" i="3"/>
  <c r="J657" i="3"/>
  <c r="J630" i="3"/>
  <c r="J30" i="3"/>
  <c r="J88" i="3"/>
  <c r="J396" i="3"/>
  <c r="J585" i="3"/>
  <c r="J143" i="3"/>
  <c r="J674" i="3"/>
  <c r="J441" i="3"/>
  <c r="J424" i="3"/>
  <c r="J535" i="3"/>
  <c r="AN54" i="4"/>
  <c r="AN32" i="4"/>
  <c r="AN43" i="4"/>
  <c r="AN97" i="4"/>
  <c r="AN51" i="4"/>
  <c r="AN28" i="4"/>
  <c r="J73" i="3"/>
  <c r="J436" i="3"/>
  <c r="J264" i="3"/>
  <c r="J510" i="3"/>
  <c r="J399" i="3"/>
  <c r="J607" i="3"/>
  <c r="J104" i="3"/>
  <c r="J445" i="3"/>
  <c r="J231" i="3"/>
  <c r="J581" i="3"/>
  <c r="J262" i="3"/>
  <c r="J260" i="3"/>
  <c r="J466" i="3"/>
  <c r="J580" i="3"/>
  <c r="J229" i="3"/>
  <c r="J251" i="3"/>
  <c r="J350" i="3"/>
  <c r="J347" i="3"/>
  <c r="J571" i="3"/>
  <c r="J164" i="3"/>
  <c r="J45" i="3"/>
  <c r="J217" i="3"/>
  <c r="J442" i="3"/>
  <c r="J456" i="3"/>
  <c r="J314" i="3"/>
  <c r="J532" i="3"/>
  <c r="AJ25" i="4"/>
  <c r="AN106" i="4"/>
  <c r="AN35" i="4"/>
  <c r="AN86" i="4"/>
  <c r="AN92" i="4"/>
  <c r="AN108" i="4"/>
  <c r="AN84" i="4"/>
  <c r="AN41" i="4"/>
  <c r="AN67" i="4"/>
  <c r="AI62" i="4"/>
  <c r="AN36" i="4"/>
  <c r="AI105" i="4"/>
  <c r="I109" i="4"/>
  <c r="J109" i="4" s="1"/>
  <c r="K109" i="4" s="1"/>
  <c r="I106" i="4"/>
  <c r="J106" i="4" s="1"/>
  <c r="K106" i="4" s="1"/>
  <c r="AJ105" i="4"/>
  <c r="AN101" i="4"/>
  <c r="AN87" i="4"/>
  <c r="AI109" i="4"/>
  <c r="AN77" i="4"/>
  <c r="AI106" i="4"/>
  <c r="AN90" i="4"/>
  <c r="AN98" i="4"/>
  <c r="J72" i="3"/>
  <c r="J242" i="3"/>
  <c r="J413" i="3"/>
  <c r="J199" i="3"/>
  <c r="J549" i="3"/>
  <c r="J198" i="3"/>
  <c r="J37" i="3"/>
  <c r="J482" i="3"/>
  <c r="J596" i="3"/>
  <c r="J101" i="3"/>
  <c r="J79" i="3"/>
  <c r="J434" i="3"/>
  <c r="J64" i="3"/>
  <c r="J654" i="3"/>
  <c r="J98" i="3"/>
  <c r="J613" i="3"/>
  <c r="J228" i="3"/>
  <c r="J564" i="3"/>
  <c r="J335" i="3"/>
  <c r="J652" i="3"/>
  <c r="J135" i="3"/>
  <c r="J514" i="3"/>
  <c r="J308" i="3"/>
  <c r="J349" i="3"/>
  <c r="J499" i="3"/>
  <c r="AN61" i="4"/>
  <c r="AN78" i="4"/>
  <c r="AN14" i="4"/>
  <c r="AN72" i="4"/>
  <c r="AN47" i="4"/>
  <c r="AN79" i="4"/>
  <c r="AP108" i="4"/>
  <c r="AI108" i="4"/>
  <c r="AP25" i="4"/>
  <c r="I25" i="4"/>
  <c r="J25" i="4" s="1"/>
  <c r="K25" i="4" s="1"/>
  <c r="AN48" i="4"/>
  <c r="AN59" i="4"/>
  <c r="AN30" i="4"/>
  <c r="AN44" i="4"/>
  <c r="AN95" i="4"/>
  <c r="AN65" i="4"/>
  <c r="AN31" i="4"/>
  <c r="AN76" i="4"/>
  <c r="AN29" i="4"/>
  <c r="AN27" i="4"/>
  <c r="AN81" i="4"/>
  <c r="AN12" i="4"/>
  <c r="AN94" i="4"/>
  <c r="AN33" i="4"/>
  <c r="AN9" i="4"/>
  <c r="AN103" i="4"/>
  <c r="AN40" i="4"/>
  <c r="AN56" i="4"/>
  <c r="AN100" i="4"/>
  <c r="AN80" i="4"/>
  <c r="AN17" i="4"/>
  <c r="B35" i="2"/>
  <c r="B159" i="2" s="1"/>
  <c r="B42" i="2"/>
  <c r="B51" i="2" s="1"/>
  <c r="AN11" i="4"/>
  <c r="AN88" i="4"/>
  <c r="AN53" i="4"/>
  <c r="AN75" i="4"/>
  <c r="AN62" i="4"/>
  <c r="AN99" i="4"/>
  <c r="AN83" i="4"/>
  <c r="AN18" i="4"/>
  <c r="AN66" i="4"/>
  <c r="AN73" i="4"/>
  <c r="AN69" i="4"/>
  <c r="AN102" i="4"/>
  <c r="AN37" i="4"/>
  <c r="AN16" i="4"/>
  <c r="AN104" i="4"/>
  <c r="AN50" i="4"/>
  <c r="AN55" i="4"/>
  <c r="C34" i="3"/>
  <c r="A683" i="3"/>
  <c r="AN22" i="4"/>
  <c r="AN58" i="4"/>
  <c r="D25" i="3"/>
  <c r="A682" i="3"/>
  <c r="D682" i="3" s="1"/>
  <c r="AP33" i="4"/>
  <c r="AJ33" i="4"/>
  <c r="AI33" i="4"/>
  <c r="D33" i="3"/>
  <c r="D24" i="3"/>
  <c r="E60" i="1"/>
  <c r="C12" i="3"/>
  <c r="D11" i="3"/>
  <c r="C32" i="3"/>
  <c r="D13" i="3"/>
  <c r="C29" i="3"/>
  <c r="C15" i="3"/>
  <c r="AN91" i="4"/>
  <c r="AM76" i="4"/>
  <c r="AM103" i="4"/>
  <c r="AM87" i="4"/>
  <c r="AM69" i="4"/>
  <c r="AM75" i="4"/>
  <c r="AM21" i="4"/>
  <c r="AM73" i="4"/>
  <c r="BG17" i="4"/>
  <c r="AM13" i="4"/>
  <c r="AM91" i="4"/>
  <c r="AM86" i="4"/>
  <c r="AM14" i="4"/>
  <c r="BG11" i="4"/>
  <c r="AM37" i="4"/>
  <c r="AM41" i="4"/>
  <c r="AM51" i="4"/>
  <c r="BG16" i="4"/>
  <c r="AM26" i="4"/>
  <c r="AM54" i="4"/>
  <c r="AM39" i="4"/>
  <c r="AM29" i="4"/>
  <c r="AM109" i="4"/>
  <c r="AM100" i="4"/>
  <c r="AM12" i="4"/>
  <c r="AM45" i="4"/>
  <c r="AM25" i="4"/>
  <c r="AM52" i="4"/>
  <c r="AM97" i="4"/>
  <c r="AM84" i="4"/>
  <c r="AM20" i="4"/>
  <c r="AM30" i="4"/>
  <c r="AM93" i="4"/>
  <c r="AM96" i="4"/>
  <c r="AM58" i="4"/>
  <c r="AM17" i="4"/>
  <c r="AM48" i="4"/>
  <c r="AM92" i="4"/>
  <c r="AM70" i="4"/>
  <c r="AM90" i="4"/>
  <c r="AM79" i="4"/>
  <c r="BG9" i="4"/>
  <c r="AM107" i="4"/>
  <c r="AM67" i="4"/>
  <c r="AM61" i="4"/>
  <c r="AM59" i="4"/>
  <c r="AM62" i="4"/>
  <c r="AM68" i="4"/>
  <c r="AM108" i="4"/>
  <c r="AM56" i="4"/>
  <c r="AM101" i="4"/>
  <c r="AM40" i="4"/>
  <c r="AM50" i="4"/>
  <c r="AM89" i="4"/>
  <c r="AM66" i="4"/>
  <c r="AM38" i="4"/>
  <c r="B72" i="4"/>
  <c r="AM74" i="4"/>
  <c r="AM11" i="4"/>
  <c r="AM15" i="4"/>
  <c r="AM85" i="4"/>
  <c r="AM71" i="4"/>
  <c r="BG15" i="4"/>
  <c r="AM19" i="4"/>
  <c r="AM72" i="4"/>
  <c r="AM88" i="4"/>
  <c r="AM47" i="4"/>
  <c r="BG13" i="4"/>
  <c r="AM16" i="4"/>
  <c r="AM18" i="4"/>
  <c r="BG14" i="4"/>
  <c r="AM44" i="4"/>
  <c r="AM78" i="4"/>
  <c r="AM102" i="4"/>
  <c r="AM46" i="4"/>
  <c r="BG12" i="4"/>
  <c r="AM9" i="4"/>
  <c r="AM77" i="4"/>
  <c r="AM57" i="4"/>
  <c r="AM43" i="4"/>
  <c r="AM34" i="4"/>
  <c r="AM95" i="4"/>
  <c r="AM49" i="4"/>
  <c r="AM55" i="4"/>
  <c r="AM94" i="4"/>
  <c r="AM83" i="4"/>
  <c r="AM23" i="4"/>
  <c r="AM32" i="4"/>
  <c r="AM99" i="4"/>
  <c r="AM24" i="4"/>
  <c r="AM80" i="4"/>
  <c r="AM104" i="4"/>
  <c r="AM31" i="4"/>
  <c r="AM105" i="4"/>
  <c r="AM22" i="4"/>
  <c r="AM81" i="4"/>
  <c r="AM64" i="4"/>
  <c r="AM28" i="4"/>
  <c r="AM42" i="4"/>
  <c r="AM82" i="4"/>
  <c r="AM98" i="4"/>
  <c r="AM65" i="4"/>
  <c r="AM36" i="4"/>
  <c r="AM63" i="4"/>
  <c r="AM27" i="4"/>
  <c r="AM53" i="4"/>
  <c r="AM33" i="4"/>
  <c r="AM60" i="4"/>
  <c r="AM106" i="4"/>
  <c r="AM35" i="4"/>
  <c r="D32" i="3"/>
  <c r="C31" i="3"/>
  <c r="D16" i="3"/>
  <c r="D26" i="3"/>
  <c r="C37" i="3"/>
  <c r="D30" i="3"/>
  <c r="C36" i="3"/>
  <c r="C11" i="3"/>
  <c r="D35" i="3"/>
  <c r="D34" i="3"/>
  <c r="D20" i="3"/>
  <c r="D10" i="3"/>
  <c r="D29" i="3"/>
  <c r="D27" i="3"/>
  <c r="C10" i="3"/>
  <c r="B147" i="2"/>
  <c r="G17" i="3" s="1"/>
  <c r="H17" i="3" s="1"/>
  <c r="E59" i="1"/>
  <c r="AI65" i="4"/>
  <c r="I65" i="4"/>
  <c r="AJ65" i="4"/>
  <c r="AP65" i="4"/>
  <c r="C24" i="3"/>
  <c r="B91" i="2"/>
  <c r="B276" i="2"/>
  <c r="C33" i="3"/>
  <c r="D23" i="3"/>
  <c r="D36" i="3"/>
  <c r="C9" i="3"/>
  <c r="C17" i="3"/>
  <c r="C16" i="3"/>
  <c r="D31" i="3"/>
  <c r="D18" i="3"/>
  <c r="C20" i="3"/>
  <c r="C18" i="3"/>
  <c r="D28" i="3"/>
  <c r="C28" i="3"/>
  <c r="C27" i="3"/>
  <c r="D15" i="3"/>
  <c r="D17" i="3"/>
  <c r="C22" i="3"/>
  <c r="C35" i="3"/>
  <c r="D19" i="3"/>
  <c r="C19" i="3"/>
  <c r="C23" i="3"/>
  <c r="D37" i="3"/>
  <c r="C14" i="3"/>
  <c r="D22" i="3"/>
  <c r="D9" i="3"/>
  <c r="C26" i="3"/>
  <c r="C30" i="3"/>
  <c r="D14" i="3"/>
  <c r="D12" i="3"/>
  <c r="C21" i="3"/>
  <c r="D21" i="3"/>
  <c r="C13" i="3"/>
  <c r="AQ38" i="3"/>
  <c r="A39" i="3"/>
  <c r="B38" i="3"/>
  <c r="AR38" i="3"/>
  <c r="C38" i="3"/>
  <c r="D38" i="3"/>
  <c r="E110" i="1" l="1"/>
  <c r="E109" i="1"/>
  <c r="B221" i="2"/>
  <c r="B222" i="2" s="1"/>
  <c r="AD132" i="4"/>
  <c r="AE132" i="4" s="1"/>
  <c r="L132" i="4"/>
  <c r="Z132" i="4" s="1"/>
  <c r="U132" i="4"/>
  <c r="V132" i="4" s="1"/>
  <c r="W132" i="4" s="1"/>
  <c r="N132" i="4"/>
  <c r="O132" i="4" s="1"/>
  <c r="Q132" i="4" s="1"/>
  <c r="X132" i="4"/>
  <c r="Y132" i="4" s="1"/>
  <c r="R132" i="4"/>
  <c r="S132" i="4" s="1"/>
  <c r="T132" i="4" s="1"/>
  <c r="R198" i="4"/>
  <c r="S198" i="4" s="1"/>
  <c r="T198" i="4" s="1"/>
  <c r="N184" i="4"/>
  <c r="O184" i="4" s="1"/>
  <c r="Q184" i="4" s="1"/>
  <c r="N192" i="4"/>
  <c r="O192" i="4" s="1"/>
  <c r="Q192" i="4" s="1"/>
  <c r="L201" i="4"/>
  <c r="AF201" i="4" s="1"/>
  <c r="X184" i="4"/>
  <c r="Y184" i="4" s="1"/>
  <c r="AD184" i="4"/>
  <c r="AE184" i="4" s="1"/>
  <c r="X201" i="4"/>
  <c r="Y201" i="4" s="1"/>
  <c r="AD192" i="4"/>
  <c r="AE192" i="4" s="1"/>
  <c r="X192" i="4"/>
  <c r="Y192" i="4" s="1"/>
  <c r="R201" i="4"/>
  <c r="S201" i="4" s="1"/>
  <c r="T201" i="4" s="1"/>
  <c r="R184" i="4"/>
  <c r="S184" i="4" s="1"/>
  <c r="T184" i="4" s="1"/>
  <c r="R192" i="4"/>
  <c r="S192" i="4" s="1"/>
  <c r="T192" i="4" s="1"/>
  <c r="U184" i="4"/>
  <c r="V184" i="4" s="1"/>
  <c r="W184" i="4" s="1"/>
  <c r="U201" i="4"/>
  <c r="V201" i="4" s="1"/>
  <c r="W201" i="4" s="1"/>
  <c r="N201" i="4"/>
  <c r="O201" i="4" s="1"/>
  <c r="Q201" i="4" s="1"/>
  <c r="L184" i="4"/>
  <c r="AB184" i="4" s="1"/>
  <c r="L192" i="4"/>
  <c r="AB192" i="4" s="1"/>
  <c r="U192" i="4"/>
  <c r="V192" i="4" s="1"/>
  <c r="W192" i="4" s="1"/>
  <c r="AD201" i="4"/>
  <c r="AE201" i="4" s="1"/>
  <c r="U198" i="4"/>
  <c r="V198" i="4" s="1"/>
  <c r="W198" i="4" s="1"/>
  <c r="AD121" i="4"/>
  <c r="AE121" i="4" s="1"/>
  <c r="N121" i="4"/>
  <c r="O121" i="4" s="1"/>
  <c r="Q121" i="4" s="1"/>
  <c r="AD166" i="4"/>
  <c r="AE166" i="4" s="1"/>
  <c r="N166" i="4"/>
  <c r="O166" i="4" s="1"/>
  <c r="Q166" i="4" s="1"/>
  <c r="U166" i="4"/>
  <c r="V166" i="4" s="1"/>
  <c r="W166" i="4" s="1"/>
  <c r="R166" i="4"/>
  <c r="S166" i="4" s="1"/>
  <c r="T166" i="4" s="1"/>
  <c r="X166" i="4"/>
  <c r="Y166" i="4" s="1"/>
  <c r="L166" i="4"/>
  <c r="AF166" i="4" s="1"/>
  <c r="AD198" i="4"/>
  <c r="AE198" i="4" s="1"/>
  <c r="R121" i="4"/>
  <c r="S121" i="4" s="1"/>
  <c r="T121" i="4" s="1"/>
  <c r="U121" i="4"/>
  <c r="V121" i="4" s="1"/>
  <c r="W121" i="4" s="1"/>
  <c r="X198" i="4"/>
  <c r="Y198" i="4" s="1"/>
  <c r="L198" i="4"/>
  <c r="Z198" i="4" s="1"/>
  <c r="X121" i="4"/>
  <c r="Y121" i="4" s="1"/>
  <c r="L121" i="4"/>
  <c r="M121" i="4" s="1"/>
  <c r="AA121" i="4" s="1"/>
  <c r="N198" i="4"/>
  <c r="O198" i="4" s="1"/>
  <c r="Q198" i="4" s="1"/>
  <c r="X170" i="4"/>
  <c r="Y170" i="4" s="1"/>
  <c r="X125" i="4"/>
  <c r="Y125" i="4" s="1"/>
  <c r="L125" i="4"/>
  <c r="AF125" i="4" s="1"/>
  <c r="R138" i="4"/>
  <c r="S138" i="4" s="1"/>
  <c r="T138" i="4" s="1"/>
  <c r="R200" i="4"/>
  <c r="S200" i="4" s="1"/>
  <c r="T200" i="4" s="1"/>
  <c r="AD200" i="4"/>
  <c r="AE200" i="4" s="1"/>
  <c r="L200" i="4"/>
  <c r="M200" i="4" s="1"/>
  <c r="AA200" i="4" s="1"/>
  <c r="X200" i="4"/>
  <c r="Y200" i="4" s="1"/>
  <c r="L186" i="4"/>
  <c r="M186" i="4" s="1"/>
  <c r="AA186" i="4" s="1"/>
  <c r="R183" i="4"/>
  <c r="S183" i="4" s="1"/>
  <c r="T183" i="4" s="1"/>
  <c r="N208" i="4"/>
  <c r="O208" i="4" s="1"/>
  <c r="Q208" i="4" s="1"/>
  <c r="U138" i="4"/>
  <c r="V138" i="4" s="1"/>
  <c r="W138" i="4" s="1"/>
  <c r="U208" i="4"/>
  <c r="V208" i="4" s="1"/>
  <c r="W208" i="4" s="1"/>
  <c r="X208" i="4"/>
  <c r="Y208" i="4" s="1"/>
  <c r="L208" i="4"/>
  <c r="AB208" i="4" s="1"/>
  <c r="AD208" i="4"/>
  <c r="AE208" i="4" s="1"/>
  <c r="R208" i="4"/>
  <c r="S208" i="4" s="1"/>
  <c r="T208" i="4" s="1"/>
  <c r="N170" i="4"/>
  <c r="O170" i="4" s="1"/>
  <c r="Q170" i="4" s="1"/>
  <c r="N125" i="4"/>
  <c r="O125" i="4" s="1"/>
  <c r="Q125" i="4" s="1"/>
  <c r="AD138" i="4"/>
  <c r="AE138" i="4" s="1"/>
  <c r="X138" i="4"/>
  <c r="Y138" i="4" s="1"/>
  <c r="N183" i="4"/>
  <c r="O183" i="4" s="1"/>
  <c r="Q183" i="4" s="1"/>
  <c r="N141" i="4"/>
  <c r="O141" i="4" s="1"/>
  <c r="Q141" i="4" s="1"/>
  <c r="X154" i="4"/>
  <c r="Y154" i="4" s="1"/>
  <c r="U186" i="4"/>
  <c r="V186" i="4" s="1"/>
  <c r="W186" i="4" s="1"/>
  <c r="R186" i="4"/>
  <c r="S186" i="4" s="1"/>
  <c r="T186" i="4" s="1"/>
  <c r="AD141" i="4"/>
  <c r="AE141" i="4" s="1"/>
  <c r="U127" i="4"/>
  <c r="V127" i="4" s="1"/>
  <c r="W127" i="4" s="1"/>
  <c r="U183" i="4"/>
  <c r="V183" i="4" s="1"/>
  <c r="W183" i="4" s="1"/>
  <c r="L138" i="4"/>
  <c r="M138" i="4" s="1"/>
  <c r="AA138" i="4" s="1"/>
  <c r="X183" i="4"/>
  <c r="Y183" i="4" s="1"/>
  <c r="R141" i="4"/>
  <c r="S141" i="4" s="1"/>
  <c r="T141" i="4" s="1"/>
  <c r="AD186" i="4"/>
  <c r="AE186" i="4" s="1"/>
  <c r="N186" i="4"/>
  <c r="O186" i="4" s="1"/>
  <c r="Q186" i="4" s="1"/>
  <c r="U141" i="4"/>
  <c r="V141" i="4" s="1"/>
  <c r="W141" i="4" s="1"/>
  <c r="X186" i="4"/>
  <c r="Y186" i="4" s="1"/>
  <c r="R154" i="4"/>
  <c r="S154" i="4" s="1"/>
  <c r="T154" i="4" s="1"/>
  <c r="X141" i="4"/>
  <c r="Y141" i="4" s="1"/>
  <c r="L127" i="4"/>
  <c r="AF127" i="4" s="1"/>
  <c r="AD183" i="4"/>
  <c r="AE183" i="4" s="1"/>
  <c r="N138" i="4"/>
  <c r="O138" i="4" s="1"/>
  <c r="Q138" i="4" s="1"/>
  <c r="L183" i="4"/>
  <c r="M183" i="4" s="1"/>
  <c r="AA183" i="4" s="1"/>
  <c r="L141" i="4"/>
  <c r="Z141" i="4" s="1"/>
  <c r="R170" i="4"/>
  <c r="S170" i="4" s="1"/>
  <c r="T170" i="4" s="1"/>
  <c r="U125" i="4"/>
  <c r="V125" i="4" s="1"/>
  <c r="W125" i="4" s="1"/>
  <c r="N154" i="4"/>
  <c r="O154" i="4" s="1"/>
  <c r="Q154" i="4" s="1"/>
  <c r="U170" i="4"/>
  <c r="V170" i="4" s="1"/>
  <c r="W170" i="4" s="1"/>
  <c r="AD125" i="4"/>
  <c r="AE125" i="4" s="1"/>
  <c r="R127" i="4"/>
  <c r="S127" i="4" s="1"/>
  <c r="T127" i="4" s="1"/>
  <c r="U200" i="4"/>
  <c r="V200" i="4" s="1"/>
  <c r="W200" i="4" s="1"/>
  <c r="N200" i="4"/>
  <c r="O200" i="4" s="1"/>
  <c r="Q200" i="4" s="1"/>
  <c r="AD170" i="4"/>
  <c r="AE170" i="4" s="1"/>
  <c r="U154" i="4"/>
  <c r="V154" i="4" s="1"/>
  <c r="W154" i="4" s="1"/>
  <c r="L154" i="4"/>
  <c r="AB154" i="4" s="1"/>
  <c r="AD127" i="4"/>
  <c r="AE127" i="4" s="1"/>
  <c r="N127" i="4"/>
  <c r="O127" i="4" s="1"/>
  <c r="Q127" i="4" s="1"/>
  <c r="AD154" i="4"/>
  <c r="AE154" i="4" s="1"/>
  <c r="R125" i="4"/>
  <c r="S125" i="4" s="1"/>
  <c r="T125" i="4" s="1"/>
  <c r="X127" i="4"/>
  <c r="Y127" i="4" s="1"/>
  <c r="L170" i="4"/>
  <c r="Z170" i="4" s="1"/>
  <c r="AD134" i="4"/>
  <c r="AE134" i="4" s="1"/>
  <c r="N147" i="4"/>
  <c r="O147" i="4" s="1"/>
  <c r="Q147" i="4" s="1"/>
  <c r="X134" i="4"/>
  <c r="Y134" i="4" s="1"/>
  <c r="AD188" i="4"/>
  <c r="AE188" i="4" s="1"/>
  <c r="N188" i="4"/>
  <c r="O188" i="4" s="1"/>
  <c r="Q188" i="4" s="1"/>
  <c r="R134" i="4"/>
  <c r="S134" i="4" s="1"/>
  <c r="T134" i="4" s="1"/>
  <c r="R188" i="4"/>
  <c r="S188" i="4" s="1"/>
  <c r="T188" i="4" s="1"/>
  <c r="L139" i="4"/>
  <c r="M139" i="4" s="1"/>
  <c r="AA139" i="4" s="1"/>
  <c r="AD150" i="4"/>
  <c r="AE150" i="4" s="1"/>
  <c r="R139" i="4"/>
  <c r="S139" i="4" s="1"/>
  <c r="T139" i="4" s="1"/>
  <c r="L150" i="4"/>
  <c r="AF150" i="4" s="1"/>
  <c r="U139" i="4"/>
  <c r="V139" i="4" s="1"/>
  <c r="W139" i="4" s="1"/>
  <c r="X150" i="4"/>
  <c r="Y150" i="4" s="1"/>
  <c r="AD139" i="4"/>
  <c r="AE139" i="4" s="1"/>
  <c r="U150" i="4"/>
  <c r="V150" i="4" s="1"/>
  <c r="W150" i="4" s="1"/>
  <c r="X139" i="4"/>
  <c r="Y139" i="4" s="1"/>
  <c r="U188" i="4"/>
  <c r="V188" i="4" s="1"/>
  <c r="W188" i="4" s="1"/>
  <c r="R150" i="4"/>
  <c r="S150" i="4" s="1"/>
  <c r="T150" i="4" s="1"/>
  <c r="N134" i="4"/>
  <c r="O134" i="4" s="1"/>
  <c r="Q134" i="4" s="1"/>
  <c r="U134" i="4"/>
  <c r="V134" i="4" s="1"/>
  <c r="W134" i="4" s="1"/>
  <c r="N139" i="4"/>
  <c r="O139" i="4" s="1"/>
  <c r="Q139" i="4" s="1"/>
  <c r="X188" i="4"/>
  <c r="Y188" i="4" s="1"/>
  <c r="N150" i="4"/>
  <c r="O150" i="4" s="1"/>
  <c r="Q150" i="4" s="1"/>
  <c r="L188" i="4"/>
  <c r="M188" i="4" s="1"/>
  <c r="AA188" i="4" s="1"/>
  <c r="L134" i="4"/>
  <c r="Z134" i="4" s="1"/>
  <c r="X118" i="4"/>
  <c r="Y118" i="4" s="1"/>
  <c r="N118" i="4"/>
  <c r="O118" i="4" s="1"/>
  <c r="Q118" i="4" s="1"/>
  <c r="AD205" i="4"/>
  <c r="AE205" i="4" s="1"/>
  <c r="N179" i="4"/>
  <c r="O179" i="4" s="1"/>
  <c r="Q179" i="4" s="1"/>
  <c r="L119" i="4"/>
  <c r="AF119" i="4" s="1"/>
  <c r="N171" i="4"/>
  <c r="O171" i="4" s="1"/>
  <c r="Q171" i="4" s="1"/>
  <c r="R119" i="4"/>
  <c r="S119" i="4" s="1"/>
  <c r="T119" i="4" s="1"/>
  <c r="L118" i="4"/>
  <c r="AB118" i="4" s="1"/>
  <c r="X171" i="4"/>
  <c r="Y171" i="4" s="1"/>
  <c r="L179" i="4"/>
  <c r="AF179" i="4" s="1"/>
  <c r="U119" i="4"/>
  <c r="V119" i="4" s="1"/>
  <c r="W119" i="4" s="1"/>
  <c r="U171" i="4"/>
  <c r="V171" i="4" s="1"/>
  <c r="W171" i="4" s="1"/>
  <c r="X179" i="4"/>
  <c r="Y179" i="4" s="1"/>
  <c r="X119" i="4"/>
  <c r="Y119" i="4" s="1"/>
  <c r="AD118" i="4"/>
  <c r="AE118" i="4" s="1"/>
  <c r="AD119" i="4"/>
  <c r="AE119" i="4" s="1"/>
  <c r="U118" i="4"/>
  <c r="V118" i="4" s="1"/>
  <c r="W118" i="4" s="1"/>
  <c r="R171" i="4"/>
  <c r="S171" i="4" s="1"/>
  <c r="T171" i="4" s="1"/>
  <c r="U179" i="4"/>
  <c r="V179" i="4" s="1"/>
  <c r="W179" i="4" s="1"/>
  <c r="AD179" i="4"/>
  <c r="AE179" i="4" s="1"/>
  <c r="N119" i="4"/>
  <c r="O119" i="4" s="1"/>
  <c r="Q119" i="4" s="1"/>
  <c r="AD171" i="4"/>
  <c r="AE171" i="4" s="1"/>
  <c r="R118" i="4"/>
  <c r="S118" i="4" s="1"/>
  <c r="T118" i="4" s="1"/>
  <c r="L171" i="4"/>
  <c r="AB171" i="4" s="1"/>
  <c r="R179" i="4"/>
  <c r="S179" i="4" s="1"/>
  <c r="T179" i="4" s="1"/>
  <c r="X204" i="4"/>
  <c r="Y204" i="4" s="1"/>
  <c r="U204" i="4"/>
  <c r="V204" i="4" s="1"/>
  <c r="W204" i="4" s="1"/>
  <c r="N204" i="4"/>
  <c r="O204" i="4" s="1"/>
  <c r="Q204" i="4" s="1"/>
  <c r="R205" i="4"/>
  <c r="S205" i="4" s="1"/>
  <c r="T205" i="4" s="1"/>
  <c r="U178" i="4"/>
  <c r="V178" i="4" s="1"/>
  <c r="W178" i="4" s="1"/>
  <c r="R178" i="4"/>
  <c r="S178" i="4" s="1"/>
  <c r="T178" i="4" s="1"/>
  <c r="AD204" i="4"/>
  <c r="AH204" i="4" s="1"/>
  <c r="X178" i="4"/>
  <c r="Y178" i="4" s="1"/>
  <c r="AH198" i="4"/>
  <c r="AH121" i="4"/>
  <c r="AH188" i="4"/>
  <c r="AH166" i="4"/>
  <c r="AH132" i="4"/>
  <c r="AH186" i="4"/>
  <c r="X189" i="4"/>
  <c r="Y189" i="4" s="1"/>
  <c r="U196" i="4"/>
  <c r="V196" i="4" s="1"/>
  <c r="W196" i="4" s="1"/>
  <c r="X147" i="4"/>
  <c r="Y147" i="4" s="1"/>
  <c r="N196" i="4"/>
  <c r="O196" i="4" s="1"/>
  <c r="Q196" i="4" s="1"/>
  <c r="AD178" i="4"/>
  <c r="L204" i="4"/>
  <c r="AF204" i="4" s="1"/>
  <c r="N205" i="4"/>
  <c r="O205" i="4" s="1"/>
  <c r="Q205" i="4" s="1"/>
  <c r="L178" i="4"/>
  <c r="AB178" i="4" s="1"/>
  <c r="X205" i="4"/>
  <c r="Y205" i="4" s="1"/>
  <c r="R204" i="4"/>
  <c r="S204" i="4" s="1"/>
  <c r="T204" i="4" s="1"/>
  <c r="L205" i="4"/>
  <c r="AF205" i="4" s="1"/>
  <c r="N178" i="4"/>
  <c r="O178" i="4" s="1"/>
  <c r="Q178" i="4" s="1"/>
  <c r="U205" i="4"/>
  <c r="V205" i="4" s="1"/>
  <c r="W205" i="4" s="1"/>
  <c r="X136" i="4"/>
  <c r="Y136" i="4" s="1"/>
  <c r="R189" i="4"/>
  <c r="S189" i="4" s="1"/>
  <c r="T189" i="4" s="1"/>
  <c r="AD147" i="4"/>
  <c r="L147" i="4"/>
  <c r="M147" i="4" s="1"/>
  <c r="AA147" i="4" s="1"/>
  <c r="U147" i="4"/>
  <c r="V147" i="4" s="1"/>
  <c r="W147" i="4" s="1"/>
  <c r="R147" i="4"/>
  <c r="S147" i="4" s="1"/>
  <c r="T147" i="4" s="1"/>
  <c r="L187" i="4"/>
  <c r="AF187" i="4" s="1"/>
  <c r="N187" i="4"/>
  <c r="O187" i="4" s="1"/>
  <c r="Q187" i="4" s="1"/>
  <c r="U187" i="4"/>
  <c r="V187" i="4" s="1"/>
  <c r="W187" i="4" s="1"/>
  <c r="U136" i="4"/>
  <c r="V136" i="4" s="1"/>
  <c r="W136" i="4" s="1"/>
  <c r="L136" i="4"/>
  <c r="AB136" i="4" s="1"/>
  <c r="L196" i="4"/>
  <c r="AB196" i="4" s="1"/>
  <c r="N189" i="4"/>
  <c r="O189" i="4" s="1"/>
  <c r="Q189" i="4" s="1"/>
  <c r="AD136" i="4"/>
  <c r="R187" i="4"/>
  <c r="S187" i="4" s="1"/>
  <c r="T187" i="4" s="1"/>
  <c r="U189" i="4"/>
  <c r="V189" i="4" s="1"/>
  <c r="W189" i="4" s="1"/>
  <c r="AD196" i="4"/>
  <c r="R136" i="4"/>
  <c r="S136" i="4" s="1"/>
  <c r="T136" i="4" s="1"/>
  <c r="AD187" i="4"/>
  <c r="X196" i="4"/>
  <c r="Y196" i="4" s="1"/>
  <c r="L189" i="4"/>
  <c r="Z189" i="4" s="1"/>
  <c r="X187" i="4"/>
  <c r="Y187" i="4" s="1"/>
  <c r="N136" i="4"/>
  <c r="O136" i="4" s="1"/>
  <c r="Q136" i="4" s="1"/>
  <c r="R196" i="4"/>
  <c r="S196" i="4" s="1"/>
  <c r="T196" i="4" s="1"/>
  <c r="AD189" i="4"/>
  <c r="AD193" i="4"/>
  <c r="X199" i="4"/>
  <c r="Y199" i="4" s="1"/>
  <c r="L193" i="4"/>
  <c r="AF193" i="4" s="1"/>
  <c r="N193" i="4"/>
  <c r="O193" i="4" s="1"/>
  <c r="Q193" i="4" s="1"/>
  <c r="X193" i="4"/>
  <c r="Y193" i="4" s="1"/>
  <c r="R193" i="4"/>
  <c r="S193" i="4" s="1"/>
  <c r="T193" i="4" s="1"/>
  <c r="U193" i="4"/>
  <c r="V193" i="4" s="1"/>
  <c r="W193" i="4" s="1"/>
  <c r="U129" i="4"/>
  <c r="V129" i="4" s="1"/>
  <c r="W129" i="4" s="1"/>
  <c r="N206" i="4"/>
  <c r="O206" i="4" s="1"/>
  <c r="Q206" i="4" s="1"/>
  <c r="L129" i="4"/>
  <c r="AB129" i="4" s="1"/>
  <c r="AD129" i="4"/>
  <c r="AD199" i="4"/>
  <c r="N199" i="4"/>
  <c r="O199" i="4" s="1"/>
  <c r="Q199" i="4" s="1"/>
  <c r="R206" i="4"/>
  <c r="S206" i="4" s="1"/>
  <c r="T206" i="4" s="1"/>
  <c r="R142" i="4"/>
  <c r="S142" i="4" s="1"/>
  <c r="T142" i="4" s="1"/>
  <c r="U206" i="4"/>
  <c r="V206" i="4" s="1"/>
  <c r="W206" i="4" s="1"/>
  <c r="L199" i="4"/>
  <c r="AF199" i="4" s="1"/>
  <c r="R129" i="4"/>
  <c r="S129" i="4" s="1"/>
  <c r="T129" i="4" s="1"/>
  <c r="AD206" i="4"/>
  <c r="N129" i="4"/>
  <c r="O129" i="4" s="1"/>
  <c r="Q129" i="4" s="1"/>
  <c r="X206" i="4"/>
  <c r="Y206" i="4" s="1"/>
  <c r="U199" i="4"/>
  <c r="V199" i="4" s="1"/>
  <c r="W199" i="4" s="1"/>
  <c r="R199" i="4"/>
  <c r="S199" i="4" s="1"/>
  <c r="T199" i="4" s="1"/>
  <c r="L206" i="4"/>
  <c r="Z206" i="4" s="1"/>
  <c r="X129" i="4"/>
  <c r="Y129" i="4" s="1"/>
  <c r="R197" i="4"/>
  <c r="S197" i="4" s="1"/>
  <c r="T197" i="4" s="1"/>
  <c r="E243" i="2"/>
  <c r="AD197" i="4"/>
  <c r="N197" i="4"/>
  <c r="O197" i="4" s="1"/>
  <c r="Q197" i="4" s="1"/>
  <c r="L155" i="4"/>
  <c r="AF155" i="4" s="1"/>
  <c r="L197" i="4"/>
  <c r="AB197" i="4" s="1"/>
  <c r="U197" i="4"/>
  <c r="V197" i="4" s="1"/>
  <c r="W197" i="4" s="1"/>
  <c r="X195" i="4"/>
  <c r="Y195" i="4" s="1"/>
  <c r="X197" i="4"/>
  <c r="Y197" i="4" s="1"/>
  <c r="N156" i="4"/>
  <c r="O156" i="4" s="1"/>
  <c r="Q156" i="4" s="1"/>
  <c r="X114" i="4"/>
  <c r="Y114" i="4" s="1"/>
  <c r="AD156" i="4"/>
  <c r="L174" i="4"/>
  <c r="M174" i="4" s="1"/>
  <c r="AA174" i="4" s="1"/>
  <c r="X181" i="4"/>
  <c r="Y181" i="4" s="1"/>
  <c r="AD145" i="4"/>
  <c r="K145" i="4"/>
  <c r="X130" i="4"/>
  <c r="Y130" i="4" s="1"/>
  <c r="K130" i="4"/>
  <c r="X167" i="4"/>
  <c r="Y167" i="4" s="1"/>
  <c r="K167" i="4"/>
  <c r="M111" i="4"/>
  <c r="AA111" i="4" s="1"/>
  <c r="AB111" i="4"/>
  <c r="X180" i="4"/>
  <c r="Y180" i="4" s="1"/>
  <c r="K180" i="4"/>
  <c r="U172" i="4"/>
  <c r="V172" i="4" s="1"/>
  <c r="W172" i="4" s="1"/>
  <c r="K172" i="4"/>
  <c r="U194" i="4"/>
  <c r="V194" i="4" s="1"/>
  <c r="W194" i="4" s="1"/>
  <c r="K194" i="4"/>
  <c r="L203" i="4"/>
  <c r="K203" i="4"/>
  <c r="L163" i="4"/>
  <c r="K163" i="4"/>
  <c r="R149" i="4"/>
  <c r="S149" i="4" s="1"/>
  <c r="T149" i="4" s="1"/>
  <c r="K149" i="4"/>
  <c r="L80" i="4"/>
  <c r="K80" i="4"/>
  <c r="U182" i="4"/>
  <c r="V182" i="4" s="1"/>
  <c r="W182" i="4" s="1"/>
  <c r="K182" i="4"/>
  <c r="U177" i="4"/>
  <c r="V177" i="4" s="1"/>
  <c r="W177" i="4" s="1"/>
  <c r="K177" i="4"/>
  <c r="X133" i="4"/>
  <c r="Y133" i="4" s="1"/>
  <c r="K133" i="4"/>
  <c r="N114" i="4"/>
  <c r="O114" i="4" s="1"/>
  <c r="Q114" i="4" s="1"/>
  <c r="K114" i="4"/>
  <c r="L48" i="4"/>
  <c r="K48" i="4"/>
  <c r="X157" i="4"/>
  <c r="Y157" i="4" s="1"/>
  <c r="K157" i="4"/>
  <c r="U152" i="4"/>
  <c r="V152" i="4" s="1"/>
  <c r="W152" i="4" s="1"/>
  <c r="K152" i="4"/>
  <c r="X202" i="4"/>
  <c r="Y202" i="4" s="1"/>
  <c r="K202" i="4"/>
  <c r="U162" i="4"/>
  <c r="V162" i="4" s="1"/>
  <c r="W162" i="4" s="1"/>
  <c r="AD140" i="4"/>
  <c r="K140" i="4"/>
  <c r="U142" i="4"/>
  <c r="V142" i="4" s="1"/>
  <c r="W142" i="4" s="1"/>
  <c r="AD163" i="4"/>
  <c r="AD151" i="4"/>
  <c r="K151" i="4"/>
  <c r="X168" i="4"/>
  <c r="Y168" i="4" s="1"/>
  <c r="K168" i="4"/>
  <c r="N163" i="4"/>
  <c r="O163" i="4" s="1"/>
  <c r="Q163" i="4" s="1"/>
  <c r="X112" i="4"/>
  <c r="Y112" i="4" s="1"/>
  <c r="K112" i="4"/>
  <c r="R195" i="4"/>
  <c r="S195" i="4" s="1"/>
  <c r="T195" i="4" s="1"/>
  <c r="K195" i="4"/>
  <c r="N158" i="4"/>
  <c r="O158" i="4" s="1"/>
  <c r="Q158" i="4" s="1"/>
  <c r="K158" i="4"/>
  <c r="R135" i="4"/>
  <c r="S135" i="4" s="1"/>
  <c r="T135" i="4" s="1"/>
  <c r="K135" i="4"/>
  <c r="N143" i="4"/>
  <c r="O143" i="4" s="1"/>
  <c r="Q143" i="4" s="1"/>
  <c r="K143" i="4"/>
  <c r="U169" i="4"/>
  <c r="V169" i="4" s="1"/>
  <c r="W169" i="4" s="1"/>
  <c r="K169" i="4"/>
  <c r="X113" i="4"/>
  <c r="Y113" i="4" s="1"/>
  <c r="K113" i="4"/>
  <c r="AD123" i="4"/>
  <c r="K123" i="4"/>
  <c r="N111" i="4"/>
  <c r="O111" i="4" s="1"/>
  <c r="Q111" i="4" s="1"/>
  <c r="K111" i="4"/>
  <c r="AF111" i="4" s="1"/>
  <c r="L162" i="4"/>
  <c r="K162" i="4"/>
  <c r="AD120" i="4"/>
  <c r="K120" i="4"/>
  <c r="U126" i="4"/>
  <c r="V126" i="4" s="1"/>
  <c r="W126" i="4" s="1"/>
  <c r="K126" i="4"/>
  <c r="N181" i="4"/>
  <c r="O181" i="4" s="1"/>
  <c r="Q181" i="4" s="1"/>
  <c r="K181" i="4"/>
  <c r="AD131" i="4"/>
  <c r="K131" i="4"/>
  <c r="X191" i="4"/>
  <c r="Y191" i="4" s="1"/>
  <c r="K191" i="4"/>
  <c r="AD207" i="4"/>
  <c r="K207" i="4"/>
  <c r="U190" i="4"/>
  <c r="V190" i="4" s="1"/>
  <c r="W190" i="4" s="1"/>
  <c r="K190" i="4"/>
  <c r="U122" i="4"/>
  <c r="V122" i="4" s="1"/>
  <c r="W122" i="4" s="1"/>
  <c r="K122" i="4"/>
  <c r="AD203" i="4"/>
  <c r="N203" i="4"/>
  <c r="O203" i="4" s="1"/>
  <c r="Q203" i="4" s="1"/>
  <c r="X124" i="4"/>
  <c r="Y124" i="4" s="1"/>
  <c r="K124" i="4"/>
  <c r="U185" i="4"/>
  <c r="V185" i="4" s="1"/>
  <c r="W185" i="4" s="1"/>
  <c r="K185" i="4"/>
  <c r="AD137" i="4"/>
  <c r="K137" i="4"/>
  <c r="X173" i="4"/>
  <c r="Y173" i="4" s="1"/>
  <c r="K173" i="4"/>
  <c r="R174" i="4"/>
  <c r="S174" i="4" s="1"/>
  <c r="T174" i="4" s="1"/>
  <c r="U111" i="4"/>
  <c r="V111" i="4" s="1"/>
  <c r="W111" i="4" s="1"/>
  <c r="X165" i="4"/>
  <c r="Y165" i="4" s="1"/>
  <c r="K165" i="4"/>
  <c r="AD174" i="4"/>
  <c r="U116" i="4"/>
  <c r="V116" i="4" s="1"/>
  <c r="W116" i="4" s="1"/>
  <c r="K116" i="4"/>
  <c r="R163" i="4"/>
  <c r="S163" i="4" s="1"/>
  <c r="T163" i="4" s="1"/>
  <c r="N146" i="4"/>
  <c r="O146" i="4" s="1"/>
  <c r="Q146" i="4" s="1"/>
  <c r="K146" i="4"/>
  <c r="X175" i="4"/>
  <c r="Y175" i="4" s="1"/>
  <c r="K175" i="4"/>
  <c r="AD209" i="4"/>
  <c r="K209" i="4"/>
  <c r="X160" i="4"/>
  <c r="Y160" i="4" s="1"/>
  <c r="K160" i="4"/>
  <c r="A44" i="16"/>
  <c r="L44" i="16" s="1"/>
  <c r="L65" i="16" s="1"/>
  <c r="N65" i="16" s="1"/>
  <c r="X156" i="4"/>
  <c r="Y156" i="4" s="1"/>
  <c r="L156" i="4"/>
  <c r="L114" i="4"/>
  <c r="X174" i="4"/>
  <c r="Y174" i="4" s="1"/>
  <c r="L181" i="4"/>
  <c r="N174" i="4"/>
  <c r="O174" i="4" s="1"/>
  <c r="Q174" i="4" s="1"/>
  <c r="L135" i="4"/>
  <c r="L158" i="4"/>
  <c r="L143" i="4"/>
  <c r="X135" i="4"/>
  <c r="Y135" i="4" s="1"/>
  <c r="AD148" i="4"/>
  <c r="U146" i="4"/>
  <c r="V146" i="4" s="1"/>
  <c r="W146" i="4" s="1"/>
  <c r="U175" i="4"/>
  <c r="V175" i="4" s="1"/>
  <c r="W175" i="4" s="1"/>
  <c r="AD158" i="4"/>
  <c r="N112" i="4"/>
  <c r="O112" i="4" s="1"/>
  <c r="Q112" i="4" s="1"/>
  <c r="N135" i="4"/>
  <c r="O135" i="4" s="1"/>
  <c r="Q135" i="4" s="1"/>
  <c r="AD112" i="4"/>
  <c r="X143" i="4"/>
  <c r="Y143" i="4" s="1"/>
  <c r="U135" i="4"/>
  <c r="V135" i="4" s="1"/>
  <c r="W135" i="4" s="1"/>
  <c r="X155" i="4"/>
  <c r="Y155" i="4" s="1"/>
  <c r="U155" i="4"/>
  <c r="V155" i="4" s="1"/>
  <c r="W155" i="4" s="1"/>
  <c r="X158" i="4"/>
  <c r="Y158" i="4" s="1"/>
  <c r="AD143" i="4"/>
  <c r="R175" i="4"/>
  <c r="S175" i="4" s="1"/>
  <c r="T175" i="4" s="1"/>
  <c r="AD195" i="4"/>
  <c r="AD135" i="4"/>
  <c r="N195" i="4"/>
  <c r="O195" i="4" s="1"/>
  <c r="Q195" i="4" s="1"/>
  <c r="U112" i="4"/>
  <c r="V112" i="4" s="1"/>
  <c r="W112" i="4" s="1"/>
  <c r="R143" i="4"/>
  <c r="S143" i="4" s="1"/>
  <c r="T143" i="4" s="1"/>
  <c r="R148" i="4"/>
  <c r="S148" i="4" s="1"/>
  <c r="T148" i="4" s="1"/>
  <c r="R155" i="4"/>
  <c r="S155" i="4" s="1"/>
  <c r="T155" i="4" s="1"/>
  <c r="AD155" i="4"/>
  <c r="R112" i="4"/>
  <c r="S112" i="4" s="1"/>
  <c r="T112" i="4" s="1"/>
  <c r="L195" i="4"/>
  <c r="N155" i="4"/>
  <c r="O155" i="4" s="1"/>
  <c r="Q155" i="4" s="1"/>
  <c r="L112" i="4"/>
  <c r="U143" i="4"/>
  <c r="V143" i="4" s="1"/>
  <c r="W143" i="4" s="1"/>
  <c r="U195" i="4"/>
  <c r="V195" i="4" s="1"/>
  <c r="W195" i="4" s="1"/>
  <c r="L209" i="4"/>
  <c r="U123" i="4"/>
  <c r="V123" i="4" s="1"/>
  <c r="W123" i="4" s="1"/>
  <c r="X126" i="4"/>
  <c r="Y126" i="4" s="1"/>
  <c r="X148" i="4"/>
  <c r="Y148" i="4" s="1"/>
  <c r="AD160" i="4"/>
  <c r="L160" i="4"/>
  <c r="R158" i="4"/>
  <c r="S158" i="4" s="1"/>
  <c r="T158" i="4" s="1"/>
  <c r="U117" i="4"/>
  <c r="V117" i="4" s="1"/>
  <c r="W117" i="4" s="1"/>
  <c r="R146" i="4"/>
  <c r="S146" i="4" s="1"/>
  <c r="T146" i="4" s="1"/>
  <c r="R117" i="4"/>
  <c r="S117" i="4" s="1"/>
  <c r="T117" i="4" s="1"/>
  <c r="X117" i="4"/>
  <c r="Y117" i="4" s="1"/>
  <c r="X152" i="4"/>
  <c r="Y152" i="4" s="1"/>
  <c r="R209" i="4"/>
  <c r="S209" i="4" s="1"/>
  <c r="T209" i="4" s="1"/>
  <c r="L148" i="4"/>
  <c r="N148" i="4"/>
  <c r="O148" i="4" s="1"/>
  <c r="Q148" i="4" s="1"/>
  <c r="U148" i="4"/>
  <c r="V148" i="4" s="1"/>
  <c r="W148" i="4" s="1"/>
  <c r="U209" i="4"/>
  <c r="V209" i="4" s="1"/>
  <c r="W209" i="4" s="1"/>
  <c r="X146" i="4"/>
  <c r="Y146" i="4" s="1"/>
  <c r="L146" i="4"/>
  <c r="AD146" i="4"/>
  <c r="N117" i="4"/>
  <c r="O117" i="4" s="1"/>
  <c r="Q117" i="4" s="1"/>
  <c r="N175" i="4"/>
  <c r="O175" i="4" s="1"/>
  <c r="Q175" i="4" s="1"/>
  <c r="N209" i="4"/>
  <c r="O209" i="4" s="1"/>
  <c r="Q209" i="4" s="1"/>
  <c r="AD175" i="4"/>
  <c r="U160" i="4"/>
  <c r="V160" i="4" s="1"/>
  <c r="W160" i="4" s="1"/>
  <c r="R160" i="4"/>
  <c r="S160" i="4" s="1"/>
  <c r="T160" i="4" s="1"/>
  <c r="AD191" i="4"/>
  <c r="X209" i="4"/>
  <c r="Y209" i="4" s="1"/>
  <c r="AD117" i="4"/>
  <c r="L117" i="4"/>
  <c r="L175" i="4"/>
  <c r="AD180" i="4"/>
  <c r="N160" i="4"/>
  <c r="O160" i="4" s="1"/>
  <c r="Q160" i="4" s="1"/>
  <c r="X176" i="4"/>
  <c r="Y176" i="4" s="1"/>
  <c r="U176" i="4"/>
  <c r="V176" i="4" s="1"/>
  <c r="W176" i="4" s="1"/>
  <c r="AD130" i="4"/>
  <c r="X149" i="4"/>
  <c r="Y149" i="4" s="1"/>
  <c r="R162" i="4"/>
  <c r="S162" i="4" s="1"/>
  <c r="T162" i="4" s="1"/>
  <c r="AD111" i="4"/>
  <c r="U151" i="4"/>
  <c r="V151" i="4" s="1"/>
  <c r="W151" i="4" s="1"/>
  <c r="U163" i="4"/>
  <c r="V163" i="4" s="1"/>
  <c r="W163" i="4" s="1"/>
  <c r="X145" i="4"/>
  <c r="Y145" i="4" s="1"/>
  <c r="U156" i="4"/>
  <c r="V156" i="4" s="1"/>
  <c r="W156" i="4" s="1"/>
  <c r="AD114" i="4"/>
  <c r="R156" i="4"/>
  <c r="S156" i="4" s="1"/>
  <c r="T156" i="4" s="1"/>
  <c r="X203" i="4"/>
  <c r="Y203" i="4" s="1"/>
  <c r="U149" i="4"/>
  <c r="V149" i="4" s="1"/>
  <c r="W149" i="4" s="1"/>
  <c r="R203" i="4"/>
  <c r="S203" i="4" s="1"/>
  <c r="T203" i="4" s="1"/>
  <c r="AD185" i="4"/>
  <c r="AD202" i="4"/>
  <c r="U173" i="4"/>
  <c r="V173" i="4" s="1"/>
  <c r="W173" i="4" s="1"/>
  <c r="U181" i="4"/>
  <c r="V181" i="4" s="1"/>
  <c r="W181" i="4" s="1"/>
  <c r="X142" i="4"/>
  <c r="Y142" i="4" s="1"/>
  <c r="U174" i="4"/>
  <c r="V174" i="4" s="1"/>
  <c r="W174" i="4" s="1"/>
  <c r="L149" i="4"/>
  <c r="R111" i="4"/>
  <c r="S111" i="4" s="1"/>
  <c r="T111" i="4" s="1"/>
  <c r="X111" i="4"/>
  <c r="Y111" i="4" s="1"/>
  <c r="L142" i="4"/>
  <c r="N142" i="4"/>
  <c r="O142" i="4" s="1"/>
  <c r="Q142" i="4" s="1"/>
  <c r="N149" i="4"/>
  <c r="O149" i="4" s="1"/>
  <c r="Q149" i="4" s="1"/>
  <c r="X169" i="4"/>
  <c r="Y169" i="4" s="1"/>
  <c r="U145" i="4"/>
  <c r="V145" i="4" s="1"/>
  <c r="W145" i="4" s="1"/>
  <c r="U114" i="4"/>
  <c r="V114" i="4" s="1"/>
  <c r="W114" i="4" s="1"/>
  <c r="U203" i="4"/>
  <c r="V203" i="4" s="1"/>
  <c r="W203" i="4" s="1"/>
  <c r="AD149" i="4"/>
  <c r="N162" i="4"/>
  <c r="O162" i="4" s="1"/>
  <c r="Q162" i="4" s="1"/>
  <c r="AD124" i="4"/>
  <c r="AD152" i="4"/>
  <c r="X185" i="4"/>
  <c r="Y185" i="4" s="1"/>
  <c r="AD162" i="4"/>
  <c r="U120" i="4"/>
  <c r="V120" i="4" s="1"/>
  <c r="W120" i="4" s="1"/>
  <c r="AD181" i="4"/>
  <c r="AD142" i="4"/>
  <c r="U165" i="4"/>
  <c r="V165" i="4" s="1"/>
  <c r="W165" i="4" s="1"/>
  <c r="X163" i="4"/>
  <c r="Y163" i="4" s="1"/>
  <c r="R181" i="4"/>
  <c r="S181" i="4" s="1"/>
  <c r="T181" i="4" s="1"/>
  <c r="U158" i="4"/>
  <c r="V158" i="4" s="1"/>
  <c r="W158" i="4" s="1"/>
  <c r="AD168" i="4"/>
  <c r="AD116" i="4"/>
  <c r="U191" i="4"/>
  <c r="V191" i="4" s="1"/>
  <c r="W191" i="4" s="1"/>
  <c r="AD169" i="4"/>
  <c r="AD190" i="4"/>
  <c r="U180" i="4"/>
  <c r="V180" i="4" s="1"/>
  <c r="W180" i="4" s="1"/>
  <c r="U157" i="4"/>
  <c r="V157" i="4" s="1"/>
  <c r="W157" i="4" s="1"/>
  <c r="AD173" i="4"/>
  <c r="AD176" i="4"/>
  <c r="X123" i="4"/>
  <c r="Y123" i="4" s="1"/>
  <c r="X131" i="4"/>
  <c r="Y131" i="4" s="1"/>
  <c r="AD194" i="4"/>
  <c r="U168" i="4"/>
  <c r="V168" i="4" s="1"/>
  <c r="W168" i="4" s="1"/>
  <c r="X116" i="4"/>
  <c r="Y116" i="4" s="1"/>
  <c r="U167" i="4"/>
  <c r="V167" i="4" s="1"/>
  <c r="W167" i="4" s="1"/>
  <c r="AD167" i="4"/>
  <c r="AD133" i="4"/>
  <c r="X190" i="4"/>
  <c r="Y190" i="4" s="1"/>
  <c r="L115" i="4"/>
  <c r="N115" i="4"/>
  <c r="O115" i="4" s="1"/>
  <c r="Q115" i="4" s="1"/>
  <c r="R115" i="4"/>
  <c r="S115" i="4" s="1"/>
  <c r="T115" i="4" s="1"/>
  <c r="U110" i="4"/>
  <c r="V110" i="4" s="1"/>
  <c r="W110" i="4" s="1"/>
  <c r="R110" i="4"/>
  <c r="S110" i="4" s="1"/>
  <c r="T110" i="4" s="1"/>
  <c r="L110" i="4"/>
  <c r="N110" i="4"/>
  <c r="O110" i="4" s="1"/>
  <c r="Q110" i="4" s="1"/>
  <c r="L144" i="4"/>
  <c r="R144" i="4"/>
  <c r="S144" i="4" s="1"/>
  <c r="T144" i="4" s="1"/>
  <c r="N144" i="4"/>
  <c r="O144" i="4" s="1"/>
  <c r="Q144" i="4" s="1"/>
  <c r="X110" i="4"/>
  <c r="Y110" i="4" s="1"/>
  <c r="R153" i="4"/>
  <c r="S153" i="4" s="1"/>
  <c r="T153" i="4" s="1"/>
  <c r="N153" i="4"/>
  <c r="O153" i="4" s="1"/>
  <c r="Q153" i="4" s="1"/>
  <c r="L153" i="4"/>
  <c r="L164" i="4"/>
  <c r="N164" i="4"/>
  <c r="O164" i="4" s="1"/>
  <c r="Q164" i="4" s="1"/>
  <c r="R164" i="4"/>
  <c r="S164" i="4" s="1"/>
  <c r="T164" i="4" s="1"/>
  <c r="L161" i="4"/>
  <c r="R161" i="4"/>
  <c r="S161" i="4" s="1"/>
  <c r="T161" i="4" s="1"/>
  <c r="N161" i="4"/>
  <c r="O161" i="4" s="1"/>
  <c r="Q161" i="4" s="1"/>
  <c r="AD115" i="4"/>
  <c r="N191" i="4"/>
  <c r="O191" i="4" s="1"/>
  <c r="Q191" i="4" s="1"/>
  <c r="L191" i="4"/>
  <c r="R191" i="4"/>
  <c r="S191" i="4" s="1"/>
  <c r="T191" i="4" s="1"/>
  <c r="L169" i="4"/>
  <c r="R169" i="4"/>
  <c r="S169" i="4" s="1"/>
  <c r="T169" i="4" s="1"/>
  <c r="N169" i="4"/>
  <c r="O169" i="4" s="1"/>
  <c r="Q169" i="4" s="1"/>
  <c r="U207" i="4"/>
  <c r="V207" i="4" s="1"/>
  <c r="W207" i="4" s="1"/>
  <c r="X128" i="4"/>
  <c r="Y128" i="4" s="1"/>
  <c r="R128" i="4"/>
  <c r="S128" i="4" s="1"/>
  <c r="T128" i="4" s="1"/>
  <c r="N128" i="4"/>
  <c r="O128" i="4" s="1"/>
  <c r="Q128" i="4" s="1"/>
  <c r="L128" i="4"/>
  <c r="N159" i="4"/>
  <c r="O159" i="4" s="1"/>
  <c r="Q159" i="4" s="1"/>
  <c r="R159" i="4"/>
  <c r="S159" i="4" s="1"/>
  <c r="T159" i="4" s="1"/>
  <c r="L159" i="4"/>
  <c r="R167" i="4"/>
  <c r="S167" i="4" s="1"/>
  <c r="T167" i="4" s="1"/>
  <c r="L167" i="4"/>
  <c r="N167" i="4"/>
  <c r="O167" i="4" s="1"/>
  <c r="Q167" i="4" s="1"/>
  <c r="AD144" i="4"/>
  <c r="U153" i="4"/>
  <c r="V153" i="4" s="1"/>
  <c r="W153" i="4" s="1"/>
  <c r="X164" i="4"/>
  <c r="Y164" i="4" s="1"/>
  <c r="AD172" i="4"/>
  <c r="AD182" i="4"/>
  <c r="N173" i="4"/>
  <c r="O173" i="4" s="1"/>
  <c r="Q173" i="4" s="1"/>
  <c r="R173" i="4"/>
  <c r="S173" i="4" s="1"/>
  <c r="T173" i="4" s="1"/>
  <c r="L173" i="4"/>
  <c r="AD128" i="4"/>
  <c r="L176" i="4"/>
  <c r="R176" i="4"/>
  <c r="S176" i="4" s="1"/>
  <c r="T176" i="4" s="1"/>
  <c r="N176" i="4"/>
  <c r="O176" i="4" s="1"/>
  <c r="Q176" i="4" s="1"/>
  <c r="R123" i="4"/>
  <c r="S123" i="4" s="1"/>
  <c r="T123" i="4" s="1"/>
  <c r="N123" i="4"/>
  <c r="O123" i="4" s="1"/>
  <c r="Q123" i="4" s="1"/>
  <c r="L123" i="4"/>
  <c r="U140" i="4"/>
  <c r="V140" i="4" s="1"/>
  <c r="W140" i="4" s="1"/>
  <c r="AD122" i="4"/>
  <c r="AD159" i="4"/>
  <c r="R168" i="4"/>
  <c r="S168" i="4" s="1"/>
  <c r="T168" i="4" s="1"/>
  <c r="L168" i="4"/>
  <c r="N168" i="4"/>
  <c r="O168" i="4" s="1"/>
  <c r="Q168" i="4" s="1"/>
  <c r="N116" i="4"/>
  <c r="O116" i="4" s="1"/>
  <c r="Q116" i="4" s="1"/>
  <c r="L116" i="4"/>
  <c r="R116" i="4"/>
  <c r="S116" i="4" s="1"/>
  <c r="T116" i="4" s="1"/>
  <c r="AD161" i="4"/>
  <c r="U115" i="4"/>
  <c r="V115" i="4" s="1"/>
  <c r="W115" i="4" s="1"/>
  <c r="N113" i="4"/>
  <c r="O113" i="4" s="1"/>
  <c r="Q113" i="4" s="1"/>
  <c r="L113" i="4"/>
  <c r="R113" i="4"/>
  <c r="S113" i="4" s="1"/>
  <c r="T113" i="4" s="1"/>
  <c r="L133" i="4"/>
  <c r="R133" i="4"/>
  <c r="S133" i="4" s="1"/>
  <c r="T133" i="4" s="1"/>
  <c r="N133" i="4"/>
  <c r="O133" i="4" s="1"/>
  <c r="Q133" i="4" s="1"/>
  <c r="U144" i="4"/>
  <c r="V144" i="4" s="1"/>
  <c r="W144" i="4" s="1"/>
  <c r="AD110" i="4"/>
  <c r="R124" i="4"/>
  <c r="S124" i="4" s="1"/>
  <c r="T124" i="4" s="1"/>
  <c r="N124" i="4"/>
  <c r="O124" i="4" s="1"/>
  <c r="Q124" i="4" s="1"/>
  <c r="L124" i="4"/>
  <c r="X153" i="4"/>
  <c r="Y153" i="4" s="1"/>
  <c r="U164" i="4"/>
  <c r="V164" i="4" s="1"/>
  <c r="W164" i="4" s="1"/>
  <c r="R202" i="4"/>
  <c r="S202" i="4" s="1"/>
  <c r="T202" i="4" s="1"/>
  <c r="N202" i="4"/>
  <c r="O202" i="4" s="1"/>
  <c r="Q202" i="4" s="1"/>
  <c r="L202" i="4"/>
  <c r="U137" i="4"/>
  <c r="V137" i="4" s="1"/>
  <c r="W137" i="4" s="1"/>
  <c r="R137" i="4"/>
  <c r="S137" i="4" s="1"/>
  <c r="T137" i="4" s="1"/>
  <c r="L137" i="4"/>
  <c r="N137" i="4"/>
  <c r="O137" i="4" s="1"/>
  <c r="Q137" i="4" s="1"/>
  <c r="U128" i="4"/>
  <c r="V128" i="4" s="1"/>
  <c r="W128" i="4" s="1"/>
  <c r="L120" i="4"/>
  <c r="N120" i="4"/>
  <c r="O120" i="4" s="1"/>
  <c r="Q120" i="4" s="1"/>
  <c r="R120" i="4"/>
  <c r="S120" i="4" s="1"/>
  <c r="T120" i="4" s="1"/>
  <c r="X137" i="4"/>
  <c r="Y137" i="4" s="1"/>
  <c r="U113" i="4"/>
  <c r="V113" i="4" s="1"/>
  <c r="W113" i="4" s="1"/>
  <c r="N126" i="4"/>
  <c r="O126" i="4" s="1"/>
  <c r="Q126" i="4" s="1"/>
  <c r="R126" i="4"/>
  <c r="S126" i="4" s="1"/>
  <c r="T126" i="4" s="1"/>
  <c r="L126" i="4"/>
  <c r="N165" i="4"/>
  <c r="O165" i="4" s="1"/>
  <c r="Q165" i="4" s="1"/>
  <c r="L165" i="4"/>
  <c r="R165" i="4"/>
  <c r="S165" i="4" s="1"/>
  <c r="T165" i="4" s="1"/>
  <c r="N194" i="4"/>
  <c r="O194" i="4" s="1"/>
  <c r="Q194" i="4" s="1"/>
  <c r="R194" i="4"/>
  <c r="S194" i="4" s="1"/>
  <c r="T194" i="4" s="1"/>
  <c r="L194" i="4"/>
  <c r="X159" i="4"/>
  <c r="Y159" i="4" s="1"/>
  <c r="U161" i="4"/>
  <c r="V161" i="4" s="1"/>
  <c r="W161" i="4" s="1"/>
  <c r="N207" i="4"/>
  <c r="O207" i="4" s="1"/>
  <c r="Q207" i="4" s="1"/>
  <c r="R207" i="4"/>
  <c r="S207" i="4" s="1"/>
  <c r="T207" i="4" s="1"/>
  <c r="L207" i="4"/>
  <c r="X182" i="4"/>
  <c r="Y182" i="4" s="1"/>
  <c r="N182" i="4"/>
  <c r="O182" i="4" s="1"/>
  <c r="Q182" i="4" s="1"/>
  <c r="L182" i="4"/>
  <c r="R182" i="4"/>
  <c r="S182" i="4" s="1"/>
  <c r="T182" i="4" s="1"/>
  <c r="AD177" i="4"/>
  <c r="L177" i="4"/>
  <c r="R177" i="4"/>
  <c r="S177" i="4" s="1"/>
  <c r="T177" i="4" s="1"/>
  <c r="N177" i="4"/>
  <c r="O177" i="4" s="1"/>
  <c r="Q177" i="4" s="1"/>
  <c r="L122" i="4"/>
  <c r="N122" i="4"/>
  <c r="O122" i="4" s="1"/>
  <c r="Q122" i="4" s="1"/>
  <c r="R122" i="4"/>
  <c r="S122" i="4" s="1"/>
  <c r="T122" i="4" s="1"/>
  <c r="R172" i="4"/>
  <c r="S172" i="4" s="1"/>
  <c r="T172" i="4" s="1"/>
  <c r="N172" i="4"/>
  <c r="O172" i="4" s="1"/>
  <c r="Q172" i="4" s="1"/>
  <c r="L172" i="4"/>
  <c r="X140" i="4"/>
  <c r="Y140" i="4" s="1"/>
  <c r="L140" i="4"/>
  <c r="R140" i="4"/>
  <c r="S140" i="4" s="1"/>
  <c r="T140" i="4" s="1"/>
  <c r="N140" i="4"/>
  <c r="O140" i="4" s="1"/>
  <c r="Q140" i="4" s="1"/>
  <c r="X115" i="4"/>
  <c r="Y115" i="4" s="1"/>
  <c r="X207" i="4"/>
  <c r="Y207" i="4" s="1"/>
  <c r="N190" i="4"/>
  <c r="O190" i="4" s="1"/>
  <c r="Q190" i="4" s="1"/>
  <c r="L190" i="4"/>
  <c r="R190" i="4"/>
  <c r="S190" i="4" s="1"/>
  <c r="T190" i="4" s="1"/>
  <c r="R145" i="4"/>
  <c r="S145" i="4" s="1"/>
  <c r="T145" i="4" s="1"/>
  <c r="L145" i="4"/>
  <c r="N145" i="4"/>
  <c r="O145" i="4" s="1"/>
  <c r="Q145" i="4" s="1"/>
  <c r="L157" i="4"/>
  <c r="R157" i="4"/>
  <c r="S157" i="4" s="1"/>
  <c r="T157" i="4" s="1"/>
  <c r="N157" i="4"/>
  <c r="O157" i="4" s="1"/>
  <c r="Q157" i="4" s="1"/>
  <c r="U130" i="4"/>
  <c r="V130" i="4" s="1"/>
  <c r="W130" i="4" s="1"/>
  <c r="R130" i="4"/>
  <c r="S130" i="4" s="1"/>
  <c r="T130" i="4" s="1"/>
  <c r="N130" i="4"/>
  <c r="O130" i="4" s="1"/>
  <c r="Q130" i="4" s="1"/>
  <c r="L130" i="4"/>
  <c r="X144" i="4"/>
  <c r="Y144" i="4" s="1"/>
  <c r="U124" i="4"/>
  <c r="V124" i="4" s="1"/>
  <c r="W124" i="4" s="1"/>
  <c r="L152" i="4"/>
  <c r="R152" i="4"/>
  <c r="S152" i="4" s="1"/>
  <c r="T152" i="4" s="1"/>
  <c r="N152" i="4"/>
  <c r="O152" i="4" s="1"/>
  <c r="Q152" i="4" s="1"/>
  <c r="N185" i="4"/>
  <c r="O185" i="4" s="1"/>
  <c r="Q185" i="4" s="1"/>
  <c r="R185" i="4"/>
  <c r="S185" i="4" s="1"/>
  <c r="T185" i="4" s="1"/>
  <c r="L185" i="4"/>
  <c r="R180" i="4"/>
  <c r="S180" i="4" s="1"/>
  <c r="T180" i="4" s="1"/>
  <c r="L180" i="4"/>
  <c r="N180" i="4"/>
  <c r="O180" i="4" s="1"/>
  <c r="Q180" i="4" s="1"/>
  <c r="AD153" i="4"/>
  <c r="AD164" i="4"/>
  <c r="X172" i="4"/>
  <c r="Y172" i="4" s="1"/>
  <c r="U202" i="4"/>
  <c r="V202" i="4" s="1"/>
  <c r="W202" i="4" s="1"/>
  <c r="AD157" i="4"/>
  <c r="X177" i="4"/>
  <c r="Y177" i="4" s="1"/>
  <c r="X120" i="4"/>
  <c r="Y120" i="4" s="1"/>
  <c r="U133" i="4"/>
  <c r="V133" i="4" s="1"/>
  <c r="W133" i="4" s="1"/>
  <c r="U131" i="4"/>
  <c r="V131" i="4" s="1"/>
  <c r="W131" i="4" s="1"/>
  <c r="R131" i="4"/>
  <c r="S131" i="4" s="1"/>
  <c r="T131" i="4" s="1"/>
  <c r="N131" i="4"/>
  <c r="O131" i="4" s="1"/>
  <c r="Q131" i="4" s="1"/>
  <c r="L131" i="4"/>
  <c r="AD113" i="4"/>
  <c r="AD126" i="4"/>
  <c r="X122" i="4"/>
  <c r="Y122" i="4" s="1"/>
  <c r="AD165" i="4"/>
  <c r="X194" i="4"/>
  <c r="Y194" i="4" s="1"/>
  <c r="U159" i="4"/>
  <c r="V159" i="4" s="1"/>
  <c r="W159" i="4" s="1"/>
  <c r="L151" i="4"/>
  <c r="N151" i="4"/>
  <c r="O151" i="4" s="1"/>
  <c r="Q151" i="4" s="1"/>
  <c r="R151" i="4"/>
  <c r="S151" i="4" s="1"/>
  <c r="T151" i="4" s="1"/>
  <c r="X161" i="4"/>
  <c r="Y161" i="4" s="1"/>
  <c r="X151" i="4"/>
  <c r="Y151" i="4" s="1"/>
  <c r="X47" i="4"/>
  <c r="Y47" i="4" s="1"/>
  <c r="L47" i="4"/>
  <c r="L66" i="4"/>
  <c r="U82" i="4"/>
  <c r="V82" i="4" s="1"/>
  <c r="W82" i="4" s="1"/>
  <c r="L82" i="4"/>
  <c r="U85" i="4"/>
  <c r="V85" i="4" s="1"/>
  <c r="W85" i="4" s="1"/>
  <c r="L85" i="4"/>
  <c r="N70" i="4"/>
  <c r="O70" i="4" s="1"/>
  <c r="Q70" i="4" s="1"/>
  <c r="L70" i="4"/>
  <c r="U100" i="4"/>
  <c r="V100" i="4" s="1"/>
  <c r="W100" i="4" s="1"/>
  <c r="L100" i="4"/>
  <c r="U26" i="4"/>
  <c r="V26" i="4" s="1"/>
  <c r="W26" i="4" s="1"/>
  <c r="L26" i="4"/>
  <c r="R84" i="4"/>
  <c r="S84" i="4" s="1"/>
  <c r="T84" i="4" s="1"/>
  <c r="L84" i="4"/>
  <c r="U23" i="4"/>
  <c r="V23" i="4" s="1"/>
  <c r="W23" i="4" s="1"/>
  <c r="L23" i="4"/>
  <c r="N49" i="4"/>
  <c r="O49" i="4" s="1"/>
  <c r="Q49" i="4" s="1"/>
  <c r="L49" i="4"/>
  <c r="X35" i="4"/>
  <c r="Y35" i="4" s="1"/>
  <c r="L35" i="4"/>
  <c r="R102" i="4"/>
  <c r="S102" i="4" s="1"/>
  <c r="T102" i="4" s="1"/>
  <c r="L102" i="4"/>
  <c r="X24" i="4"/>
  <c r="Y24" i="4" s="1"/>
  <c r="L24" i="4"/>
  <c r="N9" i="4"/>
  <c r="O9" i="4" s="1"/>
  <c r="Q9" i="4" s="1"/>
  <c r="L9" i="4"/>
  <c r="L64" i="4"/>
  <c r="AD32" i="4"/>
  <c r="AE32" i="4" s="1"/>
  <c r="L32" i="4"/>
  <c r="L104" i="4"/>
  <c r="R43" i="4"/>
  <c r="S43" i="4" s="1"/>
  <c r="T43" i="4" s="1"/>
  <c r="L43" i="4"/>
  <c r="AD56" i="4"/>
  <c r="AE56" i="4" s="1"/>
  <c r="L56" i="4"/>
  <c r="L73" i="4"/>
  <c r="U83" i="4"/>
  <c r="V83" i="4" s="1"/>
  <c r="W83" i="4" s="1"/>
  <c r="L83" i="4"/>
  <c r="U41" i="4"/>
  <c r="V41" i="4" s="1"/>
  <c r="W41" i="4" s="1"/>
  <c r="L41" i="4"/>
  <c r="L31" i="4"/>
  <c r="U97" i="4"/>
  <c r="V97" i="4" s="1"/>
  <c r="W97" i="4" s="1"/>
  <c r="L97" i="4"/>
  <c r="R14" i="4"/>
  <c r="S14" i="4" s="1"/>
  <c r="T14" i="4" s="1"/>
  <c r="L14" i="4"/>
  <c r="R94" i="4"/>
  <c r="S94" i="4" s="1"/>
  <c r="T94" i="4" s="1"/>
  <c r="L94" i="4"/>
  <c r="L12" i="4"/>
  <c r="L53" i="4"/>
  <c r="N36" i="4"/>
  <c r="O36" i="4" s="1"/>
  <c r="Q36" i="4" s="1"/>
  <c r="L36" i="4"/>
  <c r="R33" i="4"/>
  <c r="S33" i="4" s="1"/>
  <c r="T33" i="4" s="1"/>
  <c r="L33" i="4"/>
  <c r="L25" i="4"/>
  <c r="L109" i="4"/>
  <c r="L62" i="4"/>
  <c r="AD88" i="4"/>
  <c r="AE88" i="4" s="1"/>
  <c r="L88" i="4"/>
  <c r="U11" i="4"/>
  <c r="V11" i="4" s="1"/>
  <c r="W11" i="4" s="1"/>
  <c r="L11" i="4"/>
  <c r="N79" i="4"/>
  <c r="O79" i="4" s="1"/>
  <c r="Q79" i="4" s="1"/>
  <c r="L79" i="4"/>
  <c r="L59" i="4"/>
  <c r="L46" i="4"/>
  <c r="X40" i="4"/>
  <c r="Y40" i="4" s="1"/>
  <c r="L40" i="4"/>
  <c r="AD71" i="4"/>
  <c r="AE71" i="4" s="1"/>
  <c r="L71" i="4"/>
  <c r="U17" i="4"/>
  <c r="V17" i="4" s="1"/>
  <c r="W17" i="4" s="1"/>
  <c r="L17" i="4"/>
  <c r="L78" i="4"/>
  <c r="AD29" i="4"/>
  <c r="AE29" i="4" s="1"/>
  <c r="L29" i="4"/>
  <c r="R67" i="4"/>
  <c r="S67" i="4" s="1"/>
  <c r="T67" i="4" s="1"/>
  <c r="L67" i="4"/>
  <c r="L90" i="4"/>
  <c r="U19" i="4"/>
  <c r="V19" i="4" s="1"/>
  <c r="W19" i="4" s="1"/>
  <c r="L19" i="4"/>
  <c r="R54" i="4"/>
  <c r="S54" i="4" s="1"/>
  <c r="T54" i="4" s="1"/>
  <c r="L54" i="4"/>
  <c r="R77" i="4"/>
  <c r="S77" i="4" s="1"/>
  <c r="T77" i="4" s="1"/>
  <c r="L77" i="4"/>
  <c r="U58" i="4"/>
  <c r="V58" i="4" s="1"/>
  <c r="W58" i="4" s="1"/>
  <c r="L58" i="4"/>
  <c r="AD28" i="4"/>
  <c r="AE28" i="4" s="1"/>
  <c r="L28" i="4"/>
  <c r="AD10" i="4"/>
  <c r="AE10" i="4" s="1"/>
  <c r="L10" i="4"/>
  <c r="X74" i="4"/>
  <c r="Y74" i="4" s="1"/>
  <c r="L74" i="4"/>
  <c r="L27" i="4"/>
  <c r="L99" i="4"/>
  <c r="N16" i="4"/>
  <c r="O16" i="4" s="1"/>
  <c r="Q16" i="4" s="1"/>
  <c r="L16" i="4"/>
  <c r="AD51" i="4"/>
  <c r="AE51" i="4" s="1"/>
  <c r="L51" i="4"/>
  <c r="L60" i="4"/>
  <c r="AD101" i="4"/>
  <c r="AE101" i="4" s="1"/>
  <c r="L101" i="4"/>
  <c r="R13" i="4"/>
  <c r="S13" i="4" s="1"/>
  <c r="T13" i="4" s="1"/>
  <c r="L13" i="4"/>
  <c r="N61" i="4"/>
  <c r="O61" i="4" s="1"/>
  <c r="Q61" i="4" s="1"/>
  <c r="L61" i="4"/>
  <c r="L50" i="4"/>
  <c r="L18" i="4"/>
  <c r="AD42" i="4"/>
  <c r="AE42" i="4" s="1"/>
  <c r="L42" i="4"/>
  <c r="X45" i="4"/>
  <c r="Y45" i="4" s="1"/>
  <c r="L45" i="4"/>
  <c r="U106" i="4"/>
  <c r="V106" i="4" s="1"/>
  <c r="W106" i="4" s="1"/>
  <c r="L106" i="4"/>
  <c r="L44" i="4"/>
  <c r="N105" i="4"/>
  <c r="O105" i="4" s="1"/>
  <c r="Q105" i="4" s="1"/>
  <c r="L105" i="4"/>
  <c r="R98" i="4"/>
  <c r="S98" i="4" s="1"/>
  <c r="T98" i="4" s="1"/>
  <c r="L98" i="4"/>
  <c r="AD15" i="4"/>
  <c r="AE15" i="4" s="1"/>
  <c r="L15" i="4"/>
  <c r="N86" i="4"/>
  <c r="O86" i="4" s="1"/>
  <c r="Q86" i="4" s="1"/>
  <c r="L86" i="4"/>
  <c r="AD89" i="4"/>
  <c r="AE89" i="4" s="1"/>
  <c r="L89" i="4"/>
  <c r="AD81" i="4"/>
  <c r="AE81" i="4" s="1"/>
  <c r="L81" i="4"/>
  <c r="L63" i="4"/>
  <c r="AD52" i="4"/>
  <c r="AE52" i="4" s="1"/>
  <c r="L52" i="4"/>
  <c r="AD92" i="4"/>
  <c r="AE92" i="4" s="1"/>
  <c r="L92" i="4"/>
  <c r="X68" i="4"/>
  <c r="Y68" i="4" s="1"/>
  <c r="L68" i="4"/>
  <c r="U72" i="4"/>
  <c r="V72" i="4" s="1"/>
  <c r="W72" i="4" s="1"/>
  <c r="L72" i="4"/>
  <c r="U107" i="4"/>
  <c r="V107" i="4" s="1"/>
  <c r="W107" i="4" s="1"/>
  <c r="L107" i="4"/>
  <c r="AD108" i="4"/>
  <c r="AE108" i="4" s="1"/>
  <c r="L108" i="4"/>
  <c r="AD95" i="4"/>
  <c r="AE95" i="4" s="1"/>
  <c r="L95" i="4"/>
  <c r="X38" i="4"/>
  <c r="Y38" i="4" s="1"/>
  <c r="L38" i="4"/>
  <c r="AD22" i="4"/>
  <c r="AE22" i="4" s="1"/>
  <c r="L22" i="4"/>
  <c r="X34" i="4"/>
  <c r="Y34" i="4" s="1"/>
  <c r="L34" i="4"/>
  <c r="U103" i="4"/>
  <c r="V103" i="4" s="1"/>
  <c r="W103" i="4" s="1"/>
  <c r="L103" i="4"/>
  <c r="X69" i="4"/>
  <c r="Y69" i="4" s="1"/>
  <c r="L69" i="4"/>
  <c r="U57" i="4"/>
  <c r="V57" i="4" s="1"/>
  <c r="W57" i="4" s="1"/>
  <c r="L57" i="4"/>
  <c r="R39" i="4"/>
  <c r="S39" i="4" s="1"/>
  <c r="T39" i="4" s="1"/>
  <c r="L39" i="4"/>
  <c r="AD21" i="4"/>
  <c r="AE21" i="4" s="1"/>
  <c r="L21" i="4"/>
  <c r="U93" i="4"/>
  <c r="V93" i="4" s="1"/>
  <c r="W93" i="4" s="1"/>
  <c r="L93" i="4"/>
  <c r="L76" i="4"/>
  <c r="AD87" i="4"/>
  <c r="AE87" i="4" s="1"/>
  <c r="L87" i="4"/>
  <c r="U96" i="4"/>
  <c r="V96" i="4" s="1"/>
  <c r="W96" i="4" s="1"/>
  <c r="L96" i="4"/>
  <c r="X91" i="4"/>
  <c r="Y91" i="4" s="1"/>
  <c r="L91" i="4"/>
  <c r="X55" i="4"/>
  <c r="Y55" i="4" s="1"/>
  <c r="L55" i="4"/>
  <c r="R75" i="4"/>
  <c r="S75" i="4" s="1"/>
  <c r="T75" i="4" s="1"/>
  <c r="L75" i="4"/>
  <c r="U20" i="4"/>
  <c r="V20" i="4" s="1"/>
  <c r="W20" i="4" s="1"/>
  <c r="L20" i="4"/>
  <c r="X37" i="4"/>
  <c r="Y37" i="4" s="1"/>
  <c r="L37" i="4"/>
  <c r="L30" i="4"/>
  <c r="N27" i="4"/>
  <c r="O27" i="4" s="1"/>
  <c r="Q27" i="4" s="1"/>
  <c r="R27" i="4"/>
  <c r="S27" i="4" s="1"/>
  <c r="T27" i="4" s="1"/>
  <c r="AD27" i="4"/>
  <c r="AE27" i="4" s="1"/>
  <c r="AD99" i="4"/>
  <c r="AE99" i="4" s="1"/>
  <c r="U99" i="4"/>
  <c r="V99" i="4" s="1"/>
  <c r="W99" i="4" s="1"/>
  <c r="AD55" i="4"/>
  <c r="AE55" i="4" s="1"/>
  <c r="U27" i="4"/>
  <c r="V27" i="4" s="1"/>
  <c r="W27" i="4" s="1"/>
  <c r="AD16" i="4"/>
  <c r="AE16" i="4" s="1"/>
  <c r="N99" i="4"/>
  <c r="O99" i="4" s="1"/>
  <c r="Q99" i="4" s="1"/>
  <c r="X16" i="4"/>
  <c r="Y16" i="4" s="1"/>
  <c r="U16" i="4"/>
  <c r="V16" i="4" s="1"/>
  <c r="W16" i="4" s="1"/>
  <c r="R99" i="4"/>
  <c r="S99" i="4" s="1"/>
  <c r="T99" i="4" s="1"/>
  <c r="R16" i="4"/>
  <c r="S16" i="4" s="1"/>
  <c r="T16" i="4" s="1"/>
  <c r="X27" i="4"/>
  <c r="Y27" i="4" s="1"/>
  <c r="X99" i="4"/>
  <c r="Y99" i="4" s="1"/>
  <c r="N107" i="4"/>
  <c r="O107" i="4" s="1"/>
  <c r="Q107" i="4" s="1"/>
  <c r="AD107" i="4"/>
  <c r="AE107" i="4" s="1"/>
  <c r="X30" i="4"/>
  <c r="Y30" i="4" s="1"/>
  <c r="AD37" i="4"/>
  <c r="AE37" i="4" s="1"/>
  <c r="X72" i="4"/>
  <c r="Y72" i="4" s="1"/>
  <c r="R55" i="4"/>
  <c r="S55" i="4" s="1"/>
  <c r="T55" i="4" s="1"/>
  <c r="U30" i="4"/>
  <c r="V30" i="4" s="1"/>
  <c r="W30" i="4" s="1"/>
  <c r="R72" i="4"/>
  <c r="S72" i="4" s="1"/>
  <c r="T72" i="4" s="1"/>
  <c r="N75" i="4"/>
  <c r="O75" i="4" s="1"/>
  <c r="Q75" i="4" s="1"/>
  <c r="AD30" i="4"/>
  <c r="AE30" i="4" s="1"/>
  <c r="N72" i="4"/>
  <c r="O72" i="4" s="1"/>
  <c r="Q72" i="4" s="1"/>
  <c r="N37" i="4"/>
  <c r="O37" i="4" s="1"/>
  <c r="Q37" i="4" s="1"/>
  <c r="X33" i="4"/>
  <c r="Y33" i="4" s="1"/>
  <c r="N30" i="4"/>
  <c r="O30" i="4" s="1"/>
  <c r="Q30" i="4" s="1"/>
  <c r="X107" i="4"/>
  <c r="Y107" i="4" s="1"/>
  <c r="N55" i="4"/>
  <c r="O55" i="4" s="1"/>
  <c r="Q55" i="4" s="1"/>
  <c r="U55" i="4"/>
  <c r="V55" i="4" s="1"/>
  <c r="W55" i="4" s="1"/>
  <c r="U75" i="4"/>
  <c r="V75" i="4" s="1"/>
  <c r="W75" i="4" s="1"/>
  <c r="U37" i="4"/>
  <c r="V37" i="4" s="1"/>
  <c r="W37" i="4" s="1"/>
  <c r="R37" i="4"/>
  <c r="S37" i="4" s="1"/>
  <c r="T37" i="4" s="1"/>
  <c r="AD72" i="4"/>
  <c r="AE72" i="4" s="1"/>
  <c r="AD33" i="4"/>
  <c r="AE33" i="4" s="1"/>
  <c r="U33" i="4"/>
  <c r="V33" i="4" s="1"/>
  <c r="W33" i="4" s="1"/>
  <c r="R107" i="4"/>
  <c r="S107" i="4" s="1"/>
  <c r="T107" i="4" s="1"/>
  <c r="N33" i="4"/>
  <c r="O33" i="4" s="1"/>
  <c r="Q33" i="4" s="1"/>
  <c r="R30" i="4"/>
  <c r="S30" i="4" s="1"/>
  <c r="T30" i="4" s="1"/>
  <c r="AD75" i="4"/>
  <c r="AE75" i="4" s="1"/>
  <c r="X75" i="4"/>
  <c r="Y75" i="4" s="1"/>
  <c r="B259" i="2"/>
  <c r="B129" i="2"/>
  <c r="E65" i="1" s="1"/>
  <c r="E28" i="1"/>
  <c r="X10" i="4"/>
  <c r="Y10" i="4" s="1"/>
  <c r="N10" i="4"/>
  <c r="O10" i="4" s="1"/>
  <c r="Q10" i="4" s="1"/>
  <c r="U10" i="4"/>
  <c r="V10" i="4" s="1"/>
  <c r="W10" i="4" s="1"/>
  <c r="R10" i="4"/>
  <c r="S10" i="4" s="1"/>
  <c r="T10" i="4" s="1"/>
  <c r="E27" i="1"/>
  <c r="D48" i="16"/>
  <c r="B74" i="2"/>
  <c r="E36" i="1" s="1"/>
  <c r="B50" i="2"/>
  <c r="R45" i="4"/>
  <c r="S45" i="4" s="1"/>
  <c r="T45" i="4" s="1"/>
  <c r="AD45" i="4"/>
  <c r="E50" i="1"/>
  <c r="C45" i="16" s="1"/>
  <c r="D45" i="16" s="1"/>
  <c r="B133" i="2"/>
  <c r="B134" i="2" s="1"/>
  <c r="U45" i="4"/>
  <c r="V45" i="4" s="1"/>
  <c r="W45" i="4" s="1"/>
  <c r="N45" i="4"/>
  <c r="O45" i="4" s="1"/>
  <c r="Q45" i="4" s="1"/>
  <c r="R104" i="4"/>
  <c r="S104" i="4" s="1"/>
  <c r="T104" i="4" s="1"/>
  <c r="R58" i="4"/>
  <c r="S58" i="4" s="1"/>
  <c r="T58" i="4" s="1"/>
  <c r="AD104" i="4"/>
  <c r="N58" i="4"/>
  <c r="O58" i="4" s="1"/>
  <c r="Q58" i="4" s="1"/>
  <c r="N31" i="4"/>
  <c r="O31" i="4" s="1"/>
  <c r="Q31" i="4" s="1"/>
  <c r="X104" i="4"/>
  <c r="Y104" i="4" s="1"/>
  <c r="U104" i="4"/>
  <c r="V104" i="4" s="1"/>
  <c r="W104" i="4" s="1"/>
  <c r="N104" i="4"/>
  <c r="O104" i="4" s="1"/>
  <c r="Q104" i="4" s="1"/>
  <c r="X58" i="4"/>
  <c r="Y58" i="4" s="1"/>
  <c r="AD58" i="4"/>
  <c r="U36" i="4"/>
  <c r="V36" i="4" s="1"/>
  <c r="W36" i="4" s="1"/>
  <c r="X36" i="4"/>
  <c r="Y36" i="4" s="1"/>
  <c r="R36" i="4"/>
  <c r="S36" i="4" s="1"/>
  <c r="T36" i="4" s="1"/>
  <c r="X54" i="4"/>
  <c r="Y54" i="4" s="1"/>
  <c r="N12" i="4"/>
  <c r="O12" i="4" s="1"/>
  <c r="Q12" i="4" s="1"/>
  <c r="AD36" i="4"/>
  <c r="N77" i="4"/>
  <c r="O77" i="4" s="1"/>
  <c r="Q77" i="4" s="1"/>
  <c r="AD77" i="4"/>
  <c r="X77" i="4"/>
  <c r="Y77" i="4" s="1"/>
  <c r="U77" i="4"/>
  <c r="V77" i="4" s="1"/>
  <c r="W77" i="4" s="1"/>
  <c r="U53" i="4"/>
  <c r="V53" i="4" s="1"/>
  <c r="W53" i="4" s="1"/>
  <c r="AD64" i="4"/>
  <c r="X64" i="4"/>
  <c r="Y64" i="4" s="1"/>
  <c r="R64" i="4"/>
  <c r="S64" i="4" s="1"/>
  <c r="T64" i="4" s="1"/>
  <c r="U64" i="4"/>
  <c r="V64" i="4" s="1"/>
  <c r="W64" i="4" s="1"/>
  <c r="U54" i="4"/>
  <c r="V54" i="4" s="1"/>
  <c r="W54" i="4" s="1"/>
  <c r="U59" i="4"/>
  <c r="V59" i="4" s="1"/>
  <c r="W59" i="4" s="1"/>
  <c r="U68" i="4"/>
  <c r="V68" i="4" s="1"/>
  <c r="W68" i="4" s="1"/>
  <c r="N52" i="4"/>
  <c r="O52" i="4" s="1"/>
  <c r="Q52" i="4" s="1"/>
  <c r="R68" i="4"/>
  <c r="S68" i="4" s="1"/>
  <c r="T68" i="4" s="1"/>
  <c r="AD12" i="4"/>
  <c r="N24" i="4"/>
  <c r="O24" i="4" s="1"/>
  <c r="Q24" i="4" s="1"/>
  <c r="U87" i="4"/>
  <c r="V87" i="4" s="1"/>
  <c r="W87" i="4" s="1"/>
  <c r="R32" i="4"/>
  <c r="S32" i="4" s="1"/>
  <c r="T32" i="4" s="1"/>
  <c r="X32" i="4"/>
  <c r="Y32" i="4" s="1"/>
  <c r="N53" i="4"/>
  <c r="O53" i="4" s="1"/>
  <c r="Q53" i="4" s="1"/>
  <c r="AD94" i="4"/>
  <c r="AD14" i="4"/>
  <c r="N87" i="4"/>
  <c r="O87" i="4" s="1"/>
  <c r="Q87" i="4" s="1"/>
  <c r="R69" i="4"/>
  <c r="S69" i="4" s="1"/>
  <c r="T69" i="4" s="1"/>
  <c r="U32" i="4"/>
  <c r="V32" i="4" s="1"/>
  <c r="W32" i="4" s="1"/>
  <c r="R50" i="4"/>
  <c r="S50" i="4" s="1"/>
  <c r="T50" i="4" s="1"/>
  <c r="X57" i="4"/>
  <c r="Y57" i="4" s="1"/>
  <c r="X53" i="4"/>
  <c r="Y53" i="4" s="1"/>
  <c r="N39" i="4"/>
  <c r="O39" i="4" s="1"/>
  <c r="Q39" i="4" s="1"/>
  <c r="U14" i="4"/>
  <c r="V14" i="4" s="1"/>
  <c r="W14" i="4" s="1"/>
  <c r="X14" i="4"/>
  <c r="Y14" i="4" s="1"/>
  <c r="U39" i="4"/>
  <c r="V39" i="4" s="1"/>
  <c r="W39" i="4" s="1"/>
  <c r="X39" i="4"/>
  <c r="Y39" i="4" s="1"/>
  <c r="R70" i="4"/>
  <c r="S70" i="4" s="1"/>
  <c r="T70" i="4" s="1"/>
  <c r="AD82" i="4"/>
  <c r="X82" i="4"/>
  <c r="Y82" i="4" s="1"/>
  <c r="R82" i="4"/>
  <c r="S82" i="4" s="1"/>
  <c r="T82" i="4" s="1"/>
  <c r="AD54" i="4"/>
  <c r="N64" i="4"/>
  <c r="O64" i="4" s="1"/>
  <c r="Q64" i="4" s="1"/>
  <c r="U13" i="4"/>
  <c r="V13" i="4" s="1"/>
  <c r="W13" i="4" s="1"/>
  <c r="N46" i="4"/>
  <c r="O46" i="4" s="1"/>
  <c r="Q46" i="4" s="1"/>
  <c r="AD68" i="4"/>
  <c r="R42" i="4"/>
  <c r="S42" i="4" s="1"/>
  <c r="T42" i="4" s="1"/>
  <c r="U35" i="4"/>
  <c r="V35" i="4" s="1"/>
  <c r="W35" i="4" s="1"/>
  <c r="N68" i="4"/>
  <c r="O68" i="4" s="1"/>
  <c r="Q68" i="4" s="1"/>
  <c r="N54" i="4"/>
  <c r="O54" i="4" s="1"/>
  <c r="Q54" i="4" s="1"/>
  <c r="X87" i="4"/>
  <c r="Y87" i="4" s="1"/>
  <c r="R87" i="4"/>
  <c r="S87" i="4" s="1"/>
  <c r="T87" i="4" s="1"/>
  <c r="U69" i="4"/>
  <c r="V69" i="4" s="1"/>
  <c r="W69" i="4" s="1"/>
  <c r="N69" i="4"/>
  <c r="O69" i="4" s="1"/>
  <c r="Q69" i="4" s="1"/>
  <c r="N32" i="4"/>
  <c r="O32" i="4" s="1"/>
  <c r="Q32" i="4" s="1"/>
  <c r="N84" i="4"/>
  <c r="O84" i="4" s="1"/>
  <c r="Q84" i="4" s="1"/>
  <c r="X94" i="4"/>
  <c r="Y94" i="4" s="1"/>
  <c r="U94" i="4"/>
  <c r="V94" i="4" s="1"/>
  <c r="W94" i="4" s="1"/>
  <c r="AD53" i="4"/>
  <c r="N57" i="4"/>
  <c r="O57" i="4" s="1"/>
  <c r="Q57" i="4" s="1"/>
  <c r="R57" i="4"/>
  <c r="S57" i="4" s="1"/>
  <c r="T57" i="4" s="1"/>
  <c r="AD57" i="4"/>
  <c r="N94" i="4"/>
  <c r="O94" i="4" s="1"/>
  <c r="Q94" i="4" s="1"/>
  <c r="AD39" i="4"/>
  <c r="AD69" i="4"/>
  <c r="N14" i="4"/>
  <c r="O14" i="4" s="1"/>
  <c r="Q14" i="4" s="1"/>
  <c r="AD61" i="4"/>
  <c r="R53" i="4"/>
  <c r="S53" i="4" s="1"/>
  <c r="T53" i="4" s="1"/>
  <c r="X61" i="4"/>
  <c r="Y61" i="4" s="1"/>
  <c r="R9" i="4"/>
  <c r="S9" i="4" s="1"/>
  <c r="T9" i="4" s="1"/>
  <c r="X9" i="4"/>
  <c r="Y9" i="4" s="1"/>
  <c r="R19" i="4"/>
  <c r="S19" i="4" s="1"/>
  <c r="T19" i="4" s="1"/>
  <c r="X49" i="4"/>
  <c r="Y49" i="4" s="1"/>
  <c r="AD19" i="4"/>
  <c r="U49" i="4"/>
  <c r="V49" i="4" s="1"/>
  <c r="W49" i="4" s="1"/>
  <c r="R86" i="4"/>
  <c r="S86" i="4" s="1"/>
  <c r="T86" i="4" s="1"/>
  <c r="AD102" i="4"/>
  <c r="AD24" i="4"/>
  <c r="AD86" i="4"/>
  <c r="R24" i="4"/>
  <c r="S24" i="4" s="1"/>
  <c r="T24" i="4" s="1"/>
  <c r="AD35" i="4"/>
  <c r="N35" i="4"/>
  <c r="O35" i="4" s="1"/>
  <c r="Q35" i="4" s="1"/>
  <c r="N102" i="4"/>
  <c r="O102" i="4" s="1"/>
  <c r="Q102" i="4" s="1"/>
  <c r="X42" i="4"/>
  <c r="Y42" i="4" s="1"/>
  <c r="R35" i="4"/>
  <c r="S35" i="4" s="1"/>
  <c r="T35" i="4" s="1"/>
  <c r="X18" i="4"/>
  <c r="Y18" i="4" s="1"/>
  <c r="U52" i="4"/>
  <c r="V52" i="4" s="1"/>
  <c r="W52" i="4" s="1"/>
  <c r="U9" i="4"/>
  <c r="V9" i="4" s="1"/>
  <c r="W9" i="4" s="1"/>
  <c r="AD9" i="4"/>
  <c r="R34" i="4"/>
  <c r="S34" i="4" s="1"/>
  <c r="T34" i="4" s="1"/>
  <c r="R49" i="4"/>
  <c r="S49" i="4" s="1"/>
  <c r="T49" i="4" s="1"/>
  <c r="AD49" i="4"/>
  <c r="X19" i="4"/>
  <c r="Y19" i="4" s="1"/>
  <c r="U102" i="4"/>
  <c r="V102" i="4" s="1"/>
  <c r="W102" i="4" s="1"/>
  <c r="U24" i="4"/>
  <c r="V24" i="4" s="1"/>
  <c r="W24" i="4" s="1"/>
  <c r="X102" i="4"/>
  <c r="Y102" i="4" s="1"/>
  <c r="N42" i="4"/>
  <c r="O42" i="4" s="1"/>
  <c r="Q42" i="4" s="1"/>
  <c r="U18" i="4"/>
  <c r="V18" i="4" s="1"/>
  <c r="W18" i="4" s="1"/>
  <c r="N19" i="4"/>
  <c r="O19" i="4" s="1"/>
  <c r="Q19" i="4" s="1"/>
  <c r="U42" i="4"/>
  <c r="V42" i="4" s="1"/>
  <c r="W42" i="4" s="1"/>
  <c r="N18" i="4"/>
  <c r="O18" i="4" s="1"/>
  <c r="Q18" i="4" s="1"/>
  <c r="X52" i="4"/>
  <c r="Y52" i="4" s="1"/>
  <c r="R52" i="4"/>
  <c r="S52" i="4" s="1"/>
  <c r="T52" i="4" s="1"/>
  <c r="AD76" i="4"/>
  <c r="AD73" i="4"/>
  <c r="B682" i="3"/>
  <c r="AD105" i="4"/>
  <c r="U67" i="4"/>
  <c r="V67" i="4" s="1"/>
  <c r="W67" i="4" s="1"/>
  <c r="R18" i="4"/>
  <c r="S18" i="4" s="1"/>
  <c r="T18" i="4" s="1"/>
  <c r="AD67" i="4"/>
  <c r="AD18" i="4"/>
  <c r="X60" i="4"/>
  <c r="Y60" i="4" s="1"/>
  <c r="X70" i="4"/>
  <c r="Y70" i="4" s="1"/>
  <c r="R12" i="4"/>
  <c r="S12" i="4" s="1"/>
  <c r="T12" i="4" s="1"/>
  <c r="AD63" i="4"/>
  <c r="U76" i="4"/>
  <c r="V76" i="4" s="1"/>
  <c r="W76" i="4" s="1"/>
  <c r="X67" i="4"/>
  <c r="Y67" i="4" s="1"/>
  <c r="X90" i="4"/>
  <c r="Y90" i="4" s="1"/>
  <c r="R90" i="4"/>
  <c r="S90" i="4" s="1"/>
  <c r="T90" i="4" s="1"/>
  <c r="AD90" i="4"/>
  <c r="N67" i="4"/>
  <c r="O67" i="4" s="1"/>
  <c r="Q67" i="4" s="1"/>
  <c r="N90" i="4"/>
  <c r="O90" i="4" s="1"/>
  <c r="Q90" i="4" s="1"/>
  <c r="U90" i="4"/>
  <c r="V90" i="4" s="1"/>
  <c r="W90" i="4" s="1"/>
  <c r="N63" i="4"/>
  <c r="O63" i="4" s="1"/>
  <c r="Q63" i="4" s="1"/>
  <c r="X63" i="4"/>
  <c r="Y63" i="4" s="1"/>
  <c r="X12" i="4"/>
  <c r="Y12" i="4" s="1"/>
  <c r="U12" i="4"/>
  <c r="V12" i="4" s="1"/>
  <c r="W12" i="4" s="1"/>
  <c r="X76" i="4"/>
  <c r="Y76" i="4" s="1"/>
  <c r="R63" i="4"/>
  <c r="S63" i="4" s="1"/>
  <c r="T63" i="4" s="1"/>
  <c r="N76" i="4"/>
  <c r="O76" i="4" s="1"/>
  <c r="Q76" i="4" s="1"/>
  <c r="R76" i="4"/>
  <c r="S76" i="4" s="1"/>
  <c r="T76" i="4" s="1"/>
  <c r="U63" i="4"/>
  <c r="V63" i="4" s="1"/>
  <c r="W63" i="4" s="1"/>
  <c r="B70" i="2"/>
  <c r="E32" i="1" s="1"/>
  <c r="E20" i="1"/>
  <c r="X97" i="4"/>
  <c r="Y97" i="4" s="1"/>
  <c r="N95" i="4"/>
  <c r="O95" i="4" s="1"/>
  <c r="Q95" i="4" s="1"/>
  <c r="U73" i="4"/>
  <c r="V73" i="4" s="1"/>
  <c r="W73" i="4" s="1"/>
  <c r="U84" i="4"/>
  <c r="V84" i="4" s="1"/>
  <c r="W84" i="4" s="1"/>
  <c r="U50" i="4"/>
  <c r="V50" i="4" s="1"/>
  <c r="W50" i="4" s="1"/>
  <c r="R78" i="4"/>
  <c r="S78" i="4" s="1"/>
  <c r="T78" i="4" s="1"/>
  <c r="R61" i="4"/>
  <c r="S61" i="4" s="1"/>
  <c r="T61" i="4" s="1"/>
  <c r="U34" i="4"/>
  <c r="V34" i="4" s="1"/>
  <c r="W34" i="4" s="1"/>
  <c r="AD34" i="4"/>
  <c r="N34" i="4"/>
  <c r="O34" i="4" s="1"/>
  <c r="Q34" i="4" s="1"/>
  <c r="C682" i="3"/>
  <c r="X84" i="4"/>
  <c r="Y84" i="4" s="1"/>
  <c r="AD84" i="4"/>
  <c r="X50" i="4"/>
  <c r="Y50" i="4" s="1"/>
  <c r="N50" i="4"/>
  <c r="O50" i="4" s="1"/>
  <c r="Q50" i="4" s="1"/>
  <c r="AD78" i="4"/>
  <c r="X78" i="4"/>
  <c r="Y78" i="4" s="1"/>
  <c r="U78" i="4"/>
  <c r="V78" i="4" s="1"/>
  <c r="W78" i="4" s="1"/>
  <c r="R105" i="4"/>
  <c r="S105" i="4" s="1"/>
  <c r="T105" i="4" s="1"/>
  <c r="R73" i="4"/>
  <c r="S73" i="4" s="1"/>
  <c r="T73" i="4" s="1"/>
  <c r="N78" i="4"/>
  <c r="O78" i="4" s="1"/>
  <c r="Q78" i="4" s="1"/>
  <c r="U61" i="4"/>
  <c r="V61" i="4" s="1"/>
  <c r="W61" i="4" s="1"/>
  <c r="AD50" i="4"/>
  <c r="AD70" i="4"/>
  <c r="U70" i="4"/>
  <c r="V70" i="4" s="1"/>
  <c r="W70" i="4" s="1"/>
  <c r="B74" i="1"/>
  <c r="U46" i="4"/>
  <c r="V46" i="4" s="1"/>
  <c r="W46" i="4" s="1"/>
  <c r="AD46" i="4"/>
  <c r="AD41" i="4"/>
  <c r="AD98" i="4"/>
  <c r="R108" i="4"/>
  <c r="S108" i="4" s="1"/>
  <c r="T108" i="4" s="1"/>
  <c r="AD59" i="4"/>
  <c r="U98" i="4"/>
  <c r="V98" i="4" s="1"/>
  <c r="W98" i="4" s="1"/>
  <c r="N82" i="4"/>
  <c r="O82" i="4" s="1"/>
  <c r="Q82" i="4" s="1"/>
  <c r="N38" i="4"/>
  <c r="O38" i="4" s="1"/>
  <c r="Q38" i="4" s="1"/>
  <c r="U38" i="4"/>
  <c r="V38" i="4" s="1"/>
  <c r="W38" i="4" s="1"/>
  <c r="R38" i="4"/>
  <c r="S38" i="4" s="1"/>
  <c r="T38" i="4" s="1"/>
  <c r="N13" i="4"/>
  <c r="O13" i="4" s="1"/>
  <c r="Q13" i="4" s="1"/>
  <c r="R46" i="4"/>
  <c r="S46" i="4" s="1"/>
  <c r="T46" i="4" s="1"/>
  <c r="U86" i="4"/>
  <c r="V86" i="4" s="1"/>
  <c r="W86" i="4" s="1"/>
  <c r="R59" i="4"/>
  <c r="S59" i="4" s="1"/>
  <c r="T59" i="4" s="1"/>
  <c r="N59" i="4"/>
  <c r="O59" i="4" s="1"/>
  <c r="Q59" i="4" s="1"/>
  <c r="X59" i="4"/>
  <c r="Y59" i="4" s="1"/>
  <c r="U31" i="4"/>
  <c r="V31" i="4" s="1"/>
  <c r="W31" i="4" s="1"/>
  <c r="X86" i="4"/>
  <c r="Y86" i="4" s="1"/>
  <c r="AD38" i="4"/>
  <c r="R97" i="4"/>
  <c r="S97" i="4" s="1"/>
  <c r="T97" i="4" s="1"/>
  <c r="X46" i="4"/>
  <c r="Y46" i="4" s="1"/>
  <c r="X98" i="4"/>
  <c r="Y98" i="4" s="1"/>
  <c r="N98" i="4"/>
  <c r="O98" i="4" s="1"/>
  <c r="Q98" i="4" s="1"/>
  <c r="N41" i="4"/>
  <c r="O41" i="4" s="1"/>
  <c r="Q41" i="4" s="1"/>
  <c r="AD97" i="4"/>
  <c r="N97" i="4"/>
  <c r="O97" i="4" s="1"/>
  <c r="Q97" i="4" s="1"/>
  <c r="E62" i="1"/>
  <c r="N60" i="4"/>
  <c r="O60" i="4" s="1"/>
  <c r="Q60" i="4" s="1"/>
  <c r="B135" i="2"/>
  <c r="B136" i="2" s="1"/>
  <c r="N73" i="4"/>
  <c r="O73" i="4" s="1"/>
  <c r="Q73" i="4" s="1"/>
  <c r="U95" i="4"/>
  <c r="V95" i="4" s="1"/>
  <c r="W95" i="4" s="1"/>
  <c r="AD13" i="4"/>
  <c r="R31" i="4"/>
  <c r="S31" i="4" s="1"/>
  <c r="T31" i="4" s="1"/>
  <c r="X13" i="4"/>
  <c r="Y13" i="4" s="1"/>
  <c r="AD31" i="4"/>
  <c r="U105" i="4"/>
  <c r="V105" i="4" s="1"/>
  <c r="W105" i="4" s="1"/>
  <c r="X31" i="4"/>
  <c r="Y31" i="4" s="1"/>
  <c r="X41" i="4"/>
  <c r="Y41" i="4" s="1"/>
  <c r="R41" i="4"/>
  <c r="S41" i="4" s="1"/>
  <c r="T41" i="4" s="1"/>
  <c r="AD60" i="4"/>
  <c r="AD43" i="4"/>
  <c r="R95" i="4"/>
  <c r="S95" i="4" s="1"/>
  <c r="T95" i="4" s="1"/>
  <c r="X95" i="4"/>
  <c r="Y95" i="4" s="1"/>
  <c r="X11" i="4"/>
  <c r="Y11" i="4" s="1"/>
  <c r="X105" i="4"/>
  <c r="Y105" i="4" s="1"/>
  <c r="X73" i="4"/>
  <c r="Y73" i="4" s="1"/>
  <c r="R60" i="4"/>
  <c r="S60" i="4" s="1"/>
  <c r="T60" i="4" s="1"/>
  <c r="U60" i="4"/>
  <c r="V60" i="4" s="1"/>
  <c r="W60" i="4" s="1"/>
  <c r="R8" i="8"/>
  <c r="S8" i="8" s="1"/>
  <c r="S27" i="8" s="1"/>
  <c r="C74" i="1" s="1"/>
  <c r="B82" i="2"/>
  <c r="E43" i="1" s="1"/>
  <c r="R62" i="4"/>
  <c r="S62" i="4" s="1"/>
  <c r="T62" i="4" s="1"/>
  <c r="AD62" i="4"/>
  <c r="R66" i="4"/>
  <c r="S66" i="4" s="1"/>
  <c r="T66" i="4" s="1"/>
  <c r="U66" i="4"/>
  <c r="V66" i="4" s="1"/>
  <c r="W66" i="4" s="1"/>
  <c r="B158" i="2"/>
  <c r="R109" i="4"/>
  <c r="S109" i="4" s="1"/>
  <c r="T109" i="4" s="1"/>
  <c r="X79" i="4"/>
  <c r="Y79" i="4" s="1"/>
  <c r="AD79" i="4"/>
  <c r="N11" i="4"/>
  <c r="O11" i="4" s="1"/>
  <c r="Q11" i="4" s="1"/>
  <c r="AD11" i="4"/>
  <c r="R11" i="4"/>
  <c r="S11" i="4" s="1"/>
  <c r="T11" i="4" s="1"/>
  <c r="B160" i="2"/>
  <c r="AD66" i="4"/>
  <c r="N62" i="4"/>
  <c r="O62" i="4" s="1"/>
  <c r="Q62" i="4" s="1"/>
  <c r="U62" i="4"/>
  <c r="V62" i="4" s="1"/>
  <c r="W62" i="4" s="1"/>
  <c r="X66" i="4"/>
  <c r="Y66" i="4" s="1"/>
  <c r="N66" i="4"/>
  <c r="O66" i="4" s="1"/>
  <c r="Q66" i="4" s="1"/>
  <c r="X109" i="4"/>
  <c r="Y109" i="4" s="1"/>
  <c r="AD109" i="4"/>
  <c r="X62" i="4"/>
  <c r="Y62" i="4" s="1"/>
  <c r="U79" i="4"/>
  <c r="V79" i="4" s="1"/>
  <c r="W79" i="4" s="1"/>
  <c r="R79" i="4"/>
  <c r="S79" i="4" s="1"/>
  <c r="T79" i="4" s="1"/>
  <c r="U108" i="4"/>
  <c r="V108" i="4" s="1"/>
  <c r="W108" i="4" s="1"/>
  <c r="R44" i="4"/>
  <c r="S44" i="4" s="1"/>
  <c r="T44" i="4" s="1"/>
  <c r="N108" i="4"/>
  <c r="O108" i="4" s="1"/>
  <c r="Q108" i="4" s="1"/>
  <c r="R106" i="4"/>
  <c r="S106" i="4" s="1"/>
  <c r="T106" i="4" s="1"/>
  <c r="X108" i="4"/>
  <c r="Y108" i="4" s="1"/>
  <c r="U43" i="4"/>
  <c r="V43" i="4" s="1"/>
  <c r="W43" i="4" s="1"/>
  <c r="N44" i="4"/>
  <c r="O44" i="4" s="1"/>
  <c r="Q44" i="4" s="1"/>
  <c r="AD44" i="4"/>
  <c r="X44" i="4"/>
  <c r="Y44" i="4" s="1"/>
  <c r="N106" i="4"/>
  <c r="O106" i="4" s="1"/>
  <c r="Q106" i="4" s="1"/>
  <c r="AD106" i="4"/>
  <c r="X106" i="4"/>
  <c r="Y106" i="4" s="1"/>
  <c r="U25" i="4"/>
  <c r="V25" i="4" s="1"/>
  <c r="W25" i="4" s="1"/>
  <c r="AD25" i="4"/>
  <c r="U44" i="4"/>
  <c r="V44" i="4" s="1"/>
  <c r="W44" i="4" s="1"/>
  <c r="X43" i="4"/>
  <c r="Y43" i="4" s="1"/>
  <c r="N43" i="4"/>
  <c r="O43" i="4" s="1"/>
  <c r="Q43" i="4" s="1"/>
  <c r="U109" i="4"/>
  <c r="V109" i="4" s="1"/>
  <c r="W109" i="4" s="1"/>
  <c r="B75" i="4"/>
  <c r="B76" i="4" s="1"/>
  <c r="B68" i="4"/>
  <c r="B69" i="4" s="1"/>
  <c r="N109" i="4"/>
  <c r="O109" i="4" s="1"/>
  <c r="Q109" i="4" s="1"/>
  <c r="AQ682" i="3"/>
  <c r="B79" i="2"/>
  <c r="E46" i="1" s="1"/>
  <c r="N25" i="4"/>
  <c r="O25" i="4" s="1"/>
  <c r="Q25" i="4" s="1"/>
  <c r="G36" i="3"/>
  <c r="H36" i="3" s="1"/>
  <c r="BN36" i="3" s="1"/>
  <c r="B15" i="6"/>
  <c r="G11" i="3"/>
  <c r="H11" i="3" s="1"/>
  <c r="BN11" i="3" s="1"/>
  <c r="F18" i="3"/>
  <c r="F25" i="3"/>
  <c r="BM25" i="3" s="1"/>
  <c r="B72" i="2"/>
  <c r="E34" i="1" s="1"/>
  <c r="B84" i="2"/>
  <c r="E45" i="1" s="1"/>
  <c r="F38" i="3"/>
  <c r="BM38" i="3" s="1"/>
  <c r="F24" i="3"/>
  <c r="BM24" i="3" s="1"/>
  <c r="G31" i="3"/>
  <c r="H31" i="3" s="1"/>
  <c r="BN31" i="3" s="1"/>
  <c r="G24" i="3"/>
  <c r="H24" i="3" s="1"/>
  <c r="BN24" i="3" s="1"/>
  <c r="G27" i="3"/>
  <c r="H27" i="3" s="1"/>
  <c r="BN27" i="3" s="1"/>
  <c r="X25" i="4"/>
  <c r="Y25" i="4" s="1"/>
  <c r="R25" i="4"/>
  <c r="S25" i="4" s="1"/>
  <c r="T25" i="4" s="1"/>
  <c r="G12" i="3"/>
  <c r="H12" i="3" s="1"/>
  <c r="BN12" i="3" s="1"/>
  <c r="G26" i="3"/>
  <c r="H26" i="3" s="1"/>
  <c r="BN26" i="3" s="1"/>
  <c r="F37" i="3"/>
  <c r="BM37" i="3" s="1"/>
  <c r="F35" i="3"/>
  <c r="BM35" i="3" s="1"/>
  <c r="B3" i="6"/>
  <c r="B69" i="2"/>
  <c r="E37" i="1" s="1"/>
  <c r="F32" i="3"/>
  <c r="BM32" i="3" s="1"/>
  <c r="E19" i="1"/>
  <c r="G16" i="3"/>
  <c r="H16" i="3" s="1"/>
  <c r="BN16" i="3" s="1"/>
  <c r="B16" i="6"/>
  <c r="G156" i="2"/>
  <c r="AR682" i="3"/>
  <c r="G683" i="3"/>
  <c r="H683" i="3" s="1"/>
  <c r="AR683" i="3"/>
  <c r="AQ683" i="3"/>
  <c r="B683" i="3"/>
  <c r="D683" i="3"/>
  <c r="C683" i="3"/>
  <c r="F683" i="3"/>
  <c r="F15" i="3"/>
  <c r="BM15" i="3" s="1"/>
  <c r="G14" i="3"/>
  <c r="H14" i="3" s="1"/>
  <c r="F11" i="3"/>
  <c r="BM11" i="3" s="1"/>
  <c r="F22" i="3"/>
  <c r="BM22" i="3" s="1"/>
  <c r="G33" i="3"/>
  <c r="H33" i="3" s="1"/>
  <c r="BN33" i="3" s="1"/>
  <c r="F16" i="3"/>
  <c r="BM16" i="3" s="1"/>
  <c r="G23" i="3"/>
  <c r="H23" i="3" s="1"/>
  <c r="BN23" i="3" s="1"/>
  <c r="G34" i="3"/>
  <c r="H34" i="3" s="1"/>
  <c r="BN34" i="3" s="1"/>
  <c r="F27" i="3"/>
  <c r="BM27" i="3" s="1"/>
  <c r="G18" i="3"/>
  <c r="H18" i="3" s="1"/>
  <c r="BN18" i="3" s="1"/>
  <c r="F30" i="3"/>
  <c r="G38" i="3"/>
  <c r="H38" i="3" s="1"/>
  <c r="BN38" i="3" s="1"/>
  <c r="F682" i="3"/>
  <c r="G682" i="3"/>
  <c r="H682" i="3" s="1"/>
  <c r="F26" i="3"/>
  <c r="G13" i="3"/>
  <c r="H13" i="3" s="1"/>
  <c r="BN13" i="3" s="1"/>
  <c r="G29" i="3"/>
  <c r="H29" i="3" s="1"/>
  <c r="BN29" i="3" s="1"/>
  <c r="G32" i="3"/>
  <c r="H32" i="3" s="1"/>
  <c r="BN32" i="3" s="1"/>
  <c r="F20" i="3"/>
  <c r="BM20" i="3" s="1"/>
  <c r="G22" i="3"/>
  <c r="H22" i="3" s="1"/>
  <c r="BN22" i="3" s="1"/>
  <c r="F13" i="3"/>
  <c r="BM13" i="3" s="1"/>
  <c r="G20" i="3"/>
  <c r="H20" i="3" s="1"/>
  <c r="BN20" i="3" s="1"/>
  <c r="F19" i="3"/>
  <c r="BM19" i="3" s="1"/>
  <c r="F21" i="3"/>
  <c r="BM21" i="3" s="1"/>
  <c r="G19" i="3"/>
  <c r="H19" i="3" s="1"/>
  <c r="BN19" i="3" s="1"/>
  <c r="G28" i="3"/>
  <c r="H28" i="3" s="1"/>
  <c r="BN28" i="3" s="1"/>
  <c r="F34" i="3"/>
  <c r="BM34" i="3" s="1"/>
  <c r="G10" i="3"/>
  <c r="H10" i="3" s="1"/>
  <c r="BN10" i="3" s="1"/>
  <c r="G21" i="3"/>
  <c r="H21" i="3" s="1"/>
  <c r="BN21" i="3" s="1"/>
  <c r="G25" i="3"/>
  <c r="H25" i="3" s="1"/>
  <c r="BN25" i="3" s="1"/>
  <c r="F12" i="3"/>
  <c r="BM12" i="3" s="1"/>
  <c r="F9" i="3"/>
  <c r="BM9" i="3" s="1"/>
  <c r="F17" i="3"/>
  <c r="BM17" i="3" s="1"/>
  <c r="F14" i="3"/>
  <c r="BM14" i="3" s="1"/>
  <c r="G15" i="3"/>
  <c r="H15" i="3" s="1"/>
  <c r="BN15" i="3" s="1"/>
  <c r="F10" i="3"/>
  <c r="BM10" i="3" s="1"/>
  <c r="G35" i="3"/>
  <c r="H35" i="3" s="1"/>
  <c r="BN35" i="3" s="1"/>
  <c r="F33" i="3"/>
  <c r="F31" i="3"/>
  <c r="BM31" i="3" s="1"/>
  <c r="F29" i="3"/>
  <c r="BN17" i="3"/>
  <c r="F28" i="3"/>
  <c r="BM28" i="3" s="1"/>
  <c r="F36" i="3"/>
  <c r="BM36" i="3" s="1"/>
  <c r="G9" i="3"/>
  <c r="H9" i="3" s="1"/>
  <c r="G37" i="3"/>
  <c r="H37" i="3" s="1"/>
  <c r="G30" i="3"/>
  <c r="H30" i="3" s="1"/>
  <c r="BN30" i="3" s="1"/>
  <c r="F23" i="3"/>
  <c r="E64" i="1"/>
  <c r="BN14" i="4"/>
  <c r="BQ14" i="4"/>
  <c r="BK14" i="4"/>
  <c r="BJ14" i="4"/>
  <c r="BI14" i="4"/>
  <c r="BH14" i="4"/>
  <c r="BP14" i="4"/>
  <c r="BL14" i="4"/>
  <c r="BM14" i="4"/>
  <c r="BO14" i="4"/>
  <c r="BI15" i="4"/>
  <c r="BM15" i="4"/>
  <c r="BP15" i="4"/>
  <c r="BQ15" i="4"/>
  <c r="BJ15" i="4"/>
  <c r="BO15" i="4"/>
  <c r="BN15" i="4"/>
  <c r="BK15" i="4"/>
  <c r="BL15" i="4"/>
  <c r="BH15" i="4"/>
  <c r="BM9" i="4"/>
  <c r="BJ9" i="4"/>
  <c r="BL9" i="4"/>
  <c r="BH9" i="4"/>
  <c r="BO9" i="4"/>
  <c r="BQ9" i="4"/>
  <c r="BK9" i="4"/>
  <c r="BP9" i="4"/>
  <c r="BN9" i="4"/>
  <c r="BI9" i="4"/>
  <c r="BK16" i="4"/>
  <c r="BQ16" i="4"/>
  <c r="BI16" i="4"/>
  <c r="BO16" i="4"/>
  <c r="BP16" i="4"/>
  <c r="BM16" i="4"/>
  <c r="BL16" i="4"/>
  <c r="BJ16" i="4"/>
  <c r="BH16" i="4"/>
  <c r="BN16" i="4"/>
  <c r="BJ11" i="4"/>
  <c r="BN11" i="4"/>
  <c r="BQ11" i="4"/>
  <c r="BO11" i="4"/>
  <c r="BL11" i="4"/>
  <c r="BM11" i="4"/>
  <c r="BI11" i="4"/>
  <c r="BK11" i="4"/>
  <c r="BP11" i="4"/>
  <c r="BH11" i="4"/>
  <c r="BL12" i="4"/>
  <c r="BJ12" i="4"/>
  <c r="BI12" i="4"/>
  <c r="BN12" i="4"/>
  <c r="BH12" i="4"/>
  <c r="BM12" i="4"/>
  <c r="BQ12" i="4"/>
  <c r="BO12" i="4"/>
  <c r="BP12" i="4"/>
  <c r="BK12" i="4"/>
  <c r="BO13" i="4"/>
  <c r="BI13" i="4"/>
  <c r="BH13" i="4"/>
  <c r="BJ13" i="4"/>
  <c r="BQ13" i="4"/>
  <c r="BK13" i="4"/>
  <c r="BN13" i="4"/>
  <c r="BP13" i="4"/>
  <c r="BL13" i="4"/>
  <c r="BM13" i="4"/>
  <c r="BK17" i="4"/>
  <c r="BP17" i="4"/>
  <c r="BM17" i="4"/>
  <c r="BO17" i="4"/>
  <c r="BN17" i="4"/>
  <c r="BL17" i="4"/>
  <c r="BH17" i="4"/>
  <c r="BQ17" i="4"/>
  <c r="BI17" i="4"/>
  <c r="BJ17" i="4"/>
  <c r="N17" i="4"/>
  <c r="O17" i="4" s="1"/>
  <c r="Q17" i="4" s="1"/>
  <c r="R17" i="4"/>
  <c r="S17" i="4" s="1"/>
  <c r="T17" i="4" s="1"/>
  <c r="X17" i="4"/>
  <c r="Y17" i="4" s="1"/>
  <c r="AD17" i="4"/>
  <c r="J65" i="4"/>
  <c r="K65" i="4" s="1"/>
  <c r="AD47" i="4"/>
  <c r="R47" i="4"/>
  <c r="S47" i="4" s="1"/>
  <c r="T47" i="4" s="1"/>
  <c r="U47" i="4"/>
  <c r="V47" i="4" s="1"/>
  <c r="W47" i="4" s="1"/>
  <c r="N47" i="4"/>
  <c r="O47" i="4" s="1"/>
  <c r="Q47" i="4" s="1"/>
  <c r="R101" i="4"/>
  <c r="S101" i="4" s="1"/>
  <c r="T101" i="4" s="1"/>
  <c r="N101" i="4"/>
  <c r="O101" i="4" s="1"/>
  <c r="Q101" i="4" s="1"/>
  <c r="U101" i="4"/>
  <c r="V101" i="4" s="1"/>
  <c r="W101" i="4" s="1"/>
  <c r="X101" i="4"/>
  <c r="Y101" i="4" s="1"/>
  <c r="N100" i="4"/>
  <c r="O100" i="4" s="1"/>
  <c r="Q100" i="4" s="1"/>
  <c r="AD100" i="4"/>
  <c r="R100" i="4"/>
  <c r="S100" i="4" s="1"/>
  <c r="T100" i="4" s="1"/>
  <c r="X100" i="4"/>
  <c r="Y100" i="4" s="1"/>
  <c r="AD80" i="4"/>
  <c r="X80" i="4"/>
  <c r="Y80" i="4" s="1"/>
  <c r="N80" i="4"/>
  <c r="O80" i="4" s="1"/>
  <c r="Q80" i="4" s="1"/>
  <c r="R80" i="4"/>
  <c r="S80" i="4" s="1"/>
  <c r="T80" i="4" s="1"/>
  <c r="X15" i="4"/>
  <c r="Y15" i="4" s="1"/>
  <c r="N15" i="4"/>
  <c r="O15" i="4" s="1"/>
  <c r="Q15" i="4" s="1"/>
  <c r="R15" i="4"/>
  <c r="S15" i="4" s="1"/>
  <c r="T15" i="4" s="1"/>
  <c r="U15" i="4"/>
  <c r="V15" i="4" s="1"/>
  <c r="W15" i="4" s="1"/>
  <c r="U80" i="4"/>
  <c r="V80" i="4" s="1"/>
  <c r="W80" i="4" s="1"/>
  <c r="U29" i="4"/>
  <c r="V29" i="4" s="1"/>
  <c r="W29" i="4" s="1"/>
  <c r="U89" i="4"/>
  <c r="V89" i="4" s="1"/>
  <c r="W89" i="4" s="1"/>
  <c r="AD40" i="4"/>
  <c r="X88" i="4"/>
  <c r="Y88" i="4" s="1"/>
  <c r="X71" i="4"/>
  <c r="Y71" i="4" s="1"/>
  <c r="U28" i="4"/>
  <c r="V28" i="4" s="1"/>
  <c r="W28" i="4" s="1"/>
  <c r="AD74" i="4"/>
  <c r="AD26" i="4"/>
  <c r="X56" i="4"/>
  <c r="Y56" i="4" s="1"/>
  <c r="U92" i="4"/>
  <c r="V92" i="4" s="1"/>
  <c r="W92" i="4" s="1"/>
  <c r="X103" i="4"/>
  <c r="Y103" i="4" s="1"/>
  <c r="X89" i="4"/>
  <c r="Y89" i="4" s="1"/>
  <c r="U81" i="4"/>
  <c r="V81" i="4" s="1"/>
  <c r="W81" i="4" s="1"/>
  <c r="AD103" i="4"/>
  <c r="U91" i="4"/>
  <c r="V91" i="4" s="1"/>
  <c r="W91" i="4" s="1"/>
  <c r="U21" i="4"/>
  <c r="V21" i="4" s="1"/>
  <c r="W21" i="4" s="1"/>
  <c r="U71" i="4"/>
  <c r="V71" i="4" s="1"/>
  <c r="W71" i="4" s="1"/>
  <c r="X28" i="4"/>
  <c r="Y28" i="4" s="1"/>
  <c r="U74" i="4"/>
  <c r="V74" i="4" s="1"/>
  <c r="W74" i="4" s="1"/>
  <c r="X26" i="4"/>
  <c r="Y26" i="4" s="1"/>
  <c r="U56" i="4"/>
  <c r="V56" i="4" s="1"/>
  <c r="W56" i="4" s="1"/>
  <c r="X83" i="4"/>
  <c r="Y83" i="4" s="1"/>
  <c r="U51" i="4"/>
  <c r="V51" i="4" s="1"/>
  <c r="W51" i="4" s="1"/>
  <c r="N71" i="4"/>
  <c r="O71" i="4" s="1"/>
  <c r="Q71" i="4" s="1"/>
  <c r="R71" i="4"/>
  <c r="S71" i="4" s="1"/>
  <c r="T71" i="4" s="1"/>
  <c r="N28" i="4"/>
  <c r="O28" i="4" s="1"/>
  <c r="Q28" i="4" s="1"/>
  <c r="R28" i="4"/>
  <c r="S28" i="4" s="1"/>
  <c r="T28" i="4" s="1"/>
  <c r="R74" i="4"/>
  <c r="S74" i="4" s="1"/>
  <c r="T74" i="4" s="1"/>
  <c r="N74" i="4"/>
  <c r="O74" i="4" s="1"/>
  <c r="Q74" i="4" s="1"/>
  <c r="R26" i="4"/>
  <c r="S26" i="4" s="1"/>
  <c r="T26" i="4" s="1"/>
  <c r="N26" i="4"/>
  <c r="O26" i="4" s="1"/>
  <c r="Q26" i="4" s="1"/>
  <c r="R56" i="4"/>
  <c r="S56" i="4" s="1"/>
  <c r="T56" i="4" s="1"/>
  <c r="N56" i="4"/>
  <c r="O56" i="4" s="1"/>
  <c r="Q56" i="4" s="1"/>
  <c r="R92" i="4"/>
  <c r="S92" i="4" s="1"/>
  <c r="T92" i="4" s="1"/>
  <c r="N92" i="4"/>
  <c r="O92" i="4" s="1"/>
  <c r="Q92" i="4" s="1"/>
  <c r="X92" i="4"/>
  <c r="Y92" i="4" s="1"/>
  <c r="N103" i="4"/>
  <c r="O103" i="4" s="1"/>
  <c r="Q103" i="4" s="1"/>
  <c r="R103" i="4"/>
  <c r="S103" i="4" s="1"/>
  <c r="T103" i="4" s="1"/>
  <c r="X29" i="4"/>
  <c r="Y29" i="4" s="1"/>
  <c r="U40" i="4"/>
  <c r="V40" i="4" s="1"/>
  <c r="W40" i="4" s="1"/>
  <c r="U88" i="4"/>
  <c r="V88" i="4" s="1"/>
  <c r="W88" i="4" s="1"/>
  <c r="X21" i="4"/>
  <c r="Y21" i="4" s="1"/>
  <c r="AD91" i="4"/>
  <c r="AD83" i="4"/>
  <c r="X51" i="4"/>
  <c r="Y51" i="4" s="1"/>
  <c r="R40" i="4"/>
  <c r="S40" i="4" s="1"/>
  <c r="T40" i="4" s="1"/>
  <c r="N40" i="4"/>
  <c r="O40" i="4" s="1"/>
  <c r="Q40" i="4" s="1"/>
  <c r="R88" i="4"/>
  <c r="S88" i="4" s="1"/>
  <c r="T88" i="4" s="1"/>
  <c r="N88" i="4"/>
  <c r="O88" i="4" s="1"/>
  <c r="Q88" i="4" s="1"/>
  <c r="R21" i="4"/>
  <c r="S21" i="4" s="1"/>
  <c r="T21" i="4" s="1"/>
  <c r="N21" i="4"/>
  <c r="O21" i="4" s="1"/>
  <c r="Q21" i="4" s="1"/>
  <c r="R20" i="4"/>
  <c r="S20" i="4" s="1"/>
  <c r="T20" i="4" s="1"/>
  <c r="N20" i="4"/>
  <c r="O20" i="4" s="1"/>
  <c r="Q20" i="4" s="1"/>
  <c r="X20" i="4"/>
  <c r="Y20" i="4" s="1"/>
  <c r="R91" i="4"/>
  <c r="S91" i="4" s="1"/>
  <c r="T91" i="4" s="1"/>
  <c r="N91" i="4"/>
  <c r="O91" i="4" s="1"/>
  <c r="Q91" i="4" s="1"/>
  <c r="AQ39" i="3"/>
  <c r="AR39" i="3"/>
  <c r="B39" i="3"/>
  <c r="A40" i="3"/>
  <c r="D39" i="3"/>
  <c r="C39" i="3"/>
  <c r="G39" i="3"/>
  <c r="H39" i="3" s="1"/>
  <c r="F39" i="3"/>
  <c r="X85" i="4"/>
  <c r="Y85" i="4" s="1"/>
  <c r="R85" i="4"/>
  <c r="S85" i="4" s="1"/>
  <c r="T85" i="4" s="1"/>
  <c r="N85" i="4"/>
  <c r="O85" i="4" s="1"/>
  <c r="Q85" i="4" s="1"/>
  <c r="AD85" i="4"/>
  <c r="N83" i="4"/>
  <c r="O83" i="4" s="1"/>
  <c r="Q83" i="4" s="1"/>
  <c r="R83" i="4"/>
  <c r="S83" i="4" s="1"/>
  <c r="T83" i="4" s="1"/>
  <c r="N51" i="4"/>
  <c r="O51" i="4" s="1"/>
  <c r="Q51" i="4" s="1"/>
  <c r="R51" i="4"/>
  <c r="S51" i="4" s="1"/>
  <c r="T51" i="4" s="1"/>
  <c r="AD20" i="4"/>
  <c r="N96" i="4"/>
  <c r="O96" i="4" s="1"/>
  <c r="Q96" i="4" s="1"/>
  <c r="R96" i="4"/>
  <c r="S96" i="4" s="1"/>
  <c r="T96" i="4" s="1"/>
  <c r="N48" i="4"/>
  <c r="O48" i="4" s="1"/>
  <c r="Q48" i="4" s="1"/>
  <c r="R48" i="4"/>
  <c r="S48" i="4" s="1"/>
  <c r="T48" i="4" s="1"/>
  <c r="N29" i="4"/>
  <c r="O29" i="4" s="1"/>
  <c r="Q29" i="4" s="1"/>
  <c r="R29" i="4"/>
  <c r="S29" i="4" s="1"/>
  <c r="T29" i="4" s="1"/>
  <c r="N89" i="4"/>
  <c r="O89" i="4" s="1"/>
  <c r="Q89" i="4" s="1"/>
  <c r="R89" i="4"/>
  <c r="S89" i="4" s="1"/>
  <c r="T89" i="4" s="1"/>
  <c r="AD23" i="4"/>
  <c r="U22" i="4"/>
  <c r="V22" i="4" s="1"/>
  <c r="W22" i="4" s="1"/>
  <c r="AD93" i="4"/>
  <c r="AD96" i="4"/>
  <c r="X96" i="4"/>
  <c r="Y96" i="4" s="1"/>
  <c r="X23" i="4"/>
  <c r="Y23" i="4" s="1"/>
  <c r="X22" i="4"/>
  <c r="Y22" i="4" s="1"/>
  <c r="X48" i="4"/>
  <c r="Y48" i="4" s="1"/>
  <c r="AD48" i="4"/>
  <c r="X93" i="4"/>
  <c r="Y93" i="4" s="1"/>
  <c r="X81" i="4"/>
  <c r="Y81" i="4" s="1"/>
  <c r="R23" i="4"/>
  <c r="S23" i="4" s="1"/>
  <c r="T23" i="4" s="1"/>
  <c r="N23" i="4"/>
  <c r="O23" i="4" s="1"/>
  <c r="Q23" i="4" s="1"/>
  <c r="N22" i="4"/>
  <c r="O22" i="4" s="1"/>
  <c r="Q22" i="4" s="1"/>
  <c r="R22" i="4"/>
  <c r="S22" i="4" s="1"/>
  <c r="T22" i="4" s="1"/>
  <c r="R93" i="4"/>
  <c r="S93" i="4" s="1"/>
  <c r="T93" i="4" s="1"/>
  <c r="N93" i="4"/>
  <c r="O93" i="4" s="1"/>
  <c r="Q93" i="4" s="1"/>
  <c r="R81" i="4"/>
  <c r="S81" i="4" s="1"/>
  <c r="T81" i="4" s="1"/>
  <c r="N81" i="4"/>
  <c r="O81" i="4" s="1"/>
  <c r="Q81" i="4" s="1"/>
  <c r="U48" i="4"/>
  <c r="V48" i="4" s="1"/>
  <c r="W48" i="4" s="1"/>
  <c r="AH184" i="4" l="1"/>
  <c r="AH139" i="4"/>
  <c r="AH141" i="4"/>
  <c r="AH154" i="4"/>
  <c r="AH201" i="4"/>
  <c r="AH127" i="4"/>
  <c r="AH183" i="4"/>
  <c r="AH205" i="4"/>
  <c r="AH125" i="4"/>
  <c r="AH208" i="4"/>
  <c r="AH32" i="4"/>
  <c r="AH179" i="4"/>
  <c r="AH171" i="4"/>
  <c r="AH134" i="4"/>
  <c r="AH150" i="4"/>
  <c r="AH119" i="4"/>
  <c r="AH138" i="4"/>
  <c r="AH200" i="4"/>
  <c r="AH29" i="4"/>
  <c r="AH170" i="4"/>
  <c r="AH192" i="4"/>
  <c r="AH118" i="4"/>
  <c r="AF132" i="4"/>
  <c r="AG132" i="4" s="1"/>
  <c r="AS132" i="4" s="1"/>
  <c r="M132" i="4"/>
  <c r="AA132" i="4" s="1"/>
  <c r="AB132" i="4"/>
  <c r="M201" i="4"/>
  <c r="AA201" i="4" s="1"/>
  <c r="Z201" i="4"/>
  <c r="AB201" i="4"/>
  <c r="Z184" i="4"/>
  <c r="AB166" i="4"/>
  <c r="M184" i="4"/>
  <c r="AA184" i="4" s="1"/>
  <c r="M192" i="4"/>
  <c r="AA192" i="4" s="1"/>
  <c r="Z192" i="4"/>
  <c r="AF184" i="4"/>
  <c r="AG184" i="4" s="1"/>
  <c r="AS184" i="4" s="1"/>
  <c r="AF192" i="4"/>
  <c r="AG192" i="4" s="1"/>
  <c r="AS192" i="4" s="1"/>
  <c r="M166" i="4"/>
  <c r="AA166" i="4" s="1"/>
  <c r="Z166" i="4"/>
  <c r="AB170" i="4"/>
  <c r="AB121" i="4"/>
  <c r="Z121" i="4"/>
  <c r="AF121" i="4"/>
  <c r="AG121" i="4" s="1"/>
  <c r="AS121" i="4" s="1"/>
  <c r="AB198" i="4"/>
  <c r="AB125" i="4"/>
  <c r="AF198" i="4"/>
  <c r="AG198" i="4" s="1"/>
  <c r="AS198" i="4" s="1"/>
  <c r="M198" i="4"/>
  <c r="AA198" i="4" s="1"/>
  <c r="M125" i="4"/>
  <c r="AA125" i="4" s="1"/>
  <c r="Z125" i="4"/>
  <c r="AF186" i="4"/>
  <c r="AG186" i="4" s="1"/>
  <c r="AS186" i="4" s="1"/>
  <c r="AB186" i="4"/>
  <c r="M154" i="4"/>
  <c r="AA154" i="4" s="1"/>
  <c r="Z186" i="4"/>
  <c r="Z138" i="4"/>
  <c r="AB183" i="4"/>
  <c r="Z183" i="4"/>
  <c r="AF154" i="4"/>
  <c r="AG154" i="4" s="1"/>
  <c r="AS154" i="4" s="1"/>
  <c r="AB138" i="4"/>
  <c r="Z200" i="4"/>
  <c r="AF200" i="4"/>
  <c r="AG200" i="4" s="1"/>
  <c r="AS200" i="4" s="1"/>
  <c r="M208" i="4"/>
  <c r="AA208" i="4" s="1"/>
  <c r="AF170" i="4"/>
  <c r="AG170" i="4" s="1"/>
  <c r="AS170" i="4" s="1"/>
  <c r="AB200" i="4"/>
  <c r="AB139" i="4"/>
  <c r="AF208" i="4"/>
  <c r="AG208" i="4" s="1"/>
  <c r="AS208" i="4" s="1"/>
  <c r="M127" i="4"/>
  <c r="AA127" i="4" s="1"/>
  <c r="Z208" i="4"/>
  <c r="AF141" i="4"/>
  <c r="AG141" i="4" s="1"/>
  <c r="AS141" i="4" s="1"/>
  <c r="M170" i="4"/>
  <c r="AA170" i="4" s="1"/>
  <c r="AB127" i="4"/>
  <c r="AF183" i="4"/>
  <c r="AG183" i="4" s="1"/>
  <c r="AS183" i="4" s="1"/>
  <c r="Z154" i="4"/>
  <c r="M141" i="4"/>
  <c r="AA141" i="4" s="1"/>
  <c r="AF138" i="4"/>
  <c r="AG138" i="4" s="1"/>
  <c r="AS138" i="4" s="1"/>
  <c r="Z127" i="4"/>
  <c r="AB141" i="4"/>
  <c r="M150" i="4"/>
  <c r="AA150" i="4" s="1"/>
  <c r="AB188" i="4"/>
  <c r="Z188" i="4"/>
  <c r="Z139" i="4"/>
  <c r="AB134" i="4"/>
  <c r="AF139" i="4"/>
  <c r="AG139" i="4" s="1"/>
  <c r="AS139" i="4" s="1"/>
  <c r="AG150" i="4"/>
  <c r="AS150" i="4" s="1"/>
  <c r="Z179" i="4"/>
  <c r="M179" i="4"/>
  <c r="AA179" i="4" s="1"/>
  <c r="AB150" i="4"/>
  <c r="Z150" i="4"/>
  <c r="M134" i="4"/>
  <c r="AA134" i="4" s="1"/>
  <c r="M118" i="4"/>
  <c r="AA118" i="4" s="1"/>
  <c r="AF188" i="4"/>
  <c r="AG188" i="4" s="1"/>
  <c r="AS188" i="4" s="1"/>
  <c r="AF134" i="4"/>
  <c r="AG134" i="4" s="1"/>
  <c r="AS134" i="4" s="1"/>
  <c r="Z118" i="4"/>
  <c r="AF171" i="4"/>
  <c r="AG171" i="4" s="1"/>
  <c r="AS171" i="4" s="1"/>
  <c r="Z119" i="4"/>
  <c r="AB119" i="4"/>
  <c r="M119" i="4"/>
  <c r="AA119" i="4" s="1"/>
  <c r="AG205" i="4"/>
  <c r="AS205" i="4" s="1"/>
  <c r="AG179" i="4"/>
  <c r="AS179" i="4" s="1"/>
  <c r="AF118" i="4"/>
  <c r="AG118" i="4" s="1"/>
  <c r="AS118" i="4" s="1"/>
  <c r="AB179" i="4"/>
  <c r="Z171" i="4"/>
  <c r="M171" i="4"/>
  <c r="AA171" i="4" s="1"/>
  <c r="AG127" i="4"/>
  <c r="AS127" i="4" s="1"/>
  <c r="AE204" i="4"/>
  <c r="AG204" i="4" s="1"/>
  <c r="AS204" i="4" s="1"/>
  <c r="AH71" i="4"/>
  <c r="AG119" i="4"/>
  <c r="AS119" i="4" s="1"/>
  <c r="AH89" i="4"/>
  <c r="AH81" i="4"/>
  <c r="AH51" i="4"/>
  <c r="AH108" i="4"/>
  <c r="AH92" i="4"/>
  <c r="AH56" i="4"/>
  <c r="AH88" i="4"/>
  <c r="M204" i="4"/>
  <c r="AA204" i="4" s="1"/>
  <c r="Z147" i="4"/>
  <c r="AH22" i="4"/>
  <c r="Z204" i="4"/>
  <c r="AH37" i="4"/>
  <c r="AH27" i="4"/>
  <c r="AF196" i="4"/>
  <c r="AH99" i="4"/>
  <c r="AH15" i="4"/>
  <c r="AH28" i="4"/>
  <c r="AH16" i="4"/>
  <c r="Z193" i="4"/>
  <c r="AB147" i="4"/>
  <c r="AH72" i="4"/>
  <c r="AG166" i="4"/>
  <c r="AS166" i="4" s="1"/>
  <c r="AE177" i="4"/>
  <c r="AH177" i="4"/>
  <c r="AE160" i="4"/>
  <c r="AH160" i="4"/>
  <c r="AE155" i="4"/>
  <c r="AG155" i="4" s="1"/>
  <c r="AS155" i="4" s="1"/>
  <c r="AH155" i="4"/>
  <c r="AE187" i="4"/>
  <c r="AG187" i="4" s="1"/>
  <c r="AS187" i="4" s="1"/>
  <c r="AH187" i="4"/>
  <c r="AH33" i="4"/>
  <c r="AH95" i="4"/>
  <c r="AH55" i="4"/>
  <c r="AH21" i="4"/>
  <c r="AE161" i="4"/>
  <c r="AH161" i="4"/>
  <c r="AE122" i="4"/>
  <c r="AH122" i="4"/>
  <c r="AE128" i="4"/>
  <c r="AH128" i="4"/>
  <c r="AE182" i="4"/>
  <c r="AH182" i="4"/>
  <c r="AE144" i="4"/>
  <c r="AH144" i="4"/>
  <c r="AE133" i="4"/>
  <c r="AH133" i="4"/>
  <c r="AE176" i="4"/>
  <c r="AH176" i="4"/>
  <c r="AE190" i="4"/>
  <c r="AH190" i="4"/>
  <c r="AE168" i="4"/>
  <c r="AH168" i="4"/>
  <c r="AE162" i="4"/>
  <c r="AH162" i="4"/>
  <c r="AE202" i="4"/>
  <c r="AH202" i="4"/>
  <c r="AE111" i="4"/>
  <c r="AG111" i="4" s="1"/>
  <c r="AS111" i="4" s="1"/>
  <c r="AH111" i="4"/>
  <c r="AE191" i="4"/>
  <c r="AH191" i="4"/>
  <c r="AE135" i="4"/>
  <c r="AH135" i="4"/>
  <c r="AE158" i="4"/>
  <c r="AH158" i="4"/>
  <c r="AE203" i="4"/>
  <c r="AH203" i="4"/>
  <c r="AE120" i="4"/>
  <c r="AH120" i="4"/>
  <c r="Z196" i="4"/>
  <c r="AE123" i="4"/>
  <c r="AH123" i="4"/>
  <c r="AG201" i="4"/>
  <c r="AS201" i="4" s="1"/>
  <c r="AE163" i="4"/>
  <c r="AH163" i="4"/>
  <c r="AG125" i="4"/>
  <c r="AS125" i="4" s="1"/>
  <c r="AE145" i="4"/>
  <c r="AH145" i="4"/>
  <c r="AE197" i="4"/>
  <c r="AH197" i="4"/>
  <c r="AE199" i="4"/>
  <c r="AG199" i="4" s="1"/>
  <c r="AS199" i="4" s="1"/>
  <c r="AH199" i="4"/>
  <c r="AE189" i="4"/>
  <c r="AH189" i="4"/>
  <c r="AE196" i="4"/>
  <c r="AH196" i="4"/>
  <c r="AE113" i="4"/>
  <c r="AH113" i="4"/>
  <c r="AE157" i="4"/>
  <c r="AH157" i="4"/>
  <c r="AE209" i="4"/>
  <c r="AH209" i="4"/>
  <c r="AE137" i="4"/>
  <c r="AH137" i="4"/>
  <c r="AE207" i="4"/>
  <c r="AH207" i="4"/>
  <c r="AH52" i="4"/>
  <c r="AH101" i="4"/>
  <c r="AH42" i="4"/>
  <c r="AH30" i="4"/>
  <c r="AE126" i="4"/>
  <c r="AH126" i="4"/>
  <c r="AE164" i="4"/>
  <c r="AH164" i="4"/>
  <c r="AE172" i="4"/>
  <c r="AH172" i="4"/>
  <c r="AE167" i="4"/>
  <c r="AH167" i="4"/>
  <c r="AE194" i="4"/>
  <c r="AH194" i="4"/>
  <c r="AE173" i="4"/>
  <c r="AH173" i="4"/>
  <c r="AE169" i="4"/>
  <c r="AH169" i="4"/>
  <c r="AE142" i="4"/>
  <c r="AH142" i="4"/>
  <c r="AE149" i="4"/>
  <c r="AH149" i="4"/>
  <c r="AE185" i="4"/>
  <c r="AH185" i="4"/>
  <c r="AE195" i="4"/>
  <c r="AH195" i="4"/>
  <c r="AE112" i="4"/>
  <c r="AH112" i="4"/>
  <c r="AF178" i="4"/>
  <c r="AE206" i="4"/>
  <c r="AH206" i="4"/>
  <c r="AE129" i="4"/>
  <c r="AH129" i="4"/>
  <c r="AE178" i="4"/>
  <c r="AH178" i="4"/>
  <c r="AE153" i="4"/>
  <c r="AH153" i="4"/>
  <c r="AE115" i="4"/>
  <c r="AH115" i="4"/>
  <c r="AE181" i="4"/>
  <c r="AH181" i="4"/>
  <c r="AE152" i="4"/>
  <c r="AH152" i="4"/>
  <c r="AE117" i="4"/>
  <c r="AH117" i="4"/>
  <c r="AE174" i="4"/>
  <c r="AH174" i="4"/>
  <c r="AE131" i="4"/>
  <c r="AH131" i="4"/>
  <c r="AE147" i="4"/>
  <c r="AH147" i="4"/>
  <c r="AH10" i="4"/>
  <c r="AH107" i="4"/>
  <c r="AH75" i="4"/>
  <c r="AH87" i="4"/>
  <c r="AE165" i="4"/>
  <c r="AH165" i="4"/>
  <c r="AE110" i="4"/>
  <c r="AH110" i="4"/>
  <c r="AE159" i="4"/>
  <c r="AH159" i="4"/>
  <c r="AE116" i="4"/>
  <c r="AH116" i="4"/>
  <c r="AE124" i="4"/>
  <c r="AH124" i="4"/>
  <c r="AE114" i="4"/>
  <c r="AH114" i="4"/>
  <c r="AE130" i="4"/>
  <c r="AH130" i="4"/>
  <c r="AE180" i="4"/>
  <c r="AH180" i="4"/>
  <c r="AE175" i="4"/>
  <c r="AH175" i="4"/>
  <c r="AE146" i="4"/>
  <c r="AH146" i="4"/>
  <c r="AE143" i="4"/>
  <c r="AH143" i="4"/>
  <c r="AE148" i="4"/>
  <c r="AH148" i="4"/>
  <c r="AE151" i="4"/>
  <c r="AH151" i="4"/>
  <c r="AE140" i="4"/>
  <c r="AH140" i="4"/>
  <c r="AE156" i="4"/>
  <c r="AH156" i="4"/>
  <c r="AE193" i="4"/>
  <c r="AG193" i="4" s="1"/>
  <c r="AS193" i="4" s="1"/>
  <c r="AH193" i="4"/>
  <c r="AE136" i="4"/>
  <c r="AH136" i="4"/>
  <c r="M178" i="4"/>
  <c r="AA178" i="4" s="1"/>
  <c r="Z178" i="4"/>
  <c r="Z187" i="4"/>
  <c r="M205" i="4"/>
  <c r="AA205" i="4" s="1"/>
  <c r="AB205" i="4"/>
  <c r="AB189" i="4"/>
  <c r="Z205" i="4"/>
  <c r="AB204" i="4"/>
  <c r="AB187" i="4"/>
  <c r="M187" i="4"/>
  <c r="AA187" i="4" s="1"/>
  <c r="Z136" i="4"/>
  <c r="M136" i="4"/>
  <c r="AA136" i="4" s="1"/>
  <c r="M196" i="4"/>
  <c r="AA196" i="4" s="1"/>
  <c r="AF147" i="4"/>
  <c r="M193" i="4"/>
  <c r="AA193" i="4" s="1"/>
  <c r="AF136" i="4"/>
  <c r="AF189" i="4"/>
  <c r="M189" i="4"/>
  <c r="AA189" i="4" s="1"/>
  <c r="AF206" i="4"/>
  <c r="M206" i="4"/>
  <c r="AA206" i="4" s="1"/>
  <c r="AB193" i="4"/>
  <c r="Z199" i="4"/>
  <c r="Z129" i="4"/>
  <c r="M129" i="4"/>
  <c r="AA129" i="4" s="1"/>
  <c r="AF129" i="4"/>
  <c r="AF197" i="4"/>
  <c r="M197" i="4"/>
  <c r="AA197" i="4" s="1"/>
  <c r="AB199" i="4"/>
  <c r="AB206" i="4"/>
  <c r="M199" i="4"/>
  <c r="AA199" i="4" s="1"/>
  <c r="Z155" i="4"/>
  <c r="AB174" i="4"/>
  <c r="AF174" i="4"/>
  <c r="AB155" i="4"/>
  <c r="Z174" i="4"/>
  <c r="M155" i="4"/>
  <c r="AA155" i="4" s="1"/>
  <c r="Z197" i="4"/>
  <c r="M21" i="4"/>
  <c r="AA21" i="4" s="1"/>
  <c r="AB21" i="4"/>
  <c r="AF21" i="4"/>
  <c r="AG21" i="4" s="1"/>
  <c r="AS21" i="4" s="1"/>
  <c r="Z21" i="4"/>
  <c r="M103" i="4"/>
  <c r="AA103" i="4" s="1"/>
  <c r="AB103" i="4"/>
  <c r="AF103" i="4"/>
  <c r="Z103" i="4"/>
  <c r="M95" i="4"/>
  <c r="AA95" i="4" s="1"/>
  <c r="AB95" i="4"/>
  <c r="Z95" i="4"/>
  <c r="AF95" i="4"/>
  <c r="AG95" i="4" s="1"/>
  <c r="AS95" i="4" s="1"/>
  <c r="M68" i="4"/>
  <c r="AA68" i="4" s="1"/>
  <c r="AB68" i="4"/>
  <c r="AF68" i="4"/>
  <c r="Z68" i="4"/>
  <c r="M27" i="4"/>
  <c r="AA27" i="4" s="1"/>
  <c r="AF27" i="4"/>
  <c r="AG27" i="4" s="1"/>
  <c r="AS27" i="4" s="1"/>
  <c r="AB27" i="4"/>
  <c r="Z27" i="4"/>
  <c r="M109" i="4"/>
  <c r="AA109" i="4" s="1"/>
  <c r="AB109" i="4"/>
  <c r="AF109" i="4"/>
  <c r="Z109" i="4"/>
  <c r="M36" i="4"/>
  <c r="AA36" i="4" s="1"/>
  <c r="AB36" i="4"/>
  <c r="AF36" i="4"/>
  <c r="Z36" i="4"/>
  <c r="M94" i="4"/>
  <c r="AA94" i="4" s="1"/>
  <c r="AF94" i="4"/>
  <c r="AB94" i="4"/>
  <c r="Z94" i="4"/>
  <c r="M97" i="4"/>
  <c r="AA97" i="4" s="1"/>
  <c r="AB97" i="4"/>
  <c r="AF97" i="4"/>
  <c r="Z97" i="4"/>
  <c r="M56" i="4"/>
  <c r="AA56" i="4" s="1"/>
  <c r="AB56" i="4"/>
  <c r="AF56" i="4"/>
  <c r="AG56" i="4" s="1"/>
  <c r="AS56" i="4" s="1"/>
  <c r="Z56" i="4"/>
  <c r="M104" i="4"/>
  <c r="AA104" i="4" s="1"/>
  <c r="AB104" i="4"/>
  <c r="AF104" i="4"/>
  <c r="Z104" i="4"/>
  <c r="M9" i="4"/>
  <c r="AA9" i="4" s="1"/>
  <c r="AF9" i="4"/>
  <c r="AB9" i="4"/>
  <c r="Z9" i="4"/>
  <c r="M102" i="4"/>
  <c r="AA102" i="4" s="1"/>
  <c r="AF102" i="4"/>
  <c r="AB102" i="4"/>
  <c r="Z102" i="4"/>
  <c r="M49" i="4"/>
  <c r="AA49" i="4" s="1"/>
  <c r="AB49" i="4"/>
  <c r="AF49" i="4"/>
  <c r="Z49" i="4"/>
  <c r="M84" i="4"/>
  <c r="AA84" i="4" s="1"/>
  <c r="AF84" i="4"/>
  <c r="AB84" i="4"/>
  <c r="Z84" i="4"/>
  <c r="M100" i="4"/>
  <c r="AA100" i="4" s="1"/>
  <c r="AB100" i="4"/>
  <c r="AF100" i="4"/>
  <c r="Z100" i="4"/>
  <c r="M85" i="4"/>
  <c r="AA85" i="4" s="1"/>
  <c r="AB85" i="4"/>
  <c r="AF85" i="4"/>
  <c r="Z85" i="4"/>
  <c r="M66" i="4"/>
  <c r="AA66" i="4" s="1"/>
  <c r="AF66" i="4"/>
  <c r="AB66" i="4"/>
  <c r="Z66" i="4"/>
  <c r="M157" i="4"/>
  <c r="AA157" i="4" s="1"/>
  <c r="Z157" i="4"/>
  <c r="AB157" i="4"/>
  <c r="AF157" i="4"/>
  <c r="M145" i="4"/>
  <c r="AA145" i="4" s="1"/>
  <c r="AB145" i="4"/>
  <c r="AF145" i="4"/>
  <c r="Z145" i="4"/>
  <c r="M177" i="4"/>
  <c r="AA177" i="4" s="1"/>
  <c r="AF177" i="4"/>
  <c r="AB177" i="4"/>
  <c r="Z177" i="4"/>
  <c r="M116" i="4"/>
  <c r="AA116" i="4" s="1"/>
  <c r="AB116" i="4"/>
  <c r="Z116" i="4"/>
  <c r="AF116" i="4"/>
  <c r="M173" i="4"/>
  <c r="AA173" i="4" s="1"/>
  <c r="AF173" i="4"/>
  <c r="Z173" i="4"/>
  <c r="AB173" i="4"/>
  <c r="M169" i="4"/>
  <c r="AA169" i="4" s="1"/>
  <c r="AB169" i="4"/>
  <c r="Z169" i="4"/>
  <c r="AF169" i="4"/>
  <c r="M161" i="4"/>
  <c r="AA161" i="4" s="1"/>
  <c r="AF161" i="4"/>
  <c r="AB161" i="4"/>
  <c r="Z161" i="4"/>
  <c r="M164" i="4"/>
  <c r="AA164" i="4" s="1"/>
  <c r="AF164" i="4"/>
  <c r="AB164" i="4"/>
  <c r="Z164" i="4"/>
  <c r="M148" i="4"/>
  <c r="AA148" i="4" s="1"/>
  <c r="AF148" i="4"/>
  <c r="Z148" i="4"/>
  <c r="AB148" i="4"/>
  <c r="M114" i="4"/>
  <c r="AA114" i="4" s="1"/>
  <c r="AF114" i="4"/>
  <c r="AB114" i="4"/>
  <c r="Z114" i="4"/>
  <c r="M28" i="4"/>
  <c r="AA28" i="4" s="1"/>
  <c r="AB28" i="4"/>
  <c r="AF28" i="4"/>
  <c r="AG28" i="4" s="1"/>
  <c r="AS28" i="4" s="1"/>
  <c r="Z28" i="4"/>
  <c r="M32" i="4"/>
  <c r="AA32" i="4" s="1"/>
  <c r="AF32" i="4"/>
  <c r="AG32" i="4" s="1"/>
  <c r="AS32" i="4" s="1"/>
  <c r="AB32" i="4"/>
  <c r="Z32" i="4"/>
  <c r="M122" i="4"/>
  <c r="AA122" i="4" s="1"/>
  <c r="AF122" i="4"/>
  <c r="AB122" i="4"/>
  <c r="Z122" i="4"/>
  <c r="M137" i="4"/>
  <c r="AA137" i="4" s="1"/>
  <c r="AB137" i="4"/>
  <c r="Z137" i="4"/>
  <c r="AF137" i="4"/>
  <c r="M113" i="4"/>
  <c r="AA113" i="4" s="1"/>
  <c r="AB113" i="4"/>
  <c r="AF113" i="4"/>
  <c r="Z113" i="4"/>
  <c r="M128" i="4"/>
  <c r="AA128" i="4" s="1"/>
  <c r="AF128" i="4"/>
  <c r="AB128" i="4"/>
  <c r="Z128" i="4"/>
  <c r="M142" i="4"/>
  <c r="AA142" i="4" s="1"/>
  <c r="AF142" i="4"/>
  <c r="AB142" i="4"/>
  <c r="Z142" i="4"/>
  <c r="M149" i="4"/>
  <c r="AA149" i="4" s="1"/>
  <c r="AF149" i="4"/>
  <c r="AB149" i="4"/>
  <c r="Z149" i="4"/>
  <c r="M156" i="4"/>
  <c r="AA156" i="4" s="1"/>
  <c r="AF156" i="4"/>
  <c r="AB156" i="4"/>
  <c r="Z156" i="4"/>
  <c r="M80" i="4"/>
  <c r="AA80" i="4" s="1"/>
  <c r="AF80" i="4"/>
  <c r="AB80" i="4"/>
  <c r="Z80" i="4"/>
  <c r="M163" i="4"/>
  <c r="AA163" i="4" s="1"/>
  <c r="AB163" i="4"/>
  <c r="AF163" i="4"/>
  <c r="Z163" i="4"/>
  <c r="M30" i="4"/>
  <c r="AA30" i="4" s="1"/>
  <c r="AF30" i="4"/>
  <c r="AG30" i="4" s="1"/>
  <c r="AS30" i="4" s="1"/>
  <c r="AB30" i="4"/>
  <c r="Z30" i="4"/>
  <c r="M93" i="4"/>
  <c r="AA93" i="4" s="1"/>
  <c r="AB93" i="4"/>
  <c r="Z93" i="4"/>
  <c r="AF93" i="4"/>
  <c r="M39" i="4"/>
  <c r="AA39" i="4" s="1"/>
  <c r="AB39" i="4"/>
  <c r="AF39" i="4"/>
  <c r="Z39" i="4"/>
  <c r="M69" i="4"/>
  <c r="AA69" i="4" s="1"/>
  <c r="AB69" i="4"/>
  <c r="AF69" i="4"/>
  <c r="Z69" i="4"/>
  <c r="M34" i="4"/>
  <c r="AA34" i="4" s="1"/>
  <c r="AF34" i="4"/>
  <c r="AB34" i="4"/>
  <c r="Z34" i="4"/>
  <c r="M38" i="4"/>
  <c r="AA38" i="4" s="1"/>
  <c r="AF38" i="4"/>
  <c r="AB38" i="4"/>
  <c r="Z38" i="4"/>
  <c r="M108" i="4"/>
  <c r="AA108" i="4" s="1"/>
  <c r="AB108" i="4"/>
  <c r="AF108" i="4"/>
  <c r="AG108" i="4" s="1"/>
  <c r="AS108" i="4" s="1"/>
  <c r="Z108" i="4"/>
  <c r="M72" i="4"/>
  <c r="AA72" i="4" s="1"/>
  <c r="AB72" i="4"/>
  <c r="Z72" i="4"/>
  <c r="AF72" i="4"/>
  <c r="AG72" i="4" s="1"/>
  <c r="AS72" i="4" s="1"/>
  <c r="M92" i="4"/>
  <c r="AA92" i="4" s="1"/>
  <c r="AB92" i="4"/>
  <c r="AF92" i="4"/>
  <c r="AG92" i="4" s="1"/>
  <c r="AS92" i="4" s="1"/>
  <c r="Z92" i="4"/>
  <c r="M63" i="4"/>
  <c r="AA63" i="4" s="1"/>
  <c r="Z63" i="4"/>
  <c r="AF63" i="4"/>
  <c r="AB63" i="4"/>
  <c r="M45" i="4"/>
  <c r="AA45" i="4" s="1"/>
  <c r="AB45" i="4"/>
  <c r="AF45" i="4"/>
  <c r="Z45" i="4"/>
  <c r="M18" i="4"/>
  <c r="AA18" i="4" s="1"/>
  <c r="AF18" i="4"/>
  <c r="AB18" i="4"/>
  <c r="Z18" i="4"/>
  <c r="M13" i="4"/>
  <c r="AA13" i="4" s="1"/>
  <c r="AB13" i="4"/>
  <c r="AF13" i="4"/>
  <c r="Z13" i="4"/>
  <c r="M60" i="4"/>
  <c r="AA60" i="4" s="1"/>
  <c r="AB60" i="4"/>
  <c r="AF60" i="4"/>
  <c r="Z60" i="4"/>
  <c r="M29" i="4"/>
  <c r="AA29" i="4" s="1"/>
  <c r="AB29" i="4"/>
  <c r="Z29" i="4"/>
  <c r="AF29" i="4"/>
  <c r="AG29" i="4" s="1"/>
  <c r="AS29" i="4" s="1"/>
  <c r="M33" i="4"/>
  <c r="AA33" i="4" s="1"/>
  <c r="AB33" i="4"/>
  <c r="AF33" i="4"/>
  <c r="AG33" i="4" s="1"/>
  <c r="AS33" i="4" s="1"/>
  <c r="Z33" i="4"/>
  <c r="M53" i="4"/>
  <c r="AA53" i="4" s="1"/>
  <c r="AB53" i="4"/>
  <c r="AF53" i="4"/>
  <c r="Z53" i="4"/>
  <c r="M14" i="4"/>
  <c r="AA14" i="4" s="1"/>
  <c r="AF14" i="4"/>
  <c r="AB14" i="4"/>
  <c r="Z14" i="4"/>
  <c r="M31" i="4"/>
  <c r="AA31" i="4" s="1"/>
  <c r="AB31" i="4"/>
  <c r="Z31" i="4"/>
  <c r="AF31" i="4"/>
  <c r="M43" i="4"/>
  <c r="AA43" i="4" s="1"/>
  <c r="AF43" i="4"/>
  <c r="Z43" i="4"/>
  <c r="AB43" i="4"/>
  <c r="M24" i="4"/>
  <c r="AA24" i="4" s="1"/>
  <c r="AB24" i="4"/>
  <c r="AF24" i="4"/>
  <c r="Z24" i="4"/>
  <c r="M35" i="4"/>
  <c r="AA35" i="4" s="1"/>
  <c r="AB35" i="4"/>
  <c r="AF35" i="4"/>
  <c r="Z35" i="4"/>
  <c r="M23" i="4"/>
  <c r="AA23" i="4" s="1"/>
  <c r="AB23" i="4"/>
  <c r="AF23" i="4"/>
  <c r="Z23" i="4"/>
  <c r="M26" i="4"/>
  <c r="AA26" i="4" s="1"/>
  <c r="AF26" i="4"/>
  <c r="AB26" i="4"/>
  <c r="Z26" i="4"/>
  <c r="M70" i="4"/>
  <c r="AA70" i="4" s="1"/>
  <c r="AF70" i="4"/>
  <c r="AB70" i="4"/>
  <c r="Z70" i="4"/>
  <c r="M82" i="4"/>
  <c r="AA82" i="4" s="1"/>
  <c r="AF82" i="4"/>
  <c r="AB82" i="4"/>
  <c r="Z82" i="4"/>
  <c r="M131" i="4"/>
  <c r="AA131" i="4" s="1"/>
  <c r="AB131" i="4"/>
  <c r="AF131" i="4"/>
  <c r="Z131" i="4"/>
  <c r="M185" i="4"/>
  <c r="AA185" i="4" s="1"/>
  <c r="AF185" i="4"/>
  <c r="AB185" i="4"/>
  <c r="Z185" i="4"/>
  <c r="M130" i="4"/>
  <c r="AA130" i="4" s="1"/>
  <c r="AF130" i="4"/>
  <c r="AB130" i="4"/>
  <c r="Z130" i="4"/>
  <c r="M207" i="4"/>
  <c r="AA207" i="4" s="1"/>
  <c r="AB207" i="4"/>
  <c r="AF207" i="4"/>
  <c r="Z207" i="4"/>
  <c r="M194" i="4"/>
  <c r="AA194" i="4" s="1"/>
  <c r="AF194" i="4"/>
  <c r="AB194" i="4"/>
  <c r="Z194" i="4"/>
  <c r="M165" i="4"/>
  <c r="AA165" i="4" s="1"/>
  <c r="AF165" i="4"/>
  <c r="Z165" i="4"/>
  <c r="AB165" i="4"/>
  <c r="M176" i="4"/>
  <c r="AA176" i="4" s="1"/>
  <c r="AF176" i="4"/>
  <c r="AB176" i="4"/>
  <c r="Z176" i="4"/>
  <c r="M117" i="4"/>
  <c r="AA117" i="4" s="1"/>
  <c r="AB117" i="4"/>
  <c r="AF117" i="4"/>
  <c r="Z117" i="4"/>
  <c r="M209" i="4"/>
  <c r="AA209" i="4" s="1"/>
  <c r="AF209" i="4"/>
  <c r="AB209" i="4"/>
  <c r="Z209" i="4"/>
  <c r="M143" i="4"/>
  <c r="AA143" i="4" s="1"/>
  <c r="AB143" i="4"/>
  <c r="AF143" i="4"/>
  <c r="Z143" i="4"/>
  <c r="M181" i="4"/>
  <c r="AA181" i="4" s="1"/>
  <c r="AF181" i="4"/>
  <c r="Z181" i="4"/>
  <c r="AB181" i="4"/>
  <c r="Z111" i="4"/>
  <c r="AC111" i="4" s="1"/>
  <c r="M57" i="4"/>
  <c r="AA57" i="4" s="1"/>
  <c r="AB57" i="4"/>
  <c r="Z57" i="4"/>
  <c r="AF57" i="4"/>
  <c r="M22" i="4"/>
  <c r="AA22" i="4" s="1"/>
  <c r="AF22" i="4"/>
  <c r="AG22" i="4" s="1"/>
  <c r="AS22" i="4" s="1"/>
  <c r="Z22" i="4"/>
  <c r="AB22" i="4"/>
  <c r="M107" i="4"/>
  <c r="AA107" i="4" s="1"/>
  <c r="AF107" i="4"/>
  <c r="AG107" i="4" s="1"/>
  <c r="AS107" i="4" s="1"/>
  <c r="Z107" i="4"/>
  <c r="AB107" i="4"/>
  <c r="M52" i="4"/>
  <c r="AA52" i="4" s="1"/>
  <c r="AB52" i="4"/>
  <c r="AF52" i="4"/>
  <c r="AG52" i="4" s="1"/>
  <c r="AS52" i="4" s="1"/>
  <c r="Z52" i="4"/>
  <c r="M106" i="4"/>
  <c r="AA106" i="4" s="1"/>
  <c r="AF106" i="4"/>
  <c r="Z106" i="4"/>
  <c r="AB106" i="4"/>
  <c r="M42" i="4"/>
  <c r="AA42" i="4" s="1"/>
  <c r="AF42" i="4"/>
  <c r="AG42" i="4" s="1"/>
  <c r="AS42" i="4" s="1"/>
  <c r="Z42" i="4"/>
  <c r="AB42" i="4"/>
  <c r="M61" i="4"/>
  <c r="AA61" i="4" s="1"/>
  <c r="AB61" i="4"/>
  <c r="Z61" i="4"/>
  <c r="AF61" i="4"/>
  <c r="M101" i="4"/>
  <c r="AA101" i="4" s="1"/>
  <c r="AB101" i="4"/>
  <c r="AF101" i="4"/>
  <c r="AG101" i="4" s="1"/>
  <c r="AS101" i="4" s="1"/>
  <c r="Z101" i="4"/>
  <c r="M67" i="4"/>
  <c r="AA67" i="4" s="1"/>
  <c r="AB67" i="4"/>
  <c r="AF67" i="4"/>
  <c r="Z67" i="4"/>
  <c r="M78" i="4"/>
  <c r="AA78" i="4" s="1"/>
  <c r="AF78" i="4"/>
  <c r="AB78" i="4"/>
  <c r="Z78" i="4"/>
  <c r="M59" i="4"/>
  <c r="AA59" i="4" s="1"/>
  <c r="AF59" i="4"/>
  <c r="AB59" i="4"/>
  <c r="Z59" i="4"/>
  <c r="M180" i="4"/>
  <c r="AA180" i="4" s="1"/>
  <c r="Z180" i="4"/>
  <c r="AF180" i="4"/>
  <c r="AB180" i="4"/>
  <c r="M172" i="4"/>
  <c r="AA172" i="4" s="1"/>
  <c r="AF172" i="4"/>
  <c r="AB172" i="4"/>
  <c r="Z172" i="4"/>
  <c r="M126" i="4"/>
  <c r="AA126" i="4" s="1"/>
  <c r="AF126" i="4"/>
  <c r="AB126" i="4"/>
  <c r="Z126" i="4"/>
  <c r="M123" i="4"/>
  <c r="AA123" i="4" s="1"/>
  <c r="AF123" i="4"/>
  <c r="AB123" i="4"/>
  <c r="Z123" i="4"/>
  <c r="M160" i="4"/>
  <c r="AA160" i="4" s="1"/>
  <c r="AF160" i="4"/>
  <c r="AB160" i="4"/>
  <c r="Z160" i="4"/>
  <c r="M135" i="4"/>
  <c r="AA135" i="4" s="1"/>
  <c r="AB135" i="4"/>
  <c r="AF135" i="4"/>
  <c r="Z135" i="4"/>
  <c r="M20" i="4"/>
  <c r="AA20" i="4" s="1"/>
  <c r="AF20" i="4"/>
  <c r="Z20" i="4"/>
  <c r="AB20" i="4"/>
  <c r="M55" i="4"/>
  <c r="AA55" i="4" s="1"/>
  <c r="AB55" i="4"/>
  <c r="AF55" i="4"/>
  <c r="AG55" i="4" s="1"/>
  <c r="AS55" i="4" s="1"/>
  <c r="Z55" i="4"/>
  <c r="M96" i="4"/>
  <c r="AA96" i="4" s="1"/>
  <c r="AF96" i="4"/>
  <c r="AB96" i="4"/>
  <c r="Z96" i="4"/>
  <c r="M76" i="4"/>
  <c r="AA76" i="4" s="1"/>
  <c r="AB76" i="4"/>
  <c r="AF76" i="4"/>
  <c r="Z76" i="4"/>
  <c r="M89" i="4"/>
  <c r="AA89" i="4" s="1"/>
  <c r="AB89" i="4"/>
  <c r="Z89" i="4"/>
  <c r="AF89" i="4"/>
  <c r="AG89" i="4" s="1"/>
  <c r="AS89" i="4" s="1"/>
  <c r="M15" i="4"/>
  <c r="AA15" i="4" s="1"/>
  <c r="AB15" i="4"/>
  <c r="AF15" i="4"/>
  <c r="AG15" i="4" s="1"/>
  <c r="AS15" i="4" s="1"/>
  <c r="Z15" i="4"/>
  <c r="M105" i="4"/>
  <c r="AA105" i="4" s="1"/>
  <c r="AB105" i="4"/>
  <c r="AF105" i="4"/>
  <c r="Z105" i="4"/>
  <c r="M16" i="4"/>
  <c r="AA16" i="4" s="1"/>
  <c r="AF16" i="4"/>
  <c r="AG16" i="4" s="1"/>
  <c r="AS16" i="4" s="1"/>
  <c r="AB16" i="4"/>
  <c r="Z16" i="4"/>
  <c r="M74" i="4"/>
  <c r="AA74" i="4" s="1"/>
  <c r="AF74" i="4"/>
  <c r="Z74" i="4"/>
  <c r="AB74" i="4"/>
  <c r="M77" i="4"/>
  <c r="AA77" i="4" s="1"/>
  <c r="AB77" i="4"/>
  <c r="AF77" i="4"/>
  <c r="Z77" i="4"/>
  <c r="M19" i="4"/>
  <c r="AA19" i="4" s="1"/>
  <c r="AB19" i="4"/>
  <c r="AF19" i="4"/>
  <c r="Z19" i="4"/>
  <c r="M17" i="4"/>
  <c r="AA17" i="4" s="1"/>
  <c r="AB17" i="4"/>
  <c r="AF17" i="4"/>
  <c r="Z17" i="4"/>
  <c r="M40" i="4"/>
  <c r="AA40" i="4" s="1"/>
  <c r="AB40" i="4"/>
  <c r="AF40" i="4"/>
  <c r="Z40" i="4"/>
  <c r="M79" i="4"/>
  <c r="AA79" i="4" s="1"/>
  <c r="AB79" i="4"/>
  <c r="AF79" i="4"/>
  <c r="Z79" i="4"/>
  <c r="M88" i="4"/>
  <c r="AA88" i="4" s="1"/>
  <c r="AB88" i="4"/>
  <c r="AF88" i="4"/>
  <c r="AG88" i="4" s="1"/>
  <c r="AS88" i="4" s="1"/>
  <c r="Z88" i="4"/>
  <c r="M25" i="4"/>
  <c r="AA25" i="4" s="1"/>
  <c r="AB25" i="4"/>
  <c r="Z25" i="4"/>
  <c r="AF25" i="4"/>
  <c r="M83" i="4"/>
  <c r="AA83" i="4" s="1"/>
  <c r="AB83" i="4"/>
  <c r="AF83" i="4"/>
  <c r="Z83" i="4"/>
  <c r="M47" i="4"/>
  <c r="AA47" i="4" s="1"/>
  <c r="AB47" i="4"/>
  <c r="AF47" i="4"/>
  <c r="Z47" i="4"/>
  <c r="M140" i="4"/>
  <c r="AA140" i="4" s="1"/>
  <c r="AB140" i="4"/>
  <c r="AF140" i="4"/>
  <c r="Z140" i="4"/>
  <c r="M120" i="4"/>
  <c r="AA120" i="4" s="1"/>
  <c r="AB120" i="4"/>
  <c r="AF120" i="4"/>
  <c r="Z120" i="4"/>
  <c r="M202" i="4"/>
  <c r="AA202" i="4" s="1"/>
  <c r="AF202" i="4"/>
  <c r="AB202" i="4"/>
  <c r="Z202" i="4"/>
  <c r="M159" i="4"/>
  <c r="AA159" i="4" s="1"/>
  <c r="AB159" i="4"/>
  <c r="AF159" i="4"/>
  <c r="Z159" i="4"/>
  <c r="M153" i="4"/>
  <c r="AA153" i="4" s="1"/>
  <c r="AF153" i="4"/>
  <c r="AB153" i="4"/>
  <c r="Z153" i="4"/>
  <c r="M110" i="4"/>
  <c r="AA110" i="4" s="1"/>
  <c r="AF110" i="4"/>
  <c r="AB110" i="4"/>
  <c r="Z110" i="4"/>
  <c r="M175" i="4"/>
  <c r="AA175" i="4" s="1"/>
  <c r="AB175" i="4"/>
  <c r="AF175" i="4"/>
  <c r="Z175" i="4"/>
  <c r="M146" i="4"/>
  <c r="AA146" i="4" s="1"/>
  <c r="AF146" i="4"/>
  <c r="AB146" i="4"/>
  <c r="Z146" i="4"/>
  <c r="M112" i="4"/>
  <c r="AA112" i="4" s="1"/>
  <c r="AF112" i="4"/>
  <c r="AB112" i="4"/>
  <c r="Z112" i="4"/>
  <c r="M37" i="4"/>
  <c r="AA37" i="4" s="1"/>
  <c r="AB37" i="4"/>
  <c r="AF37" i="4"/>
  <c r="AG37" i="4" s="1"/>
  <c r="AS37" i="4" s="1"/>
  <c r="Z37" i="4"/>
  <c r="M75" i="4"/>
  <c r="AA75" i="4" s="1"/>
  <c r="AF75" i="4"/>
  <c r="AG75" i="4" s="1"/>
  <c r="AS75" i="4" s="1"/>
  <c r="AB75" i="4"/>
  <c r="Z75" i="4"/>
  <c r="M91" i="4"/>
  <c r="AA91" i="4" s="1"/>
  <c r="AF91" i="4"/>
  <c r="AB91" i="4"/>
  <c r="Z91" i="4"/>
  <c r="M87" i="4"/>
  <c r="AA87" i="4" s="1"/>
  <c r="AB87" i="4"/>
  <c r="AF87" i="4"/>
  <c r="AG87" i="4" s="1"/>
  <c r="AS87" i="4" s="1"/>
  <c r="Z87" i="4"/>
  <c r="M81" i="4"/>
  <c r="AA81" i="4" s="1"/>
  <c r="AB81" i="4"/>
  <c r="AF81" i="4"/>
  <c r="AG81" i="4" s="1"/>
  <c r="AS81" i="4" s="1"/>
  <c r="Z81" i="4"/>
  <c r="M86" i="4"/>
  <c r="AA86" i="4" s="1"/>
  <c r="AF86" i="4"/>
  <c r="Z86" i="4"/>
  <c r="AB86" i="4"/>
  <c r="M98" i="4"/>
  <c r="AA98" i="4" s="1"/>
  <c r="AF98" i="4"/>
  <c r="AB98" i="4"/>
  <c r="Z98" i="4"/>
  <c r="M44" i="4"/>
  <c r="AA44" i="4" s="1"/>
  <c r="AB44" i="4"/>
  <c r="AF44" i="4"/>
  <c r="Z44" i="4"/>
  <c r="M50" i="4"/>
  <c r="AA50" i="4" s="1"/>
  <c r="AF50" i="4"/>
  <c r="AB50" i="4"/>
  <c r="Z50" i="4"/>
  <c r="M51" i="4"/>
  <c r="AA51" i="4" s="1"/>
  <c r="AB51" i="4"/>
  <c r="Z51" i="4"/>
  <c r="AF51" i="4"/>
  <c r="AG51" i="4" s="1"/>
  <c r="AS51" i="4" s="1"/>
  <c r="M99" i="4"/>
  <c r="AA99" i="4" s="1"/>
  <c r="AB99" i="4"/>
  <c r="AF99" i="4"/>
  <c r="AG99" i="4" s="1"/>
  <c r="AS99" i="4" s="1"/>
  <c r="Z99" i="4"/>
  <c r="M10" i="4"/>
  <c r="AA10" i="4" s="1"/>
  <c r="AF10" i="4"/>
  <c r="AG10" i="4" s="1"/>
  <c r="AS10" i="4" s="1"/>
  <c r="Z10" i="4"/>
  <c r="AB10" i="4"/>
  <c r="M58" i="4"/>
  <c r="AA58" i="4" s="1"/>
  <c r="AF58" i="4"/>
  <c r="AB58" i="4"/>
  <c r="Z58" i="4"/>
  <c r="M54" i="4"/>
  <c r="AA54" i="4" s="1"/>
  <c r="AF54" i="4"/>
  <c r="Z54" i="4"/>
  <c r="AB54" i="4"/>
  <c r="M90" i="4"/>
  <c r="AA90" i="4" s="1"/>
  <c r="AF90" i="4"/>
  <c r="AB90" i="4"/>
  <c r="Z90" i="4"/>
  <c r="M71" i="4"/>
  <c r="AA71" i="4" s="1"/>
  <c r="AB71" i="4"/>
  <c r="AF71" i="4"/>
  <c r="AG71" i="4" s="1"/>
  <c r="AS71" i="4" s="1"/>
  <c r="Z71" i="4"/>
  <c r="M46" i="4"/>
  <c r="AA46" i="4" s="1"/>
  <c r="AF46" i="4"/>
  <c r="AB46" i="4"/>
  <c r="Z46" i="4"/>
  <c r="M11" i="4"/>
  <c r="AA11" i="4" s="1"/>
  <c r="AF11" i="4"/>
  <c r="AB11" i="4"/>
  <c r="Z11" i="4"/>
  <c r="M62" i="4"/>
  <c r="AA62" i="4" s="1"/>
  <c r="AF62" i="4"/>
  <c r="AB62" i="4"/>
  <c r="Z62" i="4"/>
  <c r="M12" i="4"/>
  <c r="AA12" i="4" s="1"/>
  <c r="AB12" i="4"/>
  <c r="AF12" i="4"/>
  <c r="Z12" i="4"/>
  <c r="M41" i="4"/>
  <c r="AA41" i="4" s="1"/>
  <c r="AB41" i="4"/>
  <c r="Z41" i="4"/>
  <c r="AF41" i="4"/>
  <c r="M73" i="4"/>
  <c r="AA73" i="4" s="1"/>
  <c r="AB73" i="4"/>
  <c r="Z73" i="4"/>
  <c r="AF73" i="4"/>
  <c r="M64" i="4"/>
  <c r="AA64" i="4" s="1"/>
  <c r="AF64" i="4"/>
  <c r="Z64" i="4"/>
  <c r="AB64" i="4"/>
  <c r="M151" i="4"/>
  <c r="AA151" i="4" s="1"/>
  <c r="AF151" i="4"/>
  <c r="AB151" i="4"/>
  <c r="Z151" i="4"/>
  <c r="M152" i="4"/>
  <c r="AA152" i="4" s="1"/>
  <c r="AF152" i="4"/>
  <c r="AB152" i="4"/>
  <c r="Z152" i="4"/>
  <c r="M190" i="4"/>
  <c r="AA190" i="4" s="1"/>
  <c r="AF190" i="4"/>
  <c r="AB190" i="4"/>
  <c r="Z190" i="4"/>
  <c r="M182" i="4"/>
  <c r="AA182" i="4" s="1"/>
  <c r="AF182" i="4"/>
  <c r="AB182" i="4"/>
  <c r="Z182" i="4"/>
  <c r="M124" i="4"/>
  <c r="AA124" i="4" s="1"/>
  <c r="AB124" i="4"/>
  <c r="AF124" i="4"/>
  <c r="Z124" i="4"/>
  <c r="M133" i="4"/>
  <c r="AA133" i="4" s="1"/>
  <c r="AB133" i="4"/>
  <c r="AF133" i="4"/>
  <c r="Z133" i="4"/>
  <c r="M168" i="4"/>
  <c r="AA168" i="4" s="1"/>
  <c r="AB168" i="4"/>
  <c r="AF168" i="4"/>
  <c r="Z168" i="4"/>
  <c r="M167" i="4"/>
  <c r="AA167" i="4" s="1"/>
  <c r="AF167" i="4"/>
  <c r="AB167" i="4"/>
  <c r="Z167" i="4"/>
  <c r="M191" i="4"/>
  <c r="AA191" i="4" s="1"/>
  <c r="AB191" i="4"/>
  <c r="AF191" i="4"/>
  <c r="Z191" i="4"/>
  <c r="M144" i="4"/>
  <c r="AA144" i="4" s="1"/>
  <c r="AF144" i="4"/>
  <c r="AB144" i="4"/>
  <c r="Z144" i="4"/>
  <c r="M115" i="4"/>
  <c r="AA115" i="4" s="1"/>
  <c r="AB115" i="4"/>
  <c r="Z115" i="4"/>
  <c r="AF115" i="4"/>
  <c r="M195" i="4"/>
  <c r="AA195" i="4" s="1"/>
  <c r="AB195" i="4"/>
  <c r="AF195" i="4"/>
  <c r="Z195" i="4"/>
  <c r="M158" i="4"/>
  <c r="AA158" i="4" s="1"/>
  <c r="AF158" i="4"/>
  <c r="AB158" i="4"/>
  <c r="Z158" i="4"/>
  <c r="M162" i="4"/>
  <c r="AA162" i="4" s="1"/>
  <c r="AF162" i="4"/>
  <c r="AB162" i="4"/>
  <c r="Z162" i="4"/>
  <c r="M48" i="4"/>
  <c r="AA48" i="4" s="1"/>
  <c r="AF48" i="4"/>
  <c r="AB48" i="4"/>
  <c r="Z48" i="4"/>
  <c r="M203" i="4"/>
  <c r="AA203" i="4" s="1"/>
  <c r="AF203" i="4"/>
  <c r="AB203" i="4"/>
  <c r="Z203" i="4"/>
  <c r="X65" i="4"/>
  <c r="Y65" i="4" s="1"/>
  <c r="L65" i="4"/>
  <c r="AE23" i="4"/>
  <c r="AH23" i="4"/>
  <c r="AE60" i="4"/>
  <c r="AH60" i="4"/>
  <c r="AE31" i="4"/>
  <c r="AH31" i="4"/>
  <c r="AE9" i="4"/>
  <c r="AH9" i="4"/>
  <c r="AE26" i="4"/>
  <c r="AH26" i="4"/>
  <c r="AE80" i="4"/>
  <c r="AH80" i="4"/>
  <c r="AE100" i="4"/>
  <c r="AH100" i="4"/>
  <c r="AE41" i="4"/>
  <c r="AH41" i="4"/>
  <c r="AE18" i="4"/>
  <c r="AH18" i="4"/>
  <c r="AE105" i="4"/>
  <c r="AH105" i="4"/>
  <c r="AE35" i="4"/>
  <c r="AH35" i="4"/>
  <c r="AE24" i="4"/>
  <c r="AH24" i="4"/>
  <c r="AE69" i="4"/>
  <c r="AH69" i="4"/>
  <c r="AE57" i="4"/>
  <c r="AH57" i="4"/>
  <c r="AE54" i="4"/>
  <c r="AH54" i="4"/>
  <c r="AE82" i="4"/>
  <c r="AH82" i="4"/>
  <c r="AE104" i="4"/>
  <c r="AH104" i="4"/>
  <c r="AE48" i="4"/>
  <c r="AH48" i="4"/>
  <c r="AE47" i="4"/>
  <c r="AH47" i="4"/>
  <c r="AE25" i="4"/>
  <c r="AH25" i="4"/>
  <c r="AE109" i="4"/>
  <c r="AH109" i="4"/>
  <c r="AE62" i="4"/>
  <c r="AH62" i="4"/>
  <c r="AE59" i="4"/>
  <c r="AH59" i="4"/>
  <c r="AE50" i="4"/>
  <c r="AH50" i="4"/>
  <c r="AE76" i="4"/>
  <c r="AH76" i="4"/>
  <c r="AE36" i="4"/>
  <c r="AH36" i="4"/>
  <c r="AE93" i="4"/>
  <c r="AH93" i="4"/>
  <c r="AE40" i="4"/>
  <c r="AH40" i="4"/>
  <c r="AE17" i="4"/>
  <c r="AH17" i="4"/>
  <c r="AE106" i="4"/>
  <c r="AH106" i="4"/>
  <c r="AE44" i="4"/>
  <c r="AH44" i="4"/>
  <c r="AE11" i="4"/>
  <c r="AH11" i="4"/>
  <c r="AE43" i="4"/>
  <c r="AH43" i="4"/>
  <c r="AE97" i="4"/>
  <c r="AH97" i="4"/>
  <c r="AE98" i="4"/>
  <c r="AH98" i="4"/>
  <c r="AE84" i="4"/>
  <c r="AH84" i="4"/>
  <c r="AE67" i="4"/>
  <c r="AH67" i="4"/>
  <c r="AE49" i="4"/>
  <c r="AH49" i="4"/>
  <c r="AE102" i="4"/>
  <c r="AH102" i="4"/>
  <c r="AE61" i="4"/>
  <c r="AH61" i="4"/>
  <c r="AE39" i="4"/>
  <c r="AH39" i="4"/>
  <c r="AE14" i="4"/>
  <c r="AH14" i="4"/>
  <c r="AE64" i="4"/>
  <c r="AH64" i="4"/>
  <c r="AE77" i="4"/>
  <c r="AH77" i="4"/>
  <c r="AE85" i="4"/>
  <c r="AH85" i="4"/>
  <c r="AE79" i="4"/>
  <c r="AH79" i="4"/>
  <c r="AE38" i="4"/>
  <c r="AH38" i="4"/>
  <c r="AE86" i="4"/>
  <c r="AH86" i="4"/>
  <c r="AE53" i="4"/>
  <c r="AH53" i="4"/>
  <c r="AE94" i="4"/>
  <c r="AH94" i="4"/>
  <c r="AE58" i="4"/>
  <c r="AH58" i="4"/>
  <c r="AE96" i="4"/>
  <c r="AH96" i="4"/>
  <c r="AE20" i="4"/>
  <c r="AH20" i="4"/>
  <c r="AE83" i="4"/>
  <c r="AH83" i="4"/>
  <c r="AE74" i="4"/>
  <c r="AH74" i="4"/>
  <c r="AE91" i="4"/>
  <c r="AH91" i="4"/>
  <c r="AE103" i="4"/>
  <c r="AH103" i="4"/>
  <c r="AE66" i="4"/>
  <c r="AH66" i="4"/>
  <c r="AE13" i="4"/>
  <c r="AH13" i="4"/>
  <c r="AE46" i="4"/>
  <c r="AH46" i="4"/>
  <c r="AE70" i="4"/>
  <c r="AH70" i="4"/>
  <c r="AE78" i="4"/>
  <c r="AH78" i="4"/>
  <c r="AE34" i="4"/>
  <c r="AH34" i="4"/>
  <c r="AE90" i="4"/>
  <c r="AH90" i="4"/>
  <c r="AE63" i="4"/>
  <c r="AH63" i="4"/>
  <c r="AE73" i="4"/>
  <c r="AH73" i="4"/>
  <c r="AE19" i="4"/>
  <c r="AH19" i="4"/>
  <c r="AE68" i="4"/>
  <c r="AH68" i="4"/>
  <c r="AE12" i="4"/>
  <c r="AH12" i="4"/>
  <c r="AE45" i="4"/>
  <c r="AH45" i="4"/>
  <c r="B55" i="2"/>
  <c r="B64" i="2" s="1"/>
  <c r="B59" i="2"/>
  <c r="R22" i="8" s="1"/>
  <c r="S22" i="8" s="1"/>
  <c r="B60" i="2" s="1"/>
  <c r="C52" i="16"/>
  <c r="D52" i="16" s="1"/>
  <c r="A259" i="2"/>
  <c r="C57" i="16"/>
  <c r="D57" i="16" s="1"/>
  <c r="BM39" i="3"/>
  <c r="R9" i="8"/>
  <c r="S9" i="8" s="1"/>
  <c r="S30" i="8" s="1"/>
  <c r="C77" i="1" s="1"/>
  <c r="BN14" i="3"/>
  <c r="B75" i="1"/>
  <c r="BM30" i="3"/>
  <c r="BM18" i="3"/>
  <c r="C225" i="2"/>
  <c r="B225" i="2" s="1"/>
  <c r="B226" i="2" s="1"/>
  <c r="C79" i="4"/>
  <c r="B79" i="4" s="1"/>
  <c r="B80" i="4" s="1"/>
  <c r="B70" i="4"/>
  <c r="BM29" i="3"/>
  <c r="B77" i="1"/>
  <c r="C3" i="8"/>
  <c r="C159" i="8" s="1"/>
  <c r="C158" i="8" s="1"/>
  <c r="C157" i="8" s="1"/>
  <c r="C156" i="8" s="1"/>
  <c r="C155" i="8" s="1"/>
  <c r="C154" i="8" s="1"/>
  <c r="C153" i="8" s="1"/>
  <c r="C152" i="8" s="1"/>
  <c r="C151" i="8" s="1"/>
  <c r="C150" i="8" s="1"/>
  <c r="C149" i="8" s="1"/>
  <c r="C148" i="8" s="1"/>
  <c r="C147" i="8" s="1"/>
  <c r="C146" i="8" s="1"/>
  <c r="C145" i="8" s="1"/>
  <c r="C144" i="8" s="1"/>
  <c r="C143" i="8" s="1"/>
  <c r="C142" i="8" s="1"/>
  <c r="C141" i="8" s="1"/>
  <c r="C140" i="8" s="1"/>
  <c r="C139" i="8" s="1"/>
  <c r="C138" i="8" s="1"/>
  <c r="C137" i="8" s="1"/>
  <c r="C136" i="8" s="1"/>
  <c r="C135" i="8" s="1"/>
  <c r="C134" i="8" s="1"/>
  <c r="C133" i="8" s="1"/>
  <c r="C132" i="8" s="1"/>
  <c r="C131" i="8" s="1"/>
  <c r="C130" i="8" s="1"/>
  <c r="C129" i="8" s="1"/>
  <c r="C128" i="8" s="1"/>
  <c r="C127" i="8" s="1"/>
  <c r="C126" i="8" s="1"/>
  <c r="C125" i="8" s="1"/>
  <c r="C124" i="8" s="1"/>
  <c r="C123" i="8" s="1"/>
  <c r="C122" i="8" s="1"/>
  <c r="C121" i="8" s="1"/>
  <c r="C120" i="8" s="1"/>
  <c r="C119" i="8" s="1"/>
  <c r="C118" i="8" s="1"/>
  <c r="C117" i="8" s="1"/>
  <c r="C116" i="8" s="1"/>
  <c r="C115" i="8" s="1"/>
  <c r="C114" i="8" s="1"/>
  <c r="C113" i="8" s="1"/>
  <c r="C112" i="8" s="1"/>
  <c r="C111" i="8" s="1"/>
  <c r="C110" i="8" s="1"/>
  <c r="C109" i="8" s="1"/>
  <c r="C108" i="8" s="1"/>
  <c r="C107" i="8" s="1"/>
  <c r="C106" i="8" s="1"/>
  <c r="C105" i="8" s="1"/>
  <c r="C104" i="8" s="1"/>
  <c r="C103" i="8" s="1"/>
  <c r="C102" i="8" s="1"/>
  <c r="C101" i="8" s="1"/>
  <c r="C100" i="8" s="1"/>
  <c r="C99" i="8" s="1"/>
  <c r="C98" i="8" s="1"/>
  <c r="C97" i="8" s="1"/>
  <c r="C96" i="8" s="1"/>
  <c r="C95" i="8" s="1"/>
  <c r="C94" i="8" s="1"/>
  <c r="C93" i="8" s="1"/>
  <c r="C92" i="8" s="1"/>
  <c r="C91" i="8" s="1"/>
  <c r="C90" i="8" s="1"/>
  <c r="C89" i="8" s="1"/>
  <c r="C88" i="8" s="1"/>
  <c r="C87" i="8" s="1"/>
  <c r="C86" i="8" s="1"/>
  <c r="C85" i="8" s="1"/>
  <c r="C84" i="8" s="1"/>
  <c r="C83" i="8" s="1"/>
  <c r="C82" i="8" s="1"/>
  <c r="C81" i="8" s="1"/>
  <c r="C80" i="8" s="1"/>
  <c r="C79" i="8" s="1"/>
  <c r="C78" i="8" s="1"/>
  <c r="C77" i="8" s="1"/>
  <c r="C76" i="8" s="1"/>
  <c r="C75" i="8" s="1"/>
  <c r="C74" i="8" s="1"/>
  <c r="C73" i="8" s="1"/>
  <c r="C72" i="8" s="1"/>
  <c r="C71" i="8" s="1"/>
  <c r="C70" i="8" s="1"/>
  <c r="C69" i="8" s="1"/>
  <c r="C68" i="8" s="1"/>
  <c r="C67" i="8" s="1"/>
  <c r="C66" i="8" s="1"/>
  <c r="C65" i="8" s="1"/>
  <c r="C64" i="8" s="1"/>
  <c r="C63" i="8" s="1"/>
  <c r="C62" i="8" s="1"/>
  <c r="C61" i="8" s="1"/>
  <c r="C60" i="8" s="1"/>
  <c r="C59" i="8" s="1"/>
  <c r="C58" i="8" s="1"/>
  <c r="C57" i="8" s="1"/>
  <c r="C56" i="8" s="1"/>
  <c r="C55" i="8" s="1"/>
  <c r="C54" i="8" s="1"/>
  <c r="C53" i="8" s="1"/>
  <c r="C52" i="8" s="1"/>
  <c r="C51" i="8" s="1"/>
  <c r="C50" i="8" s="1"/>
  <c r="C49" i="8" s="1"/>
  <c r="C48" i="8" s="1"/>
  <c r="C47" i="8" s="1"/>
  <c r="C46" i="8" s="1"/>
  <c r="C45" i="8" s="1"/>
  <c r="C44" i="8" s="1"/>
  <c r="C43" i="8" s="1"/>
  <c r="C42" i="8" s="1"/>
  <c r="C41" i="8" s="1"/>
  <c r="C40" i="8" s="1"/>
  <c r="C39" i="8" s="1"/>
  <c r="C38" i="8" s="1"/>
  <c r="C37" i="8" s="1"/>
  <c r="C36" i="8" s="1"/>
  <c r="C35" i="8" s="1"/>
  <c r="C34" i="8" s="1"/>
  <c r="C33" i="8" s="1"/>
  <c r="C32" i="8" s="1"/>
  <c r="C31" i="8" s="1"/>
  <c r="C30" i="8" s="1"/>
  <c r="C29" i="8" s="1"/>
  <c r="C28" i="8" s="1"/>
  <c r="C27" i="8" s="1"/>
  <c r="C26" i="8" s="1"/>
  <c r="C25" i="8" s="1"/>
  <c r="C24" i="8" s="1"/>
  <c r="C23" i="8" s="1"/>
  <c r="C22" i="8" s="1"/>
  <c r="C21" i="8" s="1"/>
  <c r="C20" i="8" s="1"/>
  <c r="C19" i="8" s="1"/>
  <c r="C18" i="8" s="1"/>
  <c r="C17" i="8" s="1"/>
  <c r="C16" i="8" s="1"/>
  <c r="C15" i="8" s="1"/>
  <c r="C14" i="8" s="1"/>
  <c r="C13" i="8" s="1"/>
  <c r="C12" i="8" s="1"/>
  <c r="C11" i="8" s="1"/>
  <c r="C10" i="8" s="1"/>
  <c r="C9" i="8" s="1"/>
  <c r="C8" i="8" s="1"/>
  <c r="C7" i="8" s="1"/>
  <c r="C6" i="8" s="1"/>
  <c r="C4" i="8" s="1"/>
  <c r="S28" i="8" s="1"/>
  <c r="C75" i="1" s="1"/>
  <c r="R27" i="8"/>
  <c r="BM33" i="3"/>
  <c r="BN37" i="3"/>
  <c r="BM23" i="3"/>
  <c r="BM26" i="3"/>
  <c r="BN9" i="3"/>
  <c r="AD65" i="4"/>
  <c r="U65" i="4"/>
  <c r="V65" i="4" s="1"/>
  <c r="W65" i="4" s="1"/>
  <c r="N65" i="4"/>
  <c r="O65" i="4" s="1"/>
  <c r="Q65" i="4" s="1"/>
  <c r="R65" i="4"/>
  <c r="S65" i="4" s="1"/>
  <c r="T65" i="4" s="1"/>
  <c r="AR40" i="3"/>
  <c r="B40" i="3"/>
  <c r="AQ40" i="3"/>
  <c r="A41" i="3"/>
  <c r="D40" i="3"/>
  <c r="C40" i="3"/>
  <c r="G40" i="3"/>
  <c r="H40" i="3" s="1"/>
  <c r="F40" i="3"/>
  <c r="BN39" i="3"/>
  <c r="AC139" i="4" l="1"/>
  <c r="AR139" i="4" s="1"/>
  <c r="AC132" i="4"/>
  <c r="AO132" i="4" s="1"/>
  <c r="AQ132" i="4" s="1"/>
  <c r="AU132" i="4" s="1"/>
  <c r="AC201" i="4"/>
  <c r="AO201" i="4" s="1"/>
  <c r="AQ201" i="4" s="1"/>
  <c r="AU201" i="4" s="1"/>
  <c r="AC184" i="4"/>
  <c r="AR184" i="4" s="1"/>
  <c r="AC192" i="4"/>
  <c r="AR192" i="4" s="1"/>
  <c r="AC166" i="4"/>
  <c r="AR166" i="4" s="1"/>
  <c r="AC170" i="4"/>
  <c r="AR170" i="4" s="1"/>
  <c r="AC121" i="4"/>
  <c r="AO121" i="4" s="1"/>
  <c r="AQ121" i="4" s="1"/>
  <c r="AU121" i="4" s="1"/>
  <c r="AC198" i="4"/>
  <c r="AO198" i="4" s="1"/>
  <c r="AQ198" i="4" s="1"/>
  <c r="AU198" i="4" s="1"/>
  <c r="AC125" i="4"/>
  <c r="AR125" i="4" s="1"/>
  <c r="AC154" i="4"/>
  <c r="AR154" i="4" s="1"/>
  <c r="AC138" i="4"/>
  <c r="AR138" i="4" s="1"/>
  <c r="AC186" i="4"/>
  <c r="AR186" i="4" s="1"/>
  <c r="AC183" i="4"/>
  <c r="AR183" i="4" s="1"/>
  <c r="AC200" i="4"/>
  <c r="AO200" i="4" s="1"/>
  <c r="AQ200" i="4" s="1"/>
  <c r="AU200" i="4" s="1"/>
  <c r="AC188" i="4"/>
  <c r="AR188" i="4" s="1"/>
  <c r="AC127" i="4"/>
  <c r="AO127" i="4" s="1"/>
  <c r="AQ127" i="4" s="1"/>
  <c r="AU127" i="4" s="1"/>
  <c r="AC208" i="4"/>
  <c r="AR208" i="4" s="1"/>
  <c r="AC141" i="4"/>
  <c r="AR141" i="4" s="1"/>
  <c r="AC118" i="4"/>
  <c r="AR118" i="4" s="1"/>
  <c r="AC134" i="4"/>
  <c r="AR134" i="4" s="1"/>
  <c r="AC150" i="4"/>
  <c r="AR150" i="4" s="1"/>
  <c r="AC179" i="4"/>
  <c r="AO179" i="4" s="1"/>
  <c r="AQ179" i="4" s="1"/>
  <c r="AU179" i="4" s="1"/>
  <c r="AC119" i="4"/>
  <c r="AR119" i="4" s="1"/>
  <c r="AG124" i="4"/>
  <c r="AS124" i="4" s="1"/>
  <c r="AG175" i="4"/>
  <c r="AS175" i="4" s="1"/>
  <c r="AG159" i="4"/>
  <c r="AS159" i="4" s="1"/>
  <c r="AG129" i="4"/>
  <c r="AS129" i="4" s="1"/>
  <c r="AC171" i="4"/>
  <c r="AO171" i="4" s="1"/>
  <c r="AQ171" i="4" s="1"/>
  <c r="AU171" i="4" s="1"/>
  <c r="AG195" i="4"/>
  <c r="AS195" i="4" s="1"/>
  <c r="AG117" i="4"/>
  <c r="AS117" i="4" s="1"/>
  <c r="AG153" i="4"/>
  <c r="AS153" i="4" s="1"/>
  <c r="AG143" i="4"/>
  <c r="AS143" i="4" s="1"/>
  <c r="AG196" i="4"/>
  <c r="AS196" i="4" s="1"/>
  <c r="AG131" i="4"/>
  <c r="AS131" i="4" s="1"/>
  <c r="AG181" i="4"/>
  <c r="AS181" i="4" s="1"/>
  <c r="AG209" i="4"/>
  <c r="AS209" i="4" s="1"/>
  <c r="AG165" i="4"/>
  <c r="AS165" i="4" s="1"/>
  <c r="AG130" i="4"/>
  <c r="AS130" i="4" s="1"/>
  <c r="AG185" i="4"/>
  <c r="AS185" i="4" s="1"/>
  <c r="AG142" i="4"/>
  <c r="AS142" i="4" s="1"/>
  <c r="AG122" i="4"/>
  <c r="AS122" i="4" s="1"/>
  <c r="AG164" i="4"/>
  <c r="AS164" i="4" s="1"/>
  <c r="AG173" i="4"/>
  <c r="AS173" i="4" s="1"/>
  <c r="AG174" i="4"/>
  <c r="AS174" i="4" s="1"/>
  <c r="AG152" i="4"/>
  <c r="AS152" i="4" s="1"/>
  <c r="AG146" i="4"/>
  <c r="AS146" i="4" s="1"/>
  <c r="AG110" i="4"/>
  <c r="AS110" i="4" s="1"/>
  <c r="AG123" i="4"/>
  <c r="AS123" i="4" s="1"/>
  <c r="AG163" i="4"/>
  <c r="AS163" i="4" s="1"/>
  <c r="AG162" i="4"/>
  <c r="AS162" i="4" s="1"/>
  <c r="AG197" i="4"/>
  <c r="AS197" i="4" s="1"/>
  <c r="AC147" i="4"/>
  <c r="AR147" i="4" s="1"/>
  <c r="AG133" i="4"/>
  <c r="AS133" i="4" s="1"/>
  <c r="AG120" i="4"/>
  <c r="AS120" i="4" s="1"/>
  <c r="AC196" i="4"/>
  <c r="AR196" i="4" s="1"/>
  <c r="AG140" i="4"/>
  <c r="AS140" i="4" s="1"/>
  <c r="AG135" i="4"/>
  <c r="AS135" i="4" s="1"/>
  <c r="AG167" i="4"/>
  <c r="AS167" i="4" s="1"/>
  <c r="AG182" i="4"/>
  <c r="AS182" i="4" s="1"/>
  <c r="AG190" i="4"/>
  <c r="AS190" i="4" s="1"/>
  <c r="AG112" i="4"/>
  <c r="AS112" i="4" s="1"/>
  <c r="AG160" i="4"/>
  <c r="AS160" i="4" s="1"/>
  <c r="AG207" i="4"/>
  <c r="AS207" i="4" s="1"/>
  <c r="AG113" i="4"/>
  <c r="AS113" i="4" s="1"/>
  <c r="AG189" i="4"/>
  <c r="AS189" i="4" s="1"/>
  <c r="AG203" i="4"/>
  <c r="AS203" i="4" s="1"/>
  <c r="AG158" i="4"/>
  <c r="AS158" i="4" s="1"/>
  <c r="AG156" i="4"/>
  <c r="AS156" i="4" s="1"/>
  <c r="AG114" i="4"/>
  <c r="AS114" i="4" s="1"/>
  <c r="AG148" i="4"/>
  <c r="AS148" i="4" s="1"/>
  <c r="AG147" i="4"/>
  <c r="AS147" i="4" s="1"/>
  <c r="AG115" i="4"/>
  <c r="AS115" i="4" s="1"/>
  <c r="AG191" i="4"/>
  <c r="AS191" i="4" s="1"/>
  <c r="AG168" i="4"/>
  <c r="AS168" i="4" s="1"/>
  <c r="AG180" i="4"/>
  <c r="AS180" i="4" s="1"/>
  <c r="AG137" i="4"/>
  <c r="AS137" i="4" s="1"/>
  <c r="AG169" i="4"/>
  <c r="AS169" i="4" s="1"/>
  <c r="AG116" i="4"/>
  <c r="AS116" i="4" s="1"/>
  <c r="AG157" i="4"/>
  <c r="AS157" i="4" s="1"/>
  <c r="AG206" i="4"/>
  <c r="AS206" i="4" s="1"/>
  <c r="AG136" i="4"/>
  <c r="AS136" i="4" s="1"/>
  <c r="AC204" i="4"/>
  <c r="AR204" i="4" s="1"/>
  <c r="AC178" i="4"/>
  <c r="AR178" i="4" s="1"/>
  <c r="AG178" i="4"/>
  <c r="AS178" i="4" s="1"/>
  <c r="AG144" i="4"/>
  <c r="AS144" i="4" s="1"/>
  <c r="AG151" i="4"/>
  <c r="AS151" i="4" s="1"/>
  <c r="AG202" i="4"/>
  <c r="AS202" i="4" s="1"/>
  <c r="AG126" i="4"/>
  <c r="AS126" i="4" s="1"/>
  <c r="AG172" i="4"/>
  <c r="AS172" i="4" s="1"/>
  <c r="AG145" i="4"/>
  <c r="AS145" i="4" s="1"/>
  <c r="AG176" i="4"/>
  <c r="AS176" i="4" s="1"/>
  <c r="AG194" i="4"/>
  <c r="AS194" i="4" s="1"/>
  <c r="AG149" i="4"/>
  <c r="AS149" i="4" s="1"/>
  <c r="AG128" i="4"/>
  <c r="AS128" i="4" s="1"/>
  <c r="AG161" i="4"/>
  <c r="AS161" i="4" s="1"/>
  <c r="AG177" i="4"/>
  <c r="AS177" i="4" s="1"/>
  <c r="AC205" i="4"/>
  <c r="AR205" i="4" s="1"/>
  <c r="AC189" i="4"/>
  <c r="AR189" i="4" s="1"/>
  <c r="AC187" i="4"/>
  <c r="AR187" i="4" s="1"/>
  <c r="AC193" i="4"/>
  <c r="AO193" i="4" s="1"/>
  <c r="AQ193" i="4" s="1"/>
  <c r="AU193" i="4" s="1"/>
  <c r="AC136" i="4"/>
  <c r="AC206" i="4"/>
  <c r="AR206" i="4" s="1"/>
  <c r="AC129" i="4"/>
  <c r="AC199" i="4"/>
  <c r="AR199" i="4" s="1"/>
  <c r="AC197" i="4"/>
  <c r="AR197" i="4" s="1"/>
  <c r="AG20" i="4"/>
  <c r="AS20" i="4" s="1"/>
  <c r="AG58" i="4"/>
  <c r="AS58" i="4" s="1"/>
  <c r="AG64" i="4"/>
  <c r="AS64" i="4" s="1"/>
  <c r="AG98" i="4"/>
  <c r="AS98" i="4" s="1"/>
  <c r="AG54" i="4"/>
  <c r="AS54" i="4" s="1"/>
  <c r="AG74" i="4"/>
  <c r="AS74" i="4" s="1"/>
  <c r="AG59" i="4"/>
  <c r="AS59" i="4" s="1"/>
  <c r="AC155" i="4"/>
  <c r="AR155" i="4" s="1"/>
  <c r="AG66" i="4"/>
  <c r="AS66" i="4" s="1"/>
  <c r="AG94" i="4"/>
  <c r="AS94" i="4" s="1"/>
  <c r="AG14" i="4"/>
  <c r="AS14" i="4" s="1"/>
  <c r="AG84" i="4"/>
  <c r="AS84" i="4" s="1"/>
  <c r="AG48" i="4"/>
  <c r="AS48" i="4" s="1"/>
  <c r="AG82" i="4"/>
  <c r="AS82" i="4" s="1"/>
  <c r="AG80" i="4"/>
  <c r="AS80" i="4" s="1"/>
  <c r="AG9" i="4"/>
  <c r="AS9" i="4" s="1"/>
  <c r="AC190" i="4"/>
  <c r="AR190" i="4" s="1"/>
  <c r="AC53" i="4"/>
  <c r="AC174" i="4"/>
  <c r="AR174" i="4" s="1"/>
  <c r="AG31" i="4"/>
  <c r="AS31" i="4" s="1"/>
  <c r="AG45" i="4"/>
  <c r="AS45" i="4" s="1"/>
  <c r="AG68" i="4"/>
  <c r="AS68" i="4" s="1"/>
  <c r="AG78" i="4"/>
  <c r="AS78" i="4" s="1"/>
  <c r="AG96" i="4"/>
  <c r="AS96" i="4" s="1"/>
  <c r="AG49" i="4"/>
  <c r="AS49" i="4" s="1"/>
  <c r="AG97" i="4"/>
  <c r="AS97" i="4" s="1"/>
  <c r="AG106" i="4"/>
  <c r="AS106" i="4" s="1"/>
  <c r="AG36" i="4"/>
  <c r="AS36" i="4" s="1"/>
  <c r="AG24" i="4"/>
  <c r="AS24" i="4" s="1"/>
  <c r="AG60" i="4"/>
  <c r="AS60" i="4" s="1"/>
  <c r="AC83" i="4"/>
  <c r="AR83" i="4" s="1"/>
  <c r="AC143" i="4"/>
  <c r="AC209" i="4"/>
  <c r="AR209" i="4" s="1"/>
  <c r="AC70" i="4"/>
  <c r="AC24" i="4"/>
  <c r="AC72" i="4"/>
  <c r="AC108" i="4"/>
  <c r="AR108" i="4" s="1"/>
  <c r="AC30" i="4"/>
  <c r="AC163" i="4"/>
  <c r="AR163" i="4" s="1"/>
  <c r="AC142" i="4"/>
  <c r="AR142" i="4" s="1"/>
  <c r="AC114" i="4"/>
  <c r="AR114" i="4" s="1"/>
  <c r="AC85" i="4"/>
  <c r="AR85" i="4" s="1"/>
  <c r="AC102" i="4"/>
  <c r="AR102" i="4" s="1"/>
  <c r="AC94" i="4"/>
  <c r="AR94" i="4" s="1"/>
  <c r="AC27" i="4"/>
  <c r="AC103" i="4"/>
  <c r="AR103" i="4" s="1"/>
  <c r="AG93" i="4"/>
  <c r="AS93" i="4" s="1"/>
  <c r="AC162" i="4"/>
  <c r="AR162" i="4" s="1"/>
  <c r="AC48" i="4"/>
  <c r="AC158" i="4"/>
  <c r="AC46" i="4"/>
  <c r="AC43" i="4"/>
  <c r="AG19" i="4"/>
  <c r="AS19" i="4" s="1"/>
  <c r="AG67" i="4"/>
  <c r="AS67" i="4" s="1"/>
  <c r="AG17" i="4"/>
  <c r="AG76" i="4"/>
  <c r="AS76" i="4" s="1"/>
  <c r="AG47" i="4"/>
  <c r="AS47" i="4" s="1"/>
  <c r="AC148" i="4"/>
  <c r="AR148" i="4" s="1"/>
  <c r="AG90" i="4"/>
  <c r="AS90" i="4" s="1"/>
  <c r="AG46" i="4"/>
  <c r="AS46" i="4" s="1"/>
  <c r="AG91" i="4"/>
  <c r="AS91" i="4" s="1"/>
  <c r="AC181" i="4"/>
  <c r="AR181" i="4" s="1"/>
  <c r="AC51" i="4"/>
  <c r="AG83" i="4"/>
  <c r="AS83" i="4" s="1"/>
  <c r="AG86" i="4"/>
  <c r="AS86" i="4" s="1"/>
  <c r="AG79" i="4"/>
  <c r="AS79" i="4" s="1"/>
  <c r="AG61" i="4"/>
  <c r="AS61" i="4" s="1"/>
  <c r="AG11" i="4"/>
  <c r="AS11" i="4" s="1"/>
  <c r="AG62" i="4"/>
  <c r="AS62" i="4" s="1"/>
  <c r="AG57" i="4"/>
  <c r="AS57" i="4" s="1"/>
  <c r="AG105" i="4"/>
  <c r="AS105" i="4" s="1"/>
  <c r="AC64" i="4"/>
  <c r="AC12" i="4"/>
  <c r="AC71" i="4"/>
  <c r="AC90" i="4"/>
  <c r="AR90" i="4" s="1"/>
  <c r="AC54" i="4"/>
  <c r="AC10" i="4"/>
  <c r="AC99" i="4"/>
  <c r="AR99" i="4" s="1"/>
  <c r="AC50" i="4"/>
  <c r="AC44" i="4"/>
  <c r="AC86" i="4"/>
  <c r="AR86" i="4" s="1"/>
  <c r="AC81" i="4"/>
  <c r="AR81" i="4" s="1"/>
  <c r="AC87" i="4"/>
  <c r="AR87" i="4" s="1"/>
  <c r="AC91" i="4"/>
  <c r="AR91" i="4" s="1"/>
  <c r="AC75" i="4"/>
  <c r="AC37" i="4"/>
  <c r="AC146" i="4"/>
  <c r="AR146" i="4" s="1"/>
  <c r="AC47" i="4"/>
  <c r="AC25" i="4"/>
  <c r="AC88" i="4"/>
  <c r="AR88" i="4" s="1"/>
  <c r="AC79" i="4"/>
  <c r="AC40" i="4"/>
  <c r="AC17" i="4"/>
  <c r="AC19" i="4"/>
  <c r="AC77" i="4"/>
  <c r="AC16" i="4"/>
  <c r="AC105" i="4"/>
  <c r="AR105" i="4" s="1"/>
  <c r="AC89" i="4"/>
  <c r="AR89" i="4" s="1"/>
  <c r="AC76" i="4"/>
  <c r="AC96" i="4"/>
  <c r="AR96" i="4" s="1"/>
  <c r="AC55" i="4"/>
  <c r="AC135" i="4"/>
  <c r="AR135" i="4" s="1"/>
  <c r="AC160" i="4"/>
  <c r="AR160" i="4" s="1"/>
  <c r="AC59" i="4"/>
  <c r="AC78" i="4"/>
  <c r="AC67" i="4"/>
  <c r="AC101" i="4"/>
  <c r="AR101" i="4" s="1"/>
  <c r="AC61" i="4"/>
  <c r="AC42" i="4"/>
  <c r="AC52" i="4"/>
  <c r="AC107" i="4"/>
  <c r="AR107" i="4" s="1"/>
  <c r="AC22" i="4"/>
  <c r="AC57" i="4"/>
  <c r="AC117" i="4"/>
  <c r="AR117" i="4" s="1"/>
  <c r="AC23" i="4"/>
  <c r="AC35" i="4"/>
  <c r="AC33" i="4"/>
  <c r="AC29" i="4"/>
  <c r="AC60" i="4"/>
  <c r="AC13" i="4"/>
  <c r="AC45" i="4"/>
  <c r="AC63" i="4"/>
  <c r="AC92" i="4"/>
  <c r="AR92" i="4" s="1"/>
  <c r="AC69" i="4"/>
  <c r="AC39" i="4"/>
  <c r="AC93" i="4"/>
  <c r="AR93" i="4" s="1"/>
  <c r="AC28" i="4"/>
  <c r="AC36" i="4"/>
  <c r="AG77" i="4"/>
  <c r="AS77" i="4" s="1"/>
  <c r="AG40" i="4"/>
  <c r="AS40" i="4" s="1"/>
  <c r="AG50" i="4"/>
  <c r="AS50" i="4" s="1"/>
  <c r="AG25" i="4"/>
  <c r="AS25" i="4" s="1"/>
  <c r="AC175" i="4"/>
  <c r="AC15" i="4"/>
  <c r="AG73" i="4"/>
  <c r="AS73" i="4" s="1"/>
  <c r="AG41" i="4"/>
  <c r="AS41" i="4" s="1"/>
  <c r="AC176" i="4"/>
  <c r="AR176" i="4" s="1"/>
  <c r="AC82" i="4"/>
  <c r="AR82" i="4" s="1"/>
  <c r="AC26" i="4"/>
  <c r="AC31" i="4"/>
  <c r="AC14" i="4"/>
  <c r="AC18" i="4"/>
  <c r="AC38" i="4"/>
  <c r="AC34" i="4"/>
  <c r="AC80" i="4"/>
  <c r="AC156" i="4"/>
  <c r="AR156" i="4" s="1"/>
  <c r="AC149" i="4"/>
  <c r="AC32" i="4"/>
  <c r="AC66" i="4"/>
  <c r="AC84" i="4"/>
  <c r="AR84" i="4" s="1"/>
  <c r="AC95" i="4"/>
  <c r="AR95" i="4" s="1"/>
  <c r="AC73" i="4"/>
  <c r="AC62" i="4"/>
  <c r="AC112" i="4"/>
  <c r="AR112" i="4" s="1"/>
  <c r="AC74" i="4"/>
  <c r="AC106" i="4"/>
  <c r="AR106" i="4" s="1"/>
  <c r="AG102" i="4"/>
  <c r="AS102" i="4" s="1"/>
  <c r="AC195" i="4"/>
  <c r="AR195" i="4" s="1"/>
  <c r="AC144" i="4"/>
  <c r="AR144" i="4" s="1"/>
  <c r="AC41" i="4"/>
  <c r="AC11" i="4"/>
  <c r="AC58" i="4"/>
  <c r="AC98" i="4"/>
  <c r="AR98" i="4" s="1"/>
  <c r="AC20" i="4"/>
  <c r="AC180" i="4"/>
  <c r="AR180" i="4" s="1"/>
  <c r="AC203" i="4"/>
  <c r="AR203" i="4" s="1"/>
  <c r="AC100" i="4"/>
  <c r="AR100" i="4" s="1"/>
  <c r="AC49" i="4"/>
  <c r="AC9" i="4"/>
  <c r="AC104" i="4"/>
  <c r="AR104" i="4" s="1"/>
  <c r="AC56" i="4"/>
  <c r="AC97" i="4"/>
  <c r="AR97" i="4" s="1"/>
  <c r="AC109" i="4"/>
  <c r="AR109" i="4" s="1"/>
  <c r="AC68" i="4"/>
  <c r="AC21" i="4"/>
  <c r="AG12" i="4"/>
  <c r="AS12" i="4" s="1"/>
  <c r="AG63" i="4"/>
  <c r="AS63" i="4" s="1"/>
  <c r="AG34" i="4"/>
  <c r="AS34" i="4" s="1"/>
  <c r="AG70" i="4"/>
  <c r="AS70" i="4" s="1"/>
  <c r="AG13" i="4"/>
  <c r="AS13" i="4" s="1"/>
  <c r="AG103" i="4"/>
  <c r="AS103" i="4" s="1"/>
  <c r="AG53" i="4"/>
  <c r="AS53" i="4" s="1"/>
  <c r="AG38" i="4"/>
  <c r="AS38" i="4" s="1"/>
  <c r="AG85" i="4"/>
  <c r="AS85" i="4" s="1"/>
  <c r="AG39" i="4"/>
  <c r="AS39" i="4" s="1"/>
  <c r="AG43" i="4"/>
  <c r="AS43" i="4" s="1"/>
  <c r="AG44" i="4"/>
  <c r="AS44" i="4" s="1"/>
  <c r="AG109" i="4"/>
  <c r="AS109" i="4" s="1"/>
  <c r="AG104" i="4"/>
  <c r="AS104" i="4" s="1"/>
  <c r="AG69" i="4"/>
  <c r="AS69" i="4" s="1"/>
  <c r="AG35" i="4"/>
  <c r="AS35" i="4" s="1"/>
  <c r="AG18" i="4"/>
  <c r="AS18" i="4" s="1"/>
  <c r="AG100" i="4"/>
  <c r="AS100" i="4" s="1"/>
  <c r="AG26" i="4"/>
  <c r="AS26" i="4" s="1"/>
  <c r="AG23" i="4"/>
  <c r="AS23" i="4" s="1"/>
  <c r="M65" i="4"/>
  <c r="AA65" i="4" s="1"/>
  <c r="AB65" i="4"/>
  <c r="AF65" i="4"/>
  <c r="Z65" i="4"/>
  <c r="AC145" i="4"/>
  <c r="AR145" i="4" s="1"/>
  <c r="AC133" i="4"/>
  <c r="AR133" i="4" s="1"/>
  <c r="AC110" i="4"/>
  <c r="AR110" i="4" s="1"/>
  <c r="AC191" i="4"/>
  <c r="AR191" i="4" s="1"/>
  <c r="AC159" i="4"/>
  <c r="AC164" i="4"/>
  <c r="AC152" i="4"/>
  <c r="AC177" i="4"/>
  <c r="AR177" i="4" s="1"/>
  <c r="AC128" i="4"/>
  <c r="AR128" i="4" s="1"/>
  <c r="AC167" i="4"/>
  <c r="AC173" i="4"/>
  <c r="AR173" i="4" s="1"/>
  <c r="AC120" i="4"/>
  <c r="AC153" i="4"/>
  <c r="AR153" i="4" s="1"/>
  <c r="AC137" i="4"/>
  <c r="AC172" i="4"/>
  <c r="AR172" i="4" s="1"/>
  <c r="AC131" i="4"/>
  <c r="AC185" i="4"/>
  <c r="AC116" i="4"/>
  <c r="AR116" i="4" s="1"/>
  <c r="AC124" i="4"/>
  <c r="AR124" i="4" s="1"/>
  <c r="AC122" i="4"/>
  <c r="AR122" i="4" s="1"/>
  <c r="AC151" i="4"/>
  <c r="AR151" i="4" s="1"/>
  <c r="AC207" i="4"/>
  <c r="AR207" i="4" s="1"/>
  <c r="AC115" i="4"/>
  <c r="AR115" i="4" s="1"/>
  <c r="AC157" i="4"/>
  <c r="AR157" i="4" s="1"/>
  <c r="AC169" i="4"/>
  <c r="AR169" i="4" s="1"/>
  <c r="AC182" i="4"/>
  <c r="AR182" i="4" s="1"/>
  <c r="AC202" i="4"/>
  <c r="AC123" i="4"/>
  <c r="AC140" i="4"/>
  <c r="AR140" i="4" s="1"/>
  <c r="AC113" i="4"/>
  <c r="AC130" i="4"/>
  <c r="AC126" i="4"/>
  <c r="AC161" i="4"/>
  <c r="AC165" i="4"/>
  <c r="AR111" i="4"/>
  <c r="AO111" i="4"/>
  <c r="AQ111" i="4" s="1"/>
  <c r="AU111" i="4" s="1"/>
  <c r="AC168" i="4"/>
  <c r="AC194" i="4"/>
  <c r="A265" i="2"/>
  <c r="AE65" i="4"/>
  <c r="AH65" i="4"/>
  <c r="R6" i="8"/>
  <c r="R5" i="8"/>
  <c r="S5" i="8" s="1"/>
  <c r="B265" i="2"/>
  <c r="C265" i="2"/>
  <c r="BM40" i="3"/>
  <c r="C53" i="16"/>
  <c r="D53" i="16" s="1"/>
  <c r="B139" i="2"/>
  <c r="A253" i="2" s="1"/>
  <c r="C39" i="16"/>
  <c r="D39" i="16" s="1"/>
  <c r="A237" i="2"/>
  <c r="B237" i="2"/>
  <c r="B142" i="2"/>
  <c r="A256" i="2" s="1"/>
  <c r="B78" i="1"/>
  <c r="E3" i="8"/>
  <c r="E159" i="8" s="1"/>
  <c r="E158" i="8" s="1"/>
  <c r="E157" i="8" s="1"/>
  <c r="E156" i="8" s="1"/>
  <c r="E155" i="8" s="1"/>
  <c r="E154" i="8" s="1"/>
  <c r="E153" i="8" s="1"/>
  <c r="E152" i="8" s="1"/>
  <c r="E151" i="8" s="1"/>
  <c r="E150" i="8" s="1"/>
  <c r="E149" i="8" s="1"/>
  <c r="E148" i="8" s="1"/>
  <c r="E147" i="8" s="1"/>
  <c r="E146" i="8" s="1"/>
  <c r="E145" i="8" s="1"/>
  <c r="E144" i="8" s="1"/>
  <c r="E143" i="8" s="1"/>
  <c r="E142" i="8" s="1"/>
  <c r="E141" i="8" s="1"/>
  <c r="E140" i="8" s="1"/>
  <c r="E139" i="8" s="1"/>
  <c r="E138" i="8" s="1"/>
  <c r="E137" i="8" s="1"/>
  <c r="E136" i="8" s="1"/>
  <c r="E135" i="8" s="1"/>
  <c r="E134" i="8" s="1"/>
  <c r="E133" i="8" s="1"/>
  <c r="E132" i="8" s="1"/>
  <c r="E131" i="8" s="1"/>
  <c r="E130" i="8" s="1"/>
  <c r="E129" i="8" s="1"/>
  <c r="E128" i="8" s="1"/>
  <c r="E127" i="8" s="1"/>
  <c r="E126" i="8" s="1"/>
  <c r="E125" i="8" s="1"/>
  <c r="E124" i="8" s="1"/>
  <c r="E123" i="8" s="1"/>
  <c r="E122" i="8" s="1"/>
  <c r="E121" i="8" s="1"/>
  <c r="E120" i="8" s="1"/>
  <c r="E119" i="8" s="1"/>
  <c r="E118" i="8" s="1"/>
  <c r="E117" i="8" s="1"/>
  <c r="E116" i="8" s="1"/>
  <c r="E115" i="8" s="1"/>
  <c r="E114" i="8" s="1"/>
  <c r="E113" i="8" s="1"/>
  <c r="E112" i="8" s="1"/>
  <c r="E111" i="8" s="1"/>
  <c r="E110" i="8" s="1"/>
  <c r="E109" i="8" s="1"/>
  <c r="E108" i="8" s="1"/>
  <c r="E107" i="8" s="1"/>
  <c r="E106" i="8" s="1"/>
  <c r="E105" i="8" s="1"/>
  <c r="E104" i="8" s="1"/>
  <c r="E103" i="8" s="1"/>
  <c r="E102" i="8" s="1"/>
  <c r="E101" i="8" s="1"/>
  <c r="E100" i="8" s="1"/>
  <c r="E99" i="8" s="1"/>
  <c r="E98" i="8" s="1"/>
  <c r="E97" i="8" s="1"/>
  <c r="E96" i="8" s="1"/>
  <c r="E95" i="8" s="1"/>
  <c r="E94" i="8" s="1"/>
  <c r="E93" i="8" s="1"/>
  <c r="E92" i="8" s="1"/>
  <c r="E91" i="8" s="1"/>
  <c r="E90" i="8" s="1"/>
  <c r="E89" i="8" s="1"/>
  <c r="E88" i="8" s="1"/>
  <c r="E87" i="8" s="1"/>
  <c r="E86" i="8" s="1"/>
  <c r="E85" i="8" s="1"/>
  <c r="E84" i="8" s="1"/>
  <c r="E83" i="8" s="1"/>
  <c r="E82" i="8" s="1"/>
  <c r="E81" i="8" s="1"/>
  <c r="E80" i="8" s="1"/>
  <c r="E79" i="8" s="1"/>
  <c r="E78" i="8" s="1"/>
  <c r="E77" i="8" s="1"/>
  <c r="E76" i="8" s="1"/>
  <c r="E75" i="8" s="1"/>
  <c r="E74" i="8" s="1"/>
  <c r="E73" i="8" s="1"/>
  <c r="E72" i="8" s="1"/>
  <c r="E71" i="8" s="1"/>
  <c r="E70" i="8" s="1"/>
  <c r="E69" i="8" s="1"/>
  <c r="E68" i="8" s="1"/>
  <c r="E67" i="8" s="1"/>
  <c r="E66" i="8" s="1"/>
  <c r="E65" i="8" s="1"/>
  <c r="E64" i="8" s="1"/>
  <c r="E63" i="8" s="1"/>
  <c r="E62" i="8" s="1"/>
  <c r="E61" i="8" s="1"/>
  <c r="E60" i="8" s="1"/>
  <c r="E59" i="8" s="1"/>
  <c r="E58" i="8" s="1"/>
  <c r="E57" i="8" s="1"/>
  <c r="E56" i="8" s="1"/>
  <c r="E55" i="8" s="1"/>
  <c r="E54" i="8" s="1"/>
  <c r="E53" i="8" s="1"/>
  <c r="E52" i="8" s="1"/>
  <c r="E51" i="8" s="1"/>
  <c r="E50" i="8" s="1"/>
  <c r="E49" i="8" s="1"/>
  <c r="E48" i="8" s="1"/>
  <c r="E47" i="8" s="1"/>
  <c r="E46" i="8" s="1"/>
  <c r="E45" i="8" s="1"/>
  <c r="E44" i="8" s="1"/>
  <c r="E43" i="8" s="1"/>
  <c r="E42" i="8" s="1"/>
  <c r="E41" i="8" s="1"/>
  <c r="E40" i="8" s="1"/>
  <c r="E39" i="8" s="1"/>
  <c r="E38" i="8" s="1"/>
  <c r="E37" i="8" s="1"/>
  <c r="E36" i="8" s="1"/>
  <c r="E35" i="8" s="1"/>
  <c r="E34" i="8" s="1"/>
  <c r="E33" i="8" s="1"/>
  <c r="E32" i="8" s="1"/>
  <c r="E31" i="8" s="1"/>
  <c r="E30" i="8" s="1"/>
  <c r="E29" i="8" s="1"/>
  <c r="E28" i="8" s="1"/>
  <c r="E27" i="8" s="1"/>
  <c r="E26" i="8" s="1"/>
  <c r="E25" i="8" s="1"/>
  <c r="E24" i="8" s="1"/>
  <c r="E23" i="8" s="1"/>
  <c r="E22" i="8" s="1"/>
  <c r="E21" i="8" s="1"/>
  <c r="E20" i="8" s="1"/>
  <c r="E19" i="8" s="1"/>
  <c r="E18" i="8" s="1"/>
  <c r="E17" i="8" s="1"/>
  <c r="E16" i="8" s="1"/>
  <c r="E15" i="8" s="1"/>
  <c r="E14" i="8" s="1"/>
  <c r="E13" i="8" s="1"/>
  <c r="E12" i="8" s="1"/>
  <c r="E11" i="8" s="1"/>
  <c r="E10" i="8" s="1"/>
  <c r="E9" i="8" s="1"/>
  <c r="E8" i="8" s="1"/>
  <c r="E7" i="8" s="1"/>
  <c r="E6" i="8" s="1"/>
  <c r="E4" i="8" s="1"/>
  <c r="S31" i="8" s="1"/>
  <c r="C78" i="1" s="1"/>
  <c r="B76" i="1"/>
  <c r="D3" i="8"/>
  <c r="D159" i="8" s="1"/>
  <c r="D158" i="8" s="1"/>
  <c r="D157" i="8" s="1"/>
  <c r="D156" i="8" s="1"/>
  <c r="D155" i="8" s="1"/>
  <c r="D154" i="8" s="1"/>
  <c r="D153" i="8" s="1"/>
  <c r="D152" i="8" s="1"/>
  <c r="D151" i="8" s="1"/>
  <c r="D150" i="8" s="1"/>
  <c r="D149" i="8" s="1"/>
  <c r="D148" i="8" s="1"/>
  <c r="D147" i="8" s="1"/>
  <c r="D146" i="8" s="1"/>
  <c r="D145" i="8" s="1"/>
  <c r="D144" i="8" s="1"/>
  <c r="D143" i="8" s="1"/>
  <c r="D142" i="8" s="1"/>
  <c r="D141" i="8" s="1"/>
  <c r="D140" i="8" s="1"/>
  <c r="D139" i="8" s="1"/>
  <c r="D138" i="8" s="1"/>
  <c r="D137" i="8" s="1"/>
  <c r="D136" i="8" s="1"/>
  <c r="D135" i="8" s="1"/>
  <c r="D134" i="8" s="1"/>
  <c r="D133" i="8" s="1"/>
  <c r="D132" i="8" s="1"/>
  <c r="D131" i="8" s="1"/>
  <c r="D130" i="8" s="1"/>
  <c r="D129" i="8" s="1"/>
  <c r="D128" i="8" s="1"/>
  <c r="D127" i="8" s="1"/>
  <c r="D126" i="8" s="1"/>
  <c r="D125" i="8" s="1"/>
  <c r="D124" i="8" s="1"/>
  <c r="D123" i="8" s="1"/>
  <c r="D122" i="8" s="1"/>
  <c r="D121" i="8" s="1"/>
  <c r="D120" i="8" s="1"/>
  <c r="D119" i="8" s="1"/>
  <c r="D118" i="8" s="1"/>
  <c r="D117" i="8" s="1"/>
  <c r="D116" i="8" s="1"/>
  <c r="D115" i="8" s="1"/>
  <c r="D114" i="8" s="1"/>
  <c r="D113" i="8" s="1"/>
  <c r="D112" i="8" s="1"/>
  <c r="D111" i="8" s="1"/>
  <c r="D110" i="8" s="1"/>
  <c r="D109" i="8" s="1"/>
  <c r="D108" i="8" s="1"/>
  <c r="D107" i="8" s="1"/>
  <c r="D106" i="8" s="1"/>
  <c r="D105" i="8" s="1"/>
  <c r="D104" i="8" s="1"/>
  <c r="D103" i="8" s="1"/>
  <c r="D102" i="8" s="1"/>
  <c r="D101" i="8" s="1"/>
  <c r="D100" i="8" s="1"/>
  <c r="D99" i="8" s="1"/>
  <c r="D98" i="8" s="1"/>
  <c r="D97" i="8" s="1"/>
  <c r="D96" i="8" s="1"/>
  <c r="D95" i="8" s="1"/>
  <c r="D94" i="8" s="1"/>
  <c r="D93" i="8" s="1"/>
  <c r="D92" i="8" s="1"/>
  <c r="D91" i="8" s="1"/>
  <c r="D90" i="8" s="1"/>
  <c r="D89" i="8" s="1"/>
  <c r="D88" i="8" s="1"/>
  <c r="D87" i="8" s="1"/>
  <c r="D86" i="8" s="1"/>
  <c r="D85" i="8" s="1"/>
  <c r="D84" i="8" s="1"/>
  <c r="D83" i="8" s="1"/>
  <c r="D82" i="8" s="1"/>
  <c r="D81" i="8" s="1"/>
  <c r="D80" i="8" s="1"/>
  <c r="D79" i="8" s="1"/>
  <c r="D78" i="8" s="1"/>
  <c r="D77" i="8" s="1"/>
  <c r="D76" i="8" s="1"/>
  <c r="D75" i="8" s="1"/>
  <c r="D74" i="8" s="1"/>
  <c r="D73" i="8" s="1"/>
  <c r="D72" i="8" s="1"/>
  <c r="D71" i="8" s="1"/>
  <c r="D70" i="8" s="1"/>
  <c r="D69" i="8" s="1"/>
  <c r="D68" i="8" s="1"/>
  <c r="D67" i="8" s="1"/>
  <c r="D66" i="8" s="1"/>
  <c r="D65" i="8" s="1"/>
  <c r="D64" i="8" s="1"/>
  <c r="D63" i="8" s="1"/>
  <c r="D62" i="8" s="1"/>
  <c r="D61" i="8" s="1"/>
  <c r="D60" i="8" s="1"/>
  <c r="D59" i="8" s="1"/>
  <c r="D58" i="8" s="1"/>
  <c r="D57" i="8" s="1"/>
  <c r="D56" i="8" s="1"/>
  <c r="D55" i="8" s="1"/>
  <c r="D54" i="8" s="1"/>
  <c r="D53" i="8" s="1"/>
  <c r="D52" i="8" s="1"/>
  <c r="D51" i="8" s="1"/>
  <c r="D50" i="8" s="1"/>
  <c r="D49" i="8" s="1"/>
  <c r="D48" i="8" s="1"/>
  <c r="D47" i="8" s="1"/>
  <c r="D46" i="8" s="1"/>
  <c r="D45" i="8" s="1"/>
  <c r="D44" i="8" s="1"/>
  <c r="D43" i="8" s="1"/>
  <c r="D42" i="8" s="1"/>
  <c r="D41" i="8" s="1"/>
  <c r="D40" i="8" s="1"/>
  <c r="D39" i="8" s="1"/>
  <c r="D38" i="8" s="1"/>
  <c r="D37" i="8" s="1"/>
  <c r="D36" i="8" s="1"/>
  <c r="D35" i="8" s="1"/>
  <c r="D34" i="8" s="1"/>
  <c r="D33" i="8" s="1"/>
  <c r="D32" i="8" s="1"/>
  <c r="D31" i="8" s="1"/>
  <c r="D30" i="8" s="1"/>
  <c r="D29" i="8" s="1"/>
  <c r="D28" i="8" s="1"/>
  <c r="D27" i="8" s="1"/>
  <c r="D26" i="8" s="1"/>
  <c r="D25" i="8" s="1"/>
  <c r="D24" i="8" s="1"/>
  <c r="D23" i="8" s="1"/>
  <c r="D22" i="8" s="1"/>
  <c r="D21" i="8" s="1"/>
  <c r="D20" i="8" s="1"/>
  <c r="D19" i="8" s="1"/>
  <c r="D18" i="8" s="1"/>
  <c r="D17" i="8" s="1"/>
  <c r="D16" i="8" s="1"/>
  <c r="D15" i="8" s="1"/>
  <c r="D14" i="8" s="1"/>
  <c r="D13" i="8" s="1"/>
  <c r="D12" i="8" s="1"/>
  <c r="D11" i="8" s="1"/>
  <c r="D10" i="8" s="1"/>
  <c r="D9" i="8" s="1"/>
  <c r="D8" i="8" s="1"/>
  <c r="D7" i="8" s="1"/>
  <c r="D6" i="8" s="1"/>
  <c r="D4" i="8" s="1"/>
  <c r="S29" i="8" s="1"/>
  <c r="C76" i="1" s="1"/>
  <c r="D76" i="1" s="1"/>
  <c r="R30" i="8"/>
  <c r="R28" i="8"/>
  <c r="AQ41" i="3"/>
  <c r="AR41" i="3"/>
  <c r="A42" i="3"/>
  <c r="B41" i="3"/>
  <c r="D41" i="3"/>
  <c r="C41" i="3"/>
  <c r="G41" i="3"/>
  <c r="H41" i="3" s="1"/>
  <c r="F41" i="3"/>
  <c r="BN40" i="3"/>
  <c r="AO139" i="4" l="1"/>
  <c r="AQ139" i="4" s="1"/>
  <c r="AU139" i="4" s="1"/>
  <c r="AR132" i="4"/>
  <c r="AO79" i="4"/>
  <c r="AQ79" i="4" s="1"/>
  <c r="AU79" i="4" s="1"/>
  <c r="AR14" i="4"/>
  <c r="AO14" i="4"/>
  <c r="AQ14" i="4" s="1"/>
  <c r="AU14" i="4" s="1"/>
  <c r="AO42" i="4"/>
  <c r="AQ42" i="4" s="1"/>
  <c r="AU42" i="4" s="1"/>
  <c r="AR20" i="4"/>
  <c r="AO20" i="4"/>
  <c r="AQ20" i="4" s="1"/>
  <c r="AU20" i="4" s="1"/>
  <c r="AR32" i="4"/>
  <c r="AO32" i="4"/>
  <c r="AQ32" i="4" s="1"/>
  <c r="AU32" i="4" s="1"/>
  <c r="AR31" i="4"/>
  <c r="AO31" i="4"/>
  <c r="AQ31" i="4" s="1"/>
  <c r="AU31" i="4" s="1"/>
  <c r="AR69" i="4"/>
  <c r="AO69" i="4"/>
  <c r="AQ69" i="4" s="1"/>
  <c r="AU69" i="4" s="1"/>
  <c r="AR35" i="4"/>
  <c r="AO35" i="4"/>
  <c r="AQ35" i="4" s="1"/>
  <c r="AU35" i="4" s="1"/>
  <c r="AR61" i="4"/>
  <c r="AO61" i="4"/>
  <c r="AQ61" i="4" s="1"/>
  <c r="AU61" i="4" s="1"/>
  <c r="AR40" i="4"/>
  <c r="AO40" i="4"/>
  <c r="AQ40" i="4" s="1"/>
  <c r="AU40" i="4" s="1"/>
  <c r="AR54" i="4"/>
  <c r="AO54" i="4"/>
  <c r="AQ54" i="4" s="1"/>
  <c r="AU54" i="4" s="1"/>
  <c r="AR43" i="4"/>
  <c r="AO43" i="4"/>
  <c r="AQ43" i="4" s="1"/>
  <c r="AU43" i="4" s="1"/>
  <c r="AR72" i="4"/>
  <c r="AO72" i="4"/>
  <c r="AQ72" i="4" s="1"/>
  <c r="AU72" i="4" s="1"/>
  <c r="AR33" i="4"/>
  <c r="AO33" i="4"/>
  <c r="AQ33" i="4" s="1"/>
  <c r="AU33" i="4" s="1"/>
  <c r="AR10" i="4"/>
  <c r="AO10" i="4"/>
  <c r="AQ10" i="4" s="1"/>
  <c r="AU10" i="4" s="1"/>
  <c r="AR56" i="4"/>
  <c r="AO56" i="4"/>
  <c r="AQ56" i="4" s="1"/>
  <c r="AU56" i="4" s="1"/>
  <c r="AR74" i="4"/>
  <c r="AO74" i="4"/>
  <c r="AQ74" i="4" s="1"/>
  <c r="AU74" i="4" s="1"/>
  <c r="AR26" i="4"/>
  <c r="AO26" i="4"/>
  <c r="AQ26" i="4" s="1"/>
  <c r="AU26" i="4" s="1"/>
  <c r="AR23" i="4"/>
  <c r="AO23" i="4"/>
  <c r="AQ23" i="4" s="1"/>
  <c r="AU23" i="4" s="1"/>
  <c r="AR76" i="4"/>
  <c r="AO76" i="4"/>
  <c r="AQ76" i="4" s="1"/>
  <c r="AU76" i="4" s="1"/>
  <c r="AR46" i="4"/>
  <c r="AO46" i="4"/>
  <c r="AQ46" i="4" s="1"/>
  <c r="AU46" i="4" s="1"/>
  <c r="AR24" i="4"/>
  <c r="AO24" i="4"/>
  <c r="AQ24" i="4" s="1"/>
  <c r="AU24" i="4" s="1"/>
  <c r="AR66" i="4"/>
  <c r="AO66" i="4"/>
  <c r="AQ66" i="4" s="1"/>
  <c r="AU66" i="4" s="1"/>
  <c r="AR75" i="4"/>
  <c r="AO75" i="4"/>
  <c r="AQ75" i="4" s="1"/>
  <c r="AU75" i="4" s="1"/>
  <c r="AR27" i="4"/>
  <c r="AO27" i="4"/>
  <c r="AQ27" i="4" s="1"/>
  <c r="AU27" i="4" s="1"/>
  <c r="AR58" i="4"/>
  <c r="AO58" i="4"/>
  <c r="AQ58" i="4" s="1"/>
  <c r="AU58" i="4" s="1"/>
  <c r="AR63" i="4"/>
  <c r="AO63" i="4"/>
  <c r="AQ63" i="4" s="1"/>
  <c r="AU63" i="4" s="1"/>
  <c r="AR67" i="4"/>
  <c r="AO67" i="4"/>
  <c r="AQ67" i="4" s="1"/>
  <c r="AU67" i="4" s="1"/>
  <c r="AR71" i="4"/>
  <c r="AO71" i="4"/>
  <c r="AQ71" i="4" s="1"/>
  <c r="AU71" i="4" s="1"/>
  <c r="AR70" i="4"/>
  <c r="AO70" i="4"/>
  <c r="AQ70" i="4" s="1"/>
  <c r="AU70" i="4" s="1"/>
  <c r="AR53" i="4"/>
  <c r="AO53" i="4"/>
  <c r="AQ53" i="4" s="1"/>
  <c r="AU53" i="4" s="1"/>
  <c r="AR9" i="4"/>
  <c r="AO9" i="4"/>
  <c r="AQ9" i="4" s="1"/>
  <c r="AU9" i="4" s="1"/>
  <c r="AR11" i="4"/>
  <c r="AO11" i="4"/>
  <c r="AQ11" i="4" s="1"/>
  <c r="AU11" i="4" s="1"/>
  <c r="AR62" i="4"/>
  <c r="AO62" i="4"/>
  <c r="AQ62" i="4" s="1"/>
  <c r="AU62" i="4" s="1"/>
  <c r="AR80" i="4"/>
  <c r="AO80" i="4"/>
  <c r="AQ80" i="4" s="1"/>
  <c r="AU80" i="4" s="1"/>
  <c r="AR45" i="4"/>
  <c r="AO45" i="4"/>
  <c r="AQ45" i="4" s="1"/>
  <c r="AU45" i="4" s="1"/>
  <c r="AR57" i="4"/>
  <c r="AO57" i="4"/>
  <c r="AQ57" i="4" s="1"/>
  <c r="AU57" i="4" s="1"/>
  <c r="AR78" i="4"/>
  <c r="AO78" i="4"/>
  <c r="AQ78" i="4" s="1"/>
  <c r="AU78" i="4" s="1"/>
  <c r="AR25" i="4"/>
  <c r="AO25" i="4"/>
  <c r="AQ25" i="4" s="1"/>
  <c r="AU25" i="4" s="1"/>
  <c r="AR12" i="4"/>
  <c r="AO12" i="4"/>
  <c r="AQ12" i="4" s="1"/>
  <c r="AU12" i="4" s="1"/>
  <c r="AR48" i="4"/>
  <c r="AO48" i="4"/>
  <c r="AQ48" i="4" s="1"/>
  <c r="AU48" i="4" s="1"/>
  <c r="AR17" i="4"/>
  <c r="AO17" i="4"/>
  <c r="AQ17" i="4" s="1"/>
  <c r="AU17" i="4" s="1"/>
  <c r="AR49" i="4"/>
  <c r="AO49" i="4"/>
  <c r="AQ49" i="4" s="1"/>
  <c r="AU49" i="4" s="1"/>
  <c r="AR41" i="4"/>
  <c r="AO41" i="4"/>
  <c r="AQ41" i="4" s="1"/>
  <c r="AU41" i="4" s="1"/>
  <c r="AR73" i="4"/>
  <c r="AO73" i="4"/>
  <c r="AQ73" i="4" s="1"/>
  <c r="AU73" i="4" s="1"/>
  <c r="AR34" i="4"/>
  <c r="AO34" i="4"/>
  <c r="AQ34" i="4" s="1"/>
  <c r="AU34" i="4" s="1"/>
  <c r="AR36" i="4"/>
  <c r="AO36" i="4"/>
  <c r="AQ36" i="4" s="1"/>
  <c r="AU36" i="4" s="1"/>
  <c r="AR13" i="4"/>
  <c r="AO13" i="4"/>
  <c r="AQ13" i="4" s="1"/>
  <c r="AU13" i="4" s="1"/>
  <c r="AR22" i="4"/>
  <c r="AO22" i="4"/>
  <c r="AQ22" i="4" s="1"/>
  <c r="AU22" i="4" s="1"/>
  <c r="AR59" i="4"/>
  <c r="AO59" i="4"/>
  <c r="AQ59" i="4" s="1"/>
  <c r="AU59" i="4" s="1"/>
  <c r="AR16" i="4"/>
  <c r="AO16" i="4"/>
  <c r="AQ16" i="4" s="1"/>
  <c r="AU16" i="4" s="1"/>
  <c r="AR47" i="4"/>
  <c r="AO47" i="4"/>
  <c r="AQ47" i="4" s="1"/>
  <c r="AU47" i="4" s="1"/>
  <c r="AR44" i="4"/>
  <c r="AO44" i="4"/>
  <c r="AQ44" i="4" s="1"/>
  <c r="AU44" i="4" s="1"/>
  <c r="AR64" i="4"/>
  <c r="AO64" i="4"/>
  <c r="AQ64" i="4" s="1"/>
  <c r="AU64" i="4" s="1"/>
  <c r="AR21" i="4"/>
  <c r="AO21" i="4"/>
  <c r="AQ21" i="4" s="1"/>
  <c r="AU21" i="4" s="1"/>
  <c r="AR38" i="4"/>
  <c r="AO38" i="4"/>
  <c r="AQ38" i="4" s="1"/>
  <c r="AU38" i="4" s="1"/>
  <c r="AR28" i="4"/>
  <c r="AO28" i="4"/>
  <c r="AQ28" i="4" s="1"/>
  <c r="AU28" i="4" s="1"/>
  <c r="AR60" i="4"/>
  <c r="AO60" i="4"/>
  <c r="AQ60" i="4" s="1"/>
  <c r="AU60" i="4" s="1"/>
  <c r="AR77" i="4"/>
  <c r="AO77" i="4"/>
  <c r="AQ77" i="4" s="1"/>
  <c r="AU77" i="4" s="1"/>
  <c r="AR50" i="4"/>
  <c r="AO50" i="4"/>
  <c r="AQ50" i="4" s="1"/>
  <c r="AU50" i="4" s="1"/>
  <c r="AR51" i="4"/>
  <c r="AO51" i="4"/>
  <c r="AQ51" i="4" s="1"/>
  <c r="AU51" i="4" s="1"/>
  <c r="AR39" i="4"/>
  <c r="AO39" i="4"/>
  <c r="AQ39" i="4" s="1"/>
  <c r="AU39" i="4" s="1"/>
  <c r="AR55" i="4"/>
  <c r="AO55" i="4"/>
  <c r="AQ55" i="4" s="1"/>
  <c r="AU55" i="4" s="1"/>
  <c r="AR68" i="4"/>
  <c r="AO68" i="4"/>
  <c r="AQ68" i="4" s="1"/>
  <c r="AU68" i="4" s="1"/>
  <c r="AR18" i="4"/>
  <c r="AO18" i="4"/>
  <c r="AQ18" i="4" s="1"/>
  <c r="AU18" i="4" s="1"/>
  <c r="AR15" i="4"/>
  <c r="AO15" i="4"/>
  <c r="AQ15" i="4" s="1"/>
  <c r="AU15" i="4" s="1"/>
  <c r="AR29" i="4"/>
  <c r="AO29" i="4"/>
  <c r="AQ29" i="4" s="1"/>
  <c r="AU29" i="4" s="1"/>
  <c r="AR52" i="4"/>
  <c r="AO52" i="4"/>
  <c r="AQ52" i="4" s="1"/>
  <c r="AU52" i="4" s="1"/>
  <c r="AR19" i="4"/>
  <c r="AO19" i="4"/>
  <c r="AQ19" i="4" s="1"/>
  <c r="AU19" i="4" s="1"/>
  <c r="AR37" i="4"/>
  <c r="AO37" i="4"/>
  <c r="AQ37" i="4" s="1"/>
  <c r="AU37" i="4" s="1"/>
  <c r="AR30" i="4"/>
  <c r="AO30" i="4"/>
  <c r="AQ30" i="4" s="1"/>
  <c r="AU30" i="4" s="1"/>
  <c r="AO136" i="4"/>
  <c r="AQ136" i="4" s="1"/>
  <c r="AU136" i="4" s="1"/>
  <c r="AO184" i="4"/>
  <c r="AQ184" i="4" s="1"/>
  <c r="AU184" i="4" s="1"/>
  <c r="AR201" i="4"/>
  <c r="AO166" i="4"/>
  <c r="AQ166" i="4" s="1"/>
  <c r="AU166" i="4" s="1"/>
  <c r="AO149" i="4"/>
  <c r="AQ149" i="4" s="1"/>
  <c r="AU149" i="4" s="1"/>
  <c r="AO192" i="4"/>
  <c r="AQ192" i="4" s="1"/>
  <c r="AU192" i="4" s="1"/>
  <c r="AR121" i="4"/>
  <c r="AO170" i="4"/>
  <c r="AQ170" i="4" s="1"/>
  <c r="AU170" i="4" s="1"/>
  <c r="AR198" i="4"/>
  <c r="AO125" i="4"/>
  <c r="AQ125" i="4" s="1"/>
  <c r="AU125" i="4" s="1"/>
  <c r="AO186" i="4"/>
  <c r="AQ186" i="4" s="1"/>
  <c r="AU186" i="4" s="1"/>
  <c r="AO138" i="4"/>
  <c r="AQ138" i="4" s="1"/>
  <c r="AU138" i="4" s="1"/>
  <c r="AO188" i="4"/>
  <c r="AQ188" i="4" s="1"/>
  <c r="AU188" i="4" s="1"/>
  <c r="AO154" i="4"/>
  <c r="AQ154" i="4" s="1"/>
  <c r="AU154" i="4" s="1"/>
  <c r="AO183" i="4"/>
  <c r="AQ183" i="4" s="1"/>
  <c r="AU183" i="4" s="1"/>
  <c r="AR200" i="4"/>
  <c r="AO141" i="4"/>
  <c r="AQ141" i="4" s="1"/>
  <c r="AU141" i="4" s="1"/>
  <c r="AR127" i="4"/>
  <c r="AO150" i="4"/>
  <c r="AQ150" i="4" s="1"/>
  <c r="AU150" i="4" s="1"/>
  <c r="AO208" i="4"/>
  <c r="AQ208" i="4" s="1"/>
  <c r="AU208" i="4" s="1"/>
  <c r="AO118" i="4"/>
  <c r="AQ118" i="4" s="1"/>
  <c r="AU118" i="4" s="1"/>
  <c r="AO134" i="4"/>
  <c r="AQ134" i="4" s="1"/>
  <c r="AU134" i="4" s="1"/>
  <c r="AR179" i="4"/>
  <c r="AO119" i="4"/>
  <c r="AQ119" i="4" s="1"/>
  <c r="AU119" i="4" s="1"/>
  <c r="AO175" i="4"/>
  <c r="AQ175" i="4" s="1"/>
  <c r="AU175" i="4" s="1"/>
  <c r="AO129" i="4"/>
  <c r="AQ129" i="4" s="1"/>
  <c r="AU129" i="4" s="1"/>
  <c r="AO131" i="4"/>
  <c r="AQ131" i="4" s="1"/>
  <c r="AU131" i="4" s="1"/>
  <c r="AO202" i="4"/>
  <c r="AQ202" i="4" s="1"/>
  <c r="AU202" i="4" s="1"/>
  <c r="AO185" i="4"/>
  <c r="AQ185" i="4" s="1"/>
  <c r="AU185" i="4" s="1"/>
  <c r="AR171" i="4"/>
  <c r="AO164" i="4"/>
  <c r="AQ164" i="4" s="1"/>
  <c r="AU164" i="4" s="1"/>
  <c r="AO205" i="4"/>
  <c r="AQ205" i="4" s="1"/>
  <c r="AU205" i="4" s="1"/>
  <c r="AO152" i="4"/>
  <c r="AQ152" i="4" s="1"/>
  <c r="AU152" i="4" s="1"/>
  <c r="AO137" i="4"/>
  <c r="AQ137" i="4" s="1"/>
  <c r="AU137" i="4" s="1"/>
  <c r="AO196" i="4"/>
  <c r="AQ196" i="4" s="1"/>
  <c r="AU196" i="4" s="1"/>
  <c r="AO143" i="4"/>
  <c r="AQ143" i="4" s="1"/>
  <c r="AU143" i="4" s="1"/>
  <c r="AO204" i="4"/>
  <c r="AQ204" i="4" s="1"/>
  <c r="AU204" i="4" s="1"/>
  <c r="AO167" i="4"/>
  <c r="AQ167" i="4" s="1"/>
  <c r="AU167" i="4" s="1"/>
  <c r="AO120" i="4"/>
  <c r="AQ120" i="4" s="1"/>
  <c r="AU120" i="4" s="1"/>
  <c r="AO189" i="4"/>
  <c r="AQ189" i="4" s="1"/>
  <c r="AU189" i="4" s="1"/>
  <c r="AO147" i="4"/>
  <c r="AQ147" i="4" s="1"/>
  <c r="AU147" i="4" s="1"/>
  <c r="AO187" i="4"/>
  <c r="AQ187" i="4" s="1"/>
  <c r="AU187" i="4" s="1"/>
  <c r="AO160" i="4"/>
  <c r="AQ160" i="4" s="1"/>
  <c r="AU160" i="4" s="1"/>
  <c r="AO158" i="4"/>
  <c r="AQ158" i="4" s="1"/>
  <c r="AU158" i="4" s="1"/>
  <c r="AR136" i="4"/>
  <c r="AR193" i="4"/>
  <c r="AO178" i="4"/>
  <c r="AQ178" i="4" s="1"/>
  <c r="AU178" i="4" s="1"/>
  <c r="AO197" i="4"/>
  <c r="AQ197" i="4" s="1"/>
  <c r="AU197" i="4" s="1"/>
  <c r="AO199" i="4"/>
  <c r="AQ199" i="4" s="1"/>
  <c r="AU199" i="4" s="1"/>
  <c r="AR129" i="4"/>
  <c r="AO206" i="4"/>
  <c r="AQ206" i="4" s="1"/>
  <c r="AU206" i="4" s="1"/>
  <c r="AO142" i="4"/>
  <c r="AQ142" i="4" s="1"/>
  <c r="AU142" i="4" s="1"/>
  <c r="AR143" i="4"/>
  <c r="AO162" i="4"/>
  <c r="AQ162" i="4" s="1"/>
  <c r="AU162" i="4" s="1"/>
  <c r="AR175" i="4"/>
  <c r="AO97" i="4"/>
  <c r="AQ97" i="4" s="1"/>
  <c r="AU97" i="4" s="1"/>
  <c r="AO92" i="4"/>
  <c r="AQ92" i="4" s="1"/>
  <c r="AU92" i="4" s="1"/>
  <c r="AO146" i="4"/>
  <c r="AQ146" i="4" s="1"/>
  <c r="AU146" i="4" s="1"/>
  <c r="AO163" i="4"/>
  <c r="AQ163" i="4" s="1"/>
  <c r="AU163" i="4" s="1"/>
  <c r="AO107" i="4"/>
  <c r="AQ107" i="4" s="1"/>
  <c r="AU107" i="4" s="1"/>
  <c r="AO155" i="4"/>
  <c r="AQ155" i="4" s="1"/>
  <c r="AU155" i="4" s="1"/>
  <c r="AO174" i="4"/>
  <c r="AQ174" i="4" s="1"/>
  <c r="AU174" i="4" s="1"/>
  <c r="AO181" i="4"/>
  <c r="AQ181" i="4" s="1"/>
  <c r="AU181" i="4" s="1"/>
  <c r="AO81" i="4"/>
  <c r="AQ81" i="4" s="1"/>
  <c r="AU81" i="4" s="1"/>
  <c r="AO117" i="4"/>
  <c r="AQ117" i="4" s="1"/>
  <c r="AU117" i="4" s="1"/>
  <c r="AO91" i="4"/>
  <c r="AQ91" i="4" s="1"/>
  <c r="AU91" i="4" s="1"/>
  <c r="AO191" i="4"/>
  <c r="AQ191" i="4" s="1"/>
  <c r="AU191" i="4" s="1"/>
  <c r="AO209" i="4"/>
  <c r="AQ209" i="4" s="1"/>
  <c r="AU209" i="4" s="1"/>
  <c r="B308" i="2" s="1"/>
  <c r="AO114" i="4"/>
  <c r="AQ114" i="4" s="1"/>
  <c r="AU114" i="4" s="1"/>
  <c r="AO94" i="4"/>
  <c r="AQ94" i="4" s="1"/>
  <c r="AU94" i="4" s="1"/>
  <c r="AO190" i="4"/>
  <c r="AQ190" i="4" s="1"/>
  <c r="AU190" i="4" s="1"/>
  <c r="AR42" i="4"/>
  <c r="AO93" i="4"/>
  <c r="AQ93" i="4" s="1"/>
  <c r="AU93" i="4" s="1"/>
  <c r="AO84" i="4"/>
  <c r="AQ84" i="4" s="1"/>
  <c r="AU84" i="4" s="1"/>
  <c r="AR158" i="4"/>
  <c r="AO88" i="4"/>
  <c r="AQ88" i="4" s="1"/>
  <c r="AU88" i="4" s="1"/>
  <c r="AO99" i="4"/>
  <c r="AQ99" i="4" s="1"/>
  <c r="AU99" i="4" s="1"/>
  <c r="AO156" i="4"/>
  <c r="AQ156" i="4" s="1"/>
  <c r="AU156" i="4" s="1"/>
  <c r="AO89" i="4"/>
  <c r="AQ89" i="4" s="1"/>
  <c r="AU89" i="4" s="1"/>
  <c r="AO195" i="4"/>
  <c r="AQ195" i="4" s="1"/>
  <c r="AU195" i="4" s="1"/>
  <c r="AO148" i="4"/>
  <c r="AQ148" i="4" s="1"/>
  <c r="AU148" i="4" s="1"/>
  <c r="AO112" i="4"/>
  <c r="AQ112" i="4" s="1"/>
  <c r="AU112" i="4" s="1"/>
  <c r="AO109" i="4"/>
  <c r="AQ109" i="4" s="1"/>
  <c r="AU109" i="4" s="1"/>
  <c r="B309" i="2" s="1"/>
  <c r="AO85" i="4"/>
  <c r="AQ85" i="4" s="1"/>
  <c r="AU85" i="4" s="1"/>
  <c r="AO108" i="4"/>
  <c r="AQ108" i="4" s="1"/>
  <c r="AU108" i="4" s="1"/>
  <c r="AO82" i="4"/>
  <c r="AQ82" i="4" s="1"/>
  <c r="AU82" i="4" s="1"/>
  <c r="AO86" i="4"/>
  <c r="AQ86" i="4" s="1"/>
  <c r="AU86" i="4" s="1"/>
  <c r="AO180" i="4"/>
  <c r="AQ180" i="4" s="1"/>
  <c r="AU180" i="4" s="1"/>
  <c r="AO135" i="4"/>
  <c r="AQ135" i="4" s="1"/>
  <c r="AU135" i="4" s="1"/>
  <c r="AO203" i="4"/>
  <c r="AQ203" i="4" s="1"/>
  <c r="AU203" i="4" s="1"/>
  <c r="AO98" i="4"/>
  <c r="AQ98" i="4" s="1"/>
  <c r="AU98" i="4" s="1"/>
  <c r="AO90" i="4"/>
  <c r="AQ90" i="4" s="1"/>
  <c r="AU90" i="4" s="1"/>
  <c r="AO105" i="4"/>
  <c r="AQ105" i="4" s="1"/>
  <c r="AU105" i="4" s="1"/>
  <c r="AO101" i="4"/>
  <c r="AQ101" i="4" s="1"/>
  <c r="AU101" i="4" s="1"/>
  <c r="AO144" i="4"/>
  <c r="AQ144" i="4" s="1"/>
  <c r="AU144" i="4" s="1"/>
  <c r="AR149" i="4"/>
  <c r="AO87" i="4"/>
  <c r="AQ87" i="4" s="1"/>
  <c r="AU87" i="4" s="1"/>
  <c r="AS17" i="4"/>
  <c r="AR79" i="4"/>
  <c r="AO95" i="4"/>
  <c r="AQ95" i="4" s="1"/>
  <c r="AU95" i="4" s="1"/>
  <c r="AO83" i="4"/>
  <c r="AQ83" i="4" s="1"/>
  <c r="AU83" i="4" s="1"/>
  <c r="AO106" i="4"/>
  <c r="AQ106" i="4" s="1"/>
  <c r="AU106" i="4" s="1"/>
  <c r="AG65" i="4"/>
  <c r="AS65" i="4" s="1"/>
  <c r="AO145" i="4"/>
  <c r="AQ145" i="4" s="1"/>
  <c r="AU145" i="4" s="1"/>
  <c r="AO96" i="4"/>
  <c r="AQ96" i="4" s="1"/>
  <c r="AU96" i="4" s="1"/>
  <c r="AO102" i="4"/>
  <c r="AQ102" i="4" s="1"/>
  <c r="AU102" i="4" s="1"/>
  <c r="AO176" i="4"/>
  <c r="AQ176" i="4" s="1"/>
  <c r="AU176" i="4" s="1"/>
  <c r="AC65" i="4"/>
  <c r="AO100" i="4"/>
  <c r="AQ100" i="4" s="1"/>
  <c r="AU100" i="4" s="1"/>
  <c r="AR167" i="4"/>
  <c r="AO104" i="4"/>
  <c r="AQ104" i="4" s="1"/>
  <c r="AU104" i="4" s="1"/>
  <c r="AO103" i="4"/>
  <c r="AQ103" i="4" s="1"/>
  <c r="AU103" i="4" s="1"/>
  <c r="AO110" i="4"/>
  <c r="AQ110" i="4" s="1"/>
  <c r="AU110" i="4" s="1"/>
  <c r="AO182" i="4"/>
  <c r="AQ182" i="4" s="1"/>
  <c r="AU182" i="4" s="1"/>
  <c r="AR137" i="4"/>
  <c r="AO133" i="4"/>
  <c r="AQ133" i="4" s="1"/>
  <c r="AU133" i="4" s="1"/>
  <c r="AO177" i="4"/>
  <c r="AQ177" i="4" s="1"/>
  <c r="AU177" i="4" s="1"/>
  <c r="AO173" i="4"/>
  <c r="AQ173" i="4" s="1"/>
  <c r="AU173" i="4" s="1"/>
  <c r="AO122" i="4"/>
  <c r="AQ122" i="4" s="1"/>
  <c r="AU122" i="4" s="1"/>
  <c r="AR164" i="4"/>
  <c r="AR131" i="4"/>
  <c r="AO128" i="4"/>
  <c r="AQ128" i="4" s="1"/>
  <c r="AU128" i="4" s="1"/>
  <c r="AR152" i="4"/>
  <c r="AO140" i="4"/>
  <c r="AQ140" i="4" s="1"/>
  <c r="AU140" i="4" s="1"/>
  <c r="AR185" i="4"/>
  <c r="AR159" i="4"/>
  <c r="AO159" i="4"/>
  <c r="AQ159" i="4" s="1"/>
  <c r="AU159" i="4" s="1"/>
  <c r="AR202" i="4"/>
  <c r="AO115" i="4"/>
  <c r="AQ115" i="4" s="1"/>
  <c r="AU115" i="4" s="1"/>
  <c r="AO169" i="4"/>
  <c r="AQ169" i="4" s="1"/>
  <c r="AU169" i="4" s="1"/>
  <c r="AO172" i="4"/>
  <c r="AQ172" i="4" s="1"/>
  <c r="AU172" i="4" s="1"/>
  <c r="AR120" i="4"/>
  <c r="AO124" i="4"/>
  <c r="AQ124" i="4" s="1"/>
  <c r="AU124" i="4" s="1"/>
  <c r="AO116" i="4"/>
  <c r="AQ116" i="4" s="1"/>
  <c r="AU116" i="4" s="1"/>
  <c r="AO153" i="4"/>
  <c r="AQ153" i="4" s="1"/>
  <c r="AU153" i="4" s="1"/>
  <c r="AO207" i="4"/>
  <c r="AQ207" i="4" s="1"/>
  <c r="AU207" i="4" s="1"/>
  <c r="AO151" i="4"/>
  <c r="AQ151" i="4" s="1"/>
  <c r="AU151" i="4" s="1"/>
  <c r="AO157" i="4"/>
  <c r="AQ157" i="4" s="1"/>
  <c r="AU157" i="4" s="1"/>
  <c r="AR123" i="4"/>
  <c r="AO123" i="4"/>
  <c r="AQ123" i="4" s="1"/>
  <c r="AU123" i="4" s="1"/>
  <c r="AR126" i="4"/>
  <c r="AO126" i="4"/>
  <c r="AQ126" i="4" s="1"/>
  <c r="AU126" i="4" s="1"/>
  <c r="AR168" i="4"/>
  <c r="AO168" i="4"/>
  <c r="AQ168" i="4" s="1"/>
  <c r="AU168" i="4" s="1"/>
  <c r="AR161" i="4"/>
  <c r="AO161" i="4"/>
  <c r="AQ161" i="4" s="1"/>
  <c r="AU161" i="4" s="1"/>
  <c r="AR130" i="4"/>
  <c r="AO130" i="4"/>
  <c r="AQ130" i="4" s="1"/>
  <c r="AU130" i="4" s="1"/>
  <c r="AR194" i="4"/>
  <c r="AO194" i="4"/>
  <c r="AQ194" i="4" s="1"/>
  <c r="AU194" i="4" s="1"/>
  <c r="AR165" i="4"/>
  <c r="AO165" i="4"/>
  <c r="AQ165" i="4" s="1"/>
  <c r="AU165" i="4" s="1"/>
  <c r="AR113" i="4"/>
  <c r="AO113" i="4"/>
  <c r="AQ113" i="4" s="1"/>
  <c r="AU113" i="4" s="1"/>
  <c r="H3" i="8"/>
  <c r="R23" i="8"/>
  <c r="R13" i="8"/>
  <c r="B66" i="2"/>
  <c r="BM41" i="3"/>
  <c r="B253" i="2"/>
  <c r="C41" i="16"/>
  <c r="D41" i="16" s="1"/>
  <c r="C40" i="16"/>
  <c r="D40" i="16" s="1"/>
  <c r="B140" i="2"/>
  <c r="B256" i="2"/>
  <c r="BN41" i="3"/>
  <c r="R29" i="8"/>
  <c r="R31" i="8"/>
  <c r="AQ42" i="3"/>
  <c r="B42" i="3"/>
  <c r="A43" i="3"/>
  <c r="AR42" i="3"/>
  <c r="C42" i="3"/>
  <c r="D42" i="3"/>
  <c r="G42" i="3"/>
  <c r="H42" i="3" s="1"/>
  <c r="F42" i="3"/>
  <c r="AR65" i="4" l="1"/>
  <c r="AO65" i="4"/>
  <c r="AQ65" i="4" s="1"/>
  <c r="AU65" i="4" s="1"/>
  <c r="A254" i="2"/>
  <c r="B254" i="2"/>
  <c r="AD33" i="3"/>
  <c r="B141" i="2"/>
  <c r="AE29" i="3" s="1"/>
  <c r="B143" i="2"/>
  <c r="AK19" i="3" s="1"/>
  <c r="AD22" i="3"/>
  <c r="AD16" i="3"/>
  <c r="AD17" i="3"/>
  <c r="AD34" i="3"/>
  <c r="AD36" i="3"/>
  <c r="AD11" i="3"/>
  <c r="AD42" i="3"/>
  <c r="AD12" i="3"/>
  <c r="AD23" i="3"/>
  <c r="AD14" i="3"/>
  <c r="AD29" i="3"/>
  <c r="AD683" i="3"/>
  <c r="AD25" i="3"/>
  <c r="AD18" i="3"/>
  <c r="AD37" i="3"/>
  <c r="AD9" i="3"/>
  <c r="AD19" i="3"/>
  <c r="AD32" i="3"/>
  <c r="AD31" i="3"/>
  <c r="B149" i="2"/>
  <c r="P41" i="3" s="1"/>
  <c r="AD21" i="3"/>
  <c r="AD20" i="3"/>
  <c r="AD13" i="3"/>
  <c r="AD39" i="3"/>
  <c r="AD35" i="3"/>
  <c r="AD10" i="3"/>
  <c r="AD28" i="3"/>
  <c r="AD24" i="3"/>
  <c r="AD38" i="3"/>
  <c r="AD26" i="3"/>
  <c r="AD682" i="3"/>
  <c r="AD27" i="3"/>
  <c r="AD30" i="3"/>
  <c r="AD15" i="3"/>
  <c r="AD41" i="3"/>
  <c r="AD40" i="3"/>
  <c r="BM42" i="3"/>
  <c r="BN42" i="3"/>
  <c r="AQ43" i="3"/>
  <c r="AR43" i="3"/>
  <c r="A44" i="3"/>
  <c r="B43" i="3"/>
  <c r="C43" i="3"/>
  <c r="D43" i="3"/>
  <c r="AD43" i="3"/>
  <c r="G43" i="3"/>
  <c r="H43" i="3" s="1"/>
  <c r="F43" i="3"/>
  <c r="AK12" i="3" l="1"/>
  <c r="AM42" i="3"/>
  <c r="AF26" i="3"/>
  <c r="AK16" i="3"/>
  <c r="AF35" i="3"/>
  <c r="AF21" i="3"/>
  <c r="O27" i="3"/>
  <c r="AF33" i="3"/>
  <c r="AF30" i="3"/>
  <c r="AE37" i="3"/>
  <c r="AE43" i="3"/>
  <c r="AE41" i="3"/>
  <c r="AF9" i="3"/>
  <c r="O41" i="3"/>
  <c r="O13" i="3"/>
  <c r="P22" i="3"/>
  <c r="O683" i="3"/>
  <c r="M682" i="3"/>
  <c r="P26" i="3"/>
  <c r="P14" i="3"/>
  <c r="P36" i="3"/>
  <c r="A257" i="2"/>
  <c r="AK30" i="3"/>
  <c r="AE12" i="3"/>
  <c r="AF13" i="3"/>
  <c r="AE15" i="3"/>
  <c r="M19" i="3"/>
  <c r="P42" i="3"/>
  <c r="O12" i="3"/>
  <c r="O28" i="3"/>
  <c r="P17" i="3"/>
  <c r="O23" i="3"/>
  <c r="P15" i="3"/>
  <c r="P16" i="3"/>
  <c r="P682" i="3"/>
  <c r="AF38" i="3"/>
  <c r="AF27" i="3"/>
  <c r="AE38" i="3"/>
  <c r="M24" i="3"/>
  <c r="AE10" i="3"/>
  <c r="M26" i="3"/>
  <c r="M43" i="3"/>
  <c r="AE18" i="3"/>
  <c r="AF12" i="3"/>
  <c r="AF23" i="3"/>
  <c r="AF29" i="3"/>
  <c r="AG29" i="3" s="1"/>
  <c r="AF17" i="3"/>
  <c r="AE40" i="3"/>
  <c r="AF22" i="3"/>
  <c r="AF37" i="3"/>
  <c r="AF683" i="3"/>
  <c r="AF24" i="3"/>
  <c r="AF16" i="3"/>
  <c r="B152" i="2"/>
  <c r="V42" i="3" s="1"/>
  <c r="AE23" i="3"/>
  <c r="M25" i="3"/>
  <c r="M31" i="3"/>
  <c r="AE11" i="3"/>
  <c r="M28" i="3"/>
  <c r="M37" i="3"/>
  <c r="M11" i="3"/>
  <c r="M36" i="3"/>
  <c r="AF39" i="3"/>
  <c r="AE27" i="3"/>
  <c r="AE14" i="3"/>
  <c r="M34" i="3"/>
  <c r="AE20" i="3"/>
  <c r="M23" i="3"/>
  <c r="M38" i="3"/>
  <c r="AE42" i="3"/>
  <c r="M27" i="3"/>
  <c r="P20" i="3"/>
  <c r="P21" i="3"/>
  <c r="O32" i="3"/>
  <c r="P24" i="3"/>
  <c r="P35" i="3"/>
  <c r="O38" i="3"/>
  <c r="O10" i="3"/>
  <c r="O30" i="3"/>
  <c r="O35" i="3"/>
  <c r="P40" i="3"/>
  <c r="O24" i="3"/>
  <c r="P37" i="3"/>
  <c r="P23" i="3"/>
  <c r="O9" i="3"/>
  <c r="O37" i="3"/>
  <c r="O36" i="3"/>
  <c r="O16" i="3"/>
  <c r="O25" i="3"/>
  <c r="P13" i="3"/>
  <c r="O42" i="3"/>
  <c r="AM39" i="3"/>
  <c r="B151" i="2"/>
  <c r="T42" i="3" s="1"/>
  <c r="AM29" i="3"/>
  <c r="AM24" i="3"/>
  <c r="AM37" i="3"/>
  <c r="AK43" i="3"/>
  <c r="AM27" i="3"/>
  <c r="AM682" i="3"/>
  <c r="AK11" i="3"/>
  <c r="AK23" i="3"/>
  <c r="AM26" i="3"/>
  <c r="AK32" i="3"/>
  <c r="AM17" i="3"/>
  <c r="AK33" i="3"/>
  <c r="AK29" i="3"/>
  <c r="AK41" i="3"/>
  <c r="AM20" i="3"/>
  <c r="AK21" i="3"/>
  <c r="AM15" i="3"/>
  <c r="AK15" i="3"/>
  <c r="AM31" i="3"/>
  <c r="AM11" i="3"/>
  <c r="AM683" i="3"/>
  <c r="AK17" i="3"/>
  <c r="AK682" i="3"/>
  <c r="AM30" i="3"/>
  <c r="AK14" i="3"/>
  <c r="AK27" i="3"/>
  <c r="AK22" i="3"/>
  <c r="AK26" i="3"/>
  <c r="AK20" i="3"/>
  <c r="AK31" i="3"/>
  <c r="AM28" i="3"/>
  <c r="AK38" i="3"/>
  <c r="AM43" i="3"/>
  <c r="AK39" i="3"/>
  <c r="AM38" i="3"/>
  <c r="AM23" i="3"/>
  <c r="AM16" i="3"/>
  <c r="AM19" i="3"/>
  <c r="AN19" i="3" s="1"/>
  <c r="AK24" i="3"/>
  <c r="AM41" i="3"/>
  <c r="AK28" i="3"/>
  <c r="AK36" i="3"/>
  <c r="AM18" i="3"/>
  <c r="AM13" i="3"/>
  <c r="AK34" i="3"/>
  <c r="B257" i="2"/>
  <c r="AM40" i="3"/>
  <c r="AK683" i="3"/>
  <c r="AM21" i="3"/>
  <c r="AK9" i="3"/>
  <c r="B150" i="2"/>
  <c r="R42" i="3" s="1"/>
  <c r="AM12" i="3"/>
  <c r="AK25" i="3"/>
  <c r="AK13" i="3"/>
  <c r="AK37" i="3"/>
  <c r="AM10" i="3"/>
  <c r="AM9" i="3"/>
  <c r="AM34" i="3"/>
  <c r="AK42" i="3"/>
  <c r="AM33" i="3"/>
  <c r="AK40" i="3"/>
  <c r="AM14" i="3"/>
  <c r="AM22" i="3"/>
  <c r="AK35" i="3"/>
  <c r="AM25" i="3"/>
  <c r="AM32" i="3"/>
  <c r="AM35" i="3"/>
  <c r="AM36" i="3"/>
  <c r="AK10" i="3"/>
  <c r="AK18" i="3"/>
  <c r="AE683" i="3"/>
  <c r="AE24" i="3"/>
  <c r="AE21" i="3"/>
  <c r="AE22" i="3"/>
  <c r="AE9" i="3"/>
  <c r="M41" i="3"/>
  <c r="O39" i="3"/>
  <c r="P43" i="3"/>
  <c r="AF43" i="3"/>
  <c r="O43" i="3"/>
  <c r="AE30" i="3"/>
  <c r="AE31" i="3"/>
  <c r="AF28" i="3"/>
  <c r="B255" i="2"/>
  <c r="AF15" i="3"/>
  <c r="AF11" i="3"/>
  <c r="AF32" i="3"/>
  <c r="AF34" i="3"/>
  <c r="AF18" i="3"/>
  <c r="AF25" i="3"/>
  <c r="AF682" i="3"/>
  <c r="AE682" i="3"/>
  <c r="AE34" i="3"/>
  <c r="AF19" i="3"/>
  <c r="AF14" i="3"/>
  <c r="AF10" i="3"/>
  <c r="AF36" i="3"/>
  <c r="M40" i="3"/>
  <c r="AE26" i="3"/>
  <c r="A255" i="2"/>
  <c r="AF31" i="3"/>
  <c r="AF40" i="3"/>
  <c r="P31" i="3"/>
  <c r="F74" i="1"/>
  <c r="P9" i="3"/>
  <c r="AF20" i="3"/>
  <c r="O29" i="3"/>
  <c r="P19" i="3"/>
  <c r="O22" i="3"/>
  <c r="O21" i="3"/>
  <c r="O20" i="3"/>
  <c r="O19" i="3"/>
  <c r="P11" i="3"/>
  <c r="P27" i="3"/>
  <c r="P28" i="3"/>
  <c r="P32" i="3"/>
  <c r="P18" i="3"/>
  <c r="O15" i="3"/>
  <c r="O11" i="3"/>
  <c r="O31" i="3"/>
  <c r="O682" i="3"/>
  <c r="P683" i="3"/>
  <c r="AE39" i="3"/>
  <c r="AE32" i="3"/>
  <c r="AE17" i="3"/>
  <c r="AE13" i="3"/>
  <c r="AE25" i="3"/>
  <c r="M14" i="3"/>
  <c r="M35" i="3"/>
  <c r="M13" i="3"/>
  <c r="M29" i="3"/>
  <c r="AE16" i="3"/>
  <c r="M39" i="3"/>
  <c r="M15" i="3"/>
  <c r="M22" i="3"/>
  <c r="M10" i="3"/>
  <c r="M21" i="3"/>
  <c r="M42" i="3"/>
  <c r="P29" i="3"/>
  <c r="O33" i="3"/>
  <c r="P10" i="3"/>
  <c r="O14" i="3"/>
  <c r="P30" i="3"/>
  <c r="O17" i="3"/>
  <c r="O18" i="3"/>
  <c r="P12" i="3"/>
  <c r="O26" i="3"/>
  <c r="O40" i="3"/>
  <c r="AE35" i="3"/>
  <c r="AE19" i="3"/>
  <c r="M20" i="3"/>
  <c r="M18" i="3"/>
  <c r="AE28" i="3"/>
  <c r="M9" i="3"/>
  <c r="M12" i="3"/>
  <c r="P25" i="3"/>
  <c r="P38" i="3"/>
  <c r="P33" i="3"/>
  <c r="P39" i="3"/>
  <c r="AE36" i="3"/>
  <c r="M32" i="3"/>
  <c r="M30" i="3"/>
  <c r="P34" i="3"/>
  <c r="O34" i="3"/>
  <c r="M17" i="3"/>
  <c r="M16" i="3"/>
  <c r="M33" i="3"/>
  <c r="M683" i="3"/>
  <c r="AF42" i="3"/>
  <c r="AF41" i="3"/>
  <c r="AE33" i="3"/>
  <c r="AG33" i="3" s="1"/>
  <c r="A684" i="3"/>
  <c r="AF684" i="3" s="1"/>
  <c r="BN43" i="3"/>
  <c r="BM43" i="3"/>
  <c r="AR44" i="3"/>
  <c r="B44" i="3"/>
  <c r="AQ44" i="3"/>
  <c r="A45" i="3"/>
  <c r="C44" i="3"/>
  <c r="AM44" i="3"/>
  <c r="AK44" i="3"/>
  <c r="AD44" i="3"/>
  <c r="O44" i="3"/>
  <c r="AF44" i="3"/>
  <c r="AE44" i="3"/>
  <c r="M44" i="3"/>
  <c r="P44" i="3"/>
  <c r="F44" i="3"/>
  <c r="D44" i="3"/>
  <c r="G44" i="3"/>
  <c r="H44" i="3" s="1"/>
  <c r="AH42" i="3" l="1"/>
  <c r="AG19" i="3"/>
  <c r="AG20" i="3"/>
  <c r="AG16" i="3"/>
  <c r="AH15" i="3"/>
  <c r="AO29" i="3"/>
  <c r="AN25" i="3"/>
  <c r="AN22" i="3"/>
  <c r="AO12" i="3"/>
  <c r="T38" i="3"/>
  <c r="T27" i="3"/>
  <c r="T26" i="3"/>
  <c r="F76" i="1"/>
  <c r="T20" i="3"/>
  <c r="T37" i="3"/>
  <c r="T40" i="3"/>
  <c r="T33" i="3"/>
  <c r="S28" i="3"/>
  <c r="AH9" i="3"/>
  <c r="S44" i="3"/>
  <c r="S10" i="3"/>
  <c r="S13" i="3"/>
  <c r="S17" i="3"/>
  <c r="T18" i="3"/>
  <c r="S11" i="3"/>
  <c r="AG13" i="3"/>
  <c r="AH23" i="3"/>
  <c r="S34" i="3"/>
  <c r="T30" i="3"/>
  <c r="T14" i="3"/>
  <c r="T23" i="3"/>
  <c r="S43" i="3"/>
  <c r="V34" i="3"/>
  <c r="V682" i="3"/>
  <c r="AN43" i="3"/>
  <c r="AO682" i="3"/>
  <c r="AG683" i="3"/>
  <c r="AO24" i="3"/>
  <c r="AN682" i="3"/>
  <c r="R14" i="3"/>
  <c r="R24" i="3"/>
  <c r="Q10" i="3"/>
  <c r="R31" i="3"/>
  <c r="R11" i="3"/>
  <c r="R43" i="3"/>
  <c r="Q41" i="3"/>
  <c r="AN41" i="3"/>
  <c r="AH12" i="3"/>
  <c r="AO16" i="3"/>
  <c r="AN36" i="3"/>
  <c r="Q23" i="3"/>
  <c r="Q21" i="3"/>
  <c r="AO39" i="3"/>
  <c r="AN17" i="3"/>
  <c r="AG38" i="3"/>
  <c r="AH24" i="3"/>
  <c r="AN26" i="3"/>
  <c r="AO11" i="3"/>
  <c r="AG28" i="3"/>
  <c r="AO13" i="3"/>
  <c r="AN27" i="3"/>
  <c r="AO40" i="3"/>
  <c r="AO28" i="3"/>
  <c r="S42" i="3"/>
  <c r="AG23" i="3"/>
  <c r="AO42" i="3"/>
  <c r="U40" i="3"/>
  <c r="V33" i="3"/>
  <c r="V29" i="3"/>
  <c r="V37" i="3"/>
  <c r="AH35" i="3"/>
  <c r="AG26" i="3"/>
  <c r="AH25" i="3"/>
  <c r="AG18" i="3"/>
  <c r="Q684" i="3"/>
  <c r="AN16" i="3"/>
  <c r="Y42" i="3"/>
  <c r="Z42" i="3" s="1"/>
  <c r="AO17" i="3"/>
  <c r="AN9" i="3"/>
  <c r="Q35" i="3"/>
  <c r="R38" i="3"/>
  <c r="Q20" i="3"/>
  <c r="Q683" i="3"/>
  <c r="R10" i="3"/>
  <c r="Q13" i="3"/>
  <c r="R41" i="3"/>
  <c r="Q26" i="3"/>
  <c r="R17" i="3"/>
  <c r="AN35" i="3"/>
  <c r="AN34" i="3"/>
  <c r="AN683" i="3"/>
  <c r="AO23" i="3"/>
  <c r="AO30" i="3"/>
  <c r="AO15" i="3"/>
  <c r="AH29" i="3"/>
  <c r="AU29" i="3" s="1"/>
  <c r="U24" i="3"/>
  <c r="U21" i="3"/>
  <c r="V28" i="3"/>
  <c r="U682" i="3"/>
  <c r="AH38" i="3"/>
  <c r="V31" i="3"/>
  <c r="V15" i="3"/>
  <c r="U26" i="3"/>
  <c r="V10" i="3"/>
  <c r="U20" i="3"/>
  <c r="U28" i="3"/>
  <c r="V32" i="3"/>
  <c r="U10" i="3"/>
  <c r="AD684" i="3"/>
  <c r="AO21" i="3"/>
  <c r="AG37" i="3"/>
  <c r="V44" i="3"/>
  <c r="AH26" i="3"/>
  <c r="U42" i="3"/>
  <c r="V14" i="3"/>
  <c r="V11" i="3"/>
  <c r="U19" i="3"/>
  <c r="V38" i="3"/>
  <c r="V36" i="3"/>
  <c r="U36" i="3"/>
  <c r="U31" i="3"/>
  <c r="V39" i="3"/>
  <c r="V35" i="3"/>
  <c r="U30" i="3"/>
  <c r="U14" i="3"/>
  <c r="U29" i="3"/>
  <c r="V21" i="3"/>
  <c r="V16" i="3"/>
  <c r="V43" i="3"/>
  <c r="U25" i="3"/>
  <c r="AN11" i="3"/>
  <c r="AO19" i="3"/>
  <c r="AN12" i="3"/>
  <c r="V12" i="3"/>
  <c r="AO26" i="3"/>
  <c r="AO27" i="3"/>
  <c r="AH33" i="3"/>
  <c r="AT33" i="3" s="1"/>
  <c r="AO41" i="3"/>
  <c r="AN39" i="3"/>
  <c r="AG12" i="3"/>
  <c r="AH37" i="3"/>
  <c r="U44" i="3"/>
  <c r="V27" i="3"/>
  <c r="U23" i="3"/>
  <c r="U12" i="3"/>
  <c r="U35" i="3"/>
  <c r="U33" i="3"/>
  <c r="V25" i="3"/>
  <c r="U18" i="3"/>
  <c r="U16" i="3"/>
  <c r="A687" i="3"/>
  <c r="AR687" i="3" s="1"/>
  <c r="U13" i="3"/>
  <c r="U27" i="3"/>
  <c r="V22" i="3"/>
  <c r="V18" i="3"/>
  <c r="V20" i="3"/>
  <c r="V26" i="3"/>
  <c r="U32" i="3"/>
  <c r="V683" i="3"/>
  <c r="V41" i="3"/>
  <c r="AG24" i="3"/>
  <c r="V24" i="3"/>
  <c r="U17" i="3"/>
  <c r="U9" i="3"/>
  <c r="U34" i="3"/>
  <c r="V23" i="3"/>
  <c r="U11" i="3"/>
  <c r="V30" i="3"/>
  <c r="U37" i="3"/>
  <c r="V13" i="3"/>
  <c r="U22" i="3"/>
  <c r="U15" i="3"/>
  <c r="U38" i="3"/>
  <c r="V40" i="3"/>
  <c r="AG35" i="3"/>
  <c r="AT35" i="3" s="1"/>
  <c r="V19" i="3"/>
  <c r="V9" i="3"/>
  <c r="U41" i="3"/>
  <c r="U43" i="3"/>
  <c r="V17" i="3"/>
  <c r="U39" i="3"/>
  <c r="F77" i="1"/>
  <c r="U683" i="3"/>
  <c r="AG41" i="3"/>
  <c r="AG40" i="3"/>
  <c r="AH10" i="3"/>
  <c r="AH11" i="3"/>
  <c r="AH21" i="3"/>
  <c r="AN37" i="3"/>
  <c r="AN21" i="3"/>
  <c r="AO18" i="3"/>
  <c r="AO38" i="3"/>
  <c r="AN28" i="3"/>
  <c r="AO22" i="3"/>
  <c r="AN14" i="3"/>
  <c r="AN24" i="3"/>
  <c r="AG14" i="3"/>
  <c r="AH22" i="3"/>
  <c r="AH27" i="3"/>
  <c r="AH43" i="3"/>
  <c r="AH30" i="3"/>
  <c r="AH683" i="3"/>
  <c r="V684" i="3"/>
  <c r="Q16" i="3"/>
  <c r="Q14" i="3"/>
  <c r="R23" i="3"/>
  <c r="R29" i="3"/>
  <c r="Q36" i="3"/>
  <c r="Q12" i="3"/>
  <c r="Q31" i="3"/>
  <c r="A685" i="3"/>
  <c r="G685" i="3" s="1"/>
  <c r="H685" i="3" s="1"/>
  <c r="Q682" i="3"/>
  <c r="R13" i="3"/>
  <c r="Q33" i="3"/>
  <c r="R15" i="3"/>
  <c r="R683" i="3"/>
  <c r="AN42" i="3"/>
  <c r="R19" i="3"/>
  <c r="Q9" i="3"/>
  <c r="AO14" i="3"/>
  <c r="A686" i="3"/>
  <c r="U686" i="3" s="1"/>
  <c r="T22" i="3"/>
  <c r="T12" i="3"/>
  <c r="S36" i="3"/>
  <c r="S38" i="3"/>
  <c r="S18" i="3"/>
  <c r="S23" i="3"/>
  <c r="T21" i="3"/>
  <c r="T683" i="3"/>
  <c r="S32" i="3"/>
  <c r="S37" i="3"/>
  <c r="T32" i="3"/>
  <c r="S26" i="3"/>
  <c r="S40" i="3"/>
  <c r="R18" i="3"/>
  <c r="T10" i="3"/>
  <c r="S9" i="3"/>
  <c r="T682" i="3"/>
  <c r="S41" i="3"/>
  <c r="T9" i="3"/>
  <c r="Q27" i="3"/>
  <c r="AG30" i="3"/>
  <c r="AN30" i="3"/>
  <c r="AG27" i="3"/>
  <c r="AG10" i="3"/>
  <c r="AG17" i="3"/>
  <c r="AG39" i="3"/>
  <c r="AH14" i="3"/>
  <c r="AH18" i="3"/>
  <c r="AG43" i="3"/>
  <c r="AG22" i="3"/>
  <c r="AN40" i="3"/>
  <c r="AN38" i="3"/>
  <c r="AO31" i="3"/>
  <c r="AN20" i="3"/>
  <c r="AN33" i="3"/>
  <c r="AO32" i="3"/>
  <c r="AN23" i="3"/>
  <c r="AO43" i="3"/>
  <c r="S684" i="3"/>
  <c r="G684" i="3"/>
  <c r="H684" i="3" s="1"/>
  <c r="T44" i="3"/>
  <c r="R44" i="3"/>
  <c r="Q44" i="3"/>
  <c r="R20" i="3"/>
  <c r="R12" i="3"/>
  <c r="R36" i="3"/>
  <c r="Q11" i="3"/>
  <c r="Q34" i="3"/>
  <c r="F75" i="1"/>
  <c r="R27" i="3"/>
  <c r="Q29" i="3"/>
  <c r="Q24" i="3"/>
  <c r="R34" i="3"/>
  <c r="Q17" i="3"/>
  <c r="R9" i="3"/>
  <c r="R35" i="3"/>
  <c r="R28" i="3"/>
  <c r="R33" i="3"/>
  <c r="Q38" i="3"/>
  <c r="R39" i="3"/>
  <c r="Q40" i="3"/>
  <c r="Q37" i="3"/>
  <c r="R32" i="3"/>
  <c r="R30" i="3"/>
  <c r="R37" i="3"/>
  <c r="Q15" i="3"/>
  <c r="R22" i="3"/>
  <c r="Q32" i="3"/>
  <c r="Q30" i="3"/>
  <c r="R682" i="3"/>
  <c r="Q43" i="3"/>
  <c r="AO33" i="3"/>
  <c r="Q22" i="3"/>
  <c r="Q19" i="3"/>
  <c r="Q18" i="3"/>
  <c r="R26" i="3"/>
  <c r="R40" i="3"/>
  <c r="AN32" i="3"/>
  <c r="AO37" i="3"/>
  <c r="S20" i="3"/>
  <c r="S29" i="3"/>
  <c r="S21" i="3"/>
  <c r="T24" i="3"/>
  <c r="T29" i="3"/>
  <c r="T25" i="3"/>
  <c r="T13" i="3"/>
  <c r="S19" i="3"/>
  <c r="S35" i="3"/>
  <c r="S31" i="3"/>
  <c r="S24" i="3"/>
  <c r="S12" i="3"/>
  <c r="T17" i="3"/>
  <c r="S16" i="3"/>
  <c r="T28" i="3"/>
  <c r="S682" i="3"/>
  <c r="S39" i="3"/>
  <c r="T41" i="3"/>
  <c r="S33" i="3"/>
  <c r="T34" i="3"/>
  <c r="S15" i="3"/>
  <c r="T16" i="3"/>
  <c r="T15" i="3"/>
  <c r="S30" i="3"/>
  <c r="T31" i="3"/>
  <c r="T36" i="3"/>
  <c r="S683" i="3"/>
  <c r="R21" i="3"/>
  <c r="R16" i="3"/>
  <c r="Q39" i="3"/>
  <c r="S25" i="3"/>
  <c r="S14" i="3"/>
  <c r="T11" i="3"/>
  <c r="T19" i="3"/>
  <c r="T39" i="3"/>
  <c r="S27" i="3"/>
  <c r="S22" i="3"/>
  <c r="T35" i="3"/>
  <c r="R25" i="3"/>
  <c r="T43" i="3"/>
  <c r="Q42" i="3"/>
  <c r="AO683" i="3"/>
  <c r="AO10" i="3"/>
  <c r="Q28" i="3"/>
  <c r="Q25" i="3"/>
  <c r="AG21" i="3"/>
  <c r="AE684" i="3"/>
  <c r="AK684" i="3"/>
  <c r="O684" i="3"/>
  <c r="AG9" i="3"/>
  <c r="AH36" i="3"/>
  <c r="AG15" i="3"/>
  <c r="AH17" i="3"/>
  <c r="AH39" i="3"/>
  <c r="AG42" i="3"/>
  <c r="AG34" i="3"/>
  <c r="AH31" i="3"/>
  <c r="AG31" i="3"/>
  <c r="AH41" i="3"/>
  <c r="AH13" i="3"/>
  <c r="AH40" i="3"/>
  <c r="M684" i="3"/>
  <c r="AH20" i="3"/>
  <c r="U684" i="3"/>
  <c r="D684" i="3"/>
  <c r="T684" i="3"/>
  <c r="C684" i="3"/>
  <c r="AH16" i="3"/>
  <c r="P684" i="3"/>
  <c r="AM684" i="3"/>
  <c r="R684" i="3"/>
  <c r="AN29" i="3"/>
  <c r="AN31" i="3"/>
  <c r="AN15" i="3"/>
  <c r="AO20" i="3"/>
  <c r="AO25" i="3"/>
  <c r="AO34" i="3"/>
  <c r="AN18" i="3"/>
  <c r="AO35" i="3"/>
  <c r="AN10" i="3"/>
  <c r="AO9" i="3"/>
  <c r="AN13" i="3"/>
  <c r="AO36" i="3"/>
  <c r="AG32" i="3"/>
  <c r="AH682" i="3"/>
  <c r="AG25" i="3"/>
  <c r="AH34" i="3"/>
  <c r="AH19" i="3"/>
  <c r="AG11" i="3"/>
  <c r="AH32" i="3"/>
  <c r="AG682" i="3"/>
  <c r="AG36" i="3"/>
  <c r="AH28" i="3"/>
  <c r="B684" i="3"/>
  <c r="AR684" i="3"/>
  <c r="F684" i="3"/>
  <c r="AQ684" i="3"/>
  <c r="BM44" i="3"/>
  <c r="AO44" i="3"/>
  <c r="AG44" i="3"/>
  <c r="AH44" i="3"/>
  <c r="AQ45" i="3"/>
  <c r="AR45" i="3"/>
  <c r="A46" i="3"/>
  <c r="B45" i="3"/>
  <c r="AM45" i="3"/>
  <c r="AK45" i="3"/>
  <c r="T45" i="3"/>
  <c r="C45" i="3"/>
  <c r="Q45" i="3"/>
  <c r="P45" i="3"/>
  <c r="R45" i="3"/>
  <c r="AD45" i="3"/>
  <c r="O45" i="3"/>
  <c r="AE45" i="3"/>
  <c r="M45" i="3"/>
  <c r="U45" i="3"/>
  <c r="AF45" i="3"/>
  <c r="V45" i="3"/>
  <c r="D45" i="3"/>
  <c r="G45" i="3"/>
  <c r="H45" i="3" s="1"/>
  <c r="F45" i="3"/>
  <c r="S45" i="3"/>
  <c r="BN44" i="3"/>
  <c r="AN44" i="3"/>
  <c r="AT20" i="3" l="1"/>
  <c r="AT19" i="3"/>
  <c r="AT42" i="3"/>
  <c r="AT16" i="3"/>
  <c r="AT15" i="3"/>
  <c r="AU12" i="3"/>
  <c r="X17" i="3"/>
  <c r="X683" i="3"/>
  <c r="Y26" i="3"/>
  <c r="Z26" i="3" s="1"/>
  <c r="X34" i="3"/>
  <c r="Y23" i="3"/>
  <c r="Z23" i="3" s="1"/>
  <c r="AU23" i="3"/>
  <c r="Y40" i="3"/>
  <c r="Z40" i="3" s="1"/>
  <c r="U685" i="3"/>
  <c r="D686" i="3"/>
  <c r="AT683" i="3"/>
  <c r="Y38" i="3"/>
  <c r="Z38" i="3" s="1"/>
  <c r="Y14" i="3"/>
  <c r="Z14" i="3" s="1"/>
  <c r="AF685" i="3"/>
  <c r="AT23" i="3"/>
  <c r="O686" i="3"/>
  <c r="M686" i="3"/>
  <c r="AU35" i="3"/>
  <c r="AV35" i="3" s="1"/>
  <c r="X10" i="3"/>
  <c r="D685" i="3"/>
  <c r="AU38" i="3"/>
  <c r="AK685" i="3"/>
  <c r="AU28" i="3"/>
  <c r="AT11" i="3"/>
  <c r="AP9" i="3"/>
  <c r="Y31" i="3"/>
  <c r="Z31" i="3" s="1"/>
  <c r="X26" i="3"/>
  <c r="AQ685" i="3"/>
  <c r="AX21" i="3"/>
  <c r="AX23" i="3"/>
  <c r="AU24" i="3"/>
  <c r="AT37" i="3"/>
  <c r="S686" i="3"/>
  <c r="X28" i="3"/>
  <c r="Y24" i="3"/>
  <c r="Z24" i="3" s="1"/>
  <c r="X44" i="3"/>
  <c r="B686" i="3"/>
  <c r="R686" i="3"/>
  <c r="AW682" i="3"/>
  <c r="AX35" i="3"/>
  <c r="AH684" i="3"/>
  <c r="X21" i="3"/>
  <c r="X37" i="3"/>
  <c r="Y34" i="3"/>
  <c r="Z34" i="3" s="1"/>
  <c r="Y19" i="3"/>
  <c r="Z19" i="3" s="1"/>
  <c r="AT38" i="3"/>
  <c r="Y29" i="3"/>
  <c r="Z29" i="3" s="1"/>
  <c r="X40" i="3"/>
  <c r="AX12" i="3"/>
  <c r="AX683" i="3"/>
  <c r="X29" i="3"/>
  <c r="AT43" i="3"/>
  <c r="Y10" i="3"/>
  <c r="Z10" i="3" s="1"/>
  <c r="X16" i="3"/>
  <c r="Y37" i="3"/>
  <c r="Z37" i="3" s="1"/>
  <c r="Y33" i="3"/>
  <c r="Z33" i="3" s="1"/>
  <c r="AU21" i="3"/>
  <c r="AU683" i="3"/>
  <c r="Y11" i="3"/>
  <c r="Z11" i="3" s="1"/>
  <c r="AT18" i="3"/>
  <c r="AT29" i="3"/>
  <c r="AV29" i="3" s="1"/>
  <c r="D687" i="3"/>
  <c r="AU18" i="3"/>
  <c r="AU25" i="3"/>
  <c r="AW29" i="3"/>
  <c r="X682" i="3"/>
  <c r="AW16" i="3"/>
  <c r="X13" i="3"/>
  <c r="AW21" i="3"/>
  <c r="AW23" i="3"/>
  <c r="X20" i="3"/>
  <c r="AX40" i="3"/>
  <c r="X22" i="3"/>
  <c r="X33" i="3"/>
  <c r="Y28" i="3"/>
  <c r="Z28" i="3" s="1"/>
  <c r="AW33" i="3"/>
  <c r="Y682" i="3"/>
  <c r="Z682" i="3" s="1"/>
  <c r="AX38" i="3"/>
  <c r="X19" i="3"/>
  <c r="Y18" i="3"/>
  <c r="Z18" i="3" s="1"/>
  <c r="X12" i="3"/>
  <c r="Y27" i="3"/>
  <c r="Z27" i="3" s="1"/>
  <c r="Y21" i="3"/>
  <c r="Z21" i="3" s="1"/>
  <c r="X14" i="3"/>
  <c r="AW26" i="3"/>
  <c r="Y32" i="3"/>
  <c r="Z32" i="3" s="1"/>
  <c r="AT26" i="3"/>
  <c r="P687" i="3"/>
  <c r="AX26" i="3"/>
  <c r="AW30" i="3"/>
  <c r="AG684" i="3"/>
  <c r="AU26" i="3"/>
  <c r="AX37" i="3"/>
  <c r="S687" i="3"/>
  <c r="T687" i="3"/>
  <c r="AE687" i="3"/>
  <c r="B687" i="3"/>
  <c r="AX24" i="3"/>
  <c r="AU37" i="3"/>
  <c r="Y683" i="3"/>
  <c r="Z683" i="3" s="1"/>
  <c r="AX43" i="3"/>
  <c r="Y35" i="3"/>
  <c r="Z35" i="3" s="1"/>
  <c r="Y36" i="3"/>
  <c r="Z36" i="3" s="1"/>
  <c r="Y12" i="3"/>
  <c r="Z12" i="3" s="1"/>
  <c r="AU27" i="3"/>
  <c r="X15" i="3"/>
  <c r="AW37" i="3"/>
  <c r="X18" i="3"/>
  <c r="AX33" i="3"/>
  <c r="Y43" i="3"/>
  <c r="Z43" i="3" s="1"/>
  <c r="X31" i="3"/>
  <c r="AX27" i="3"/>
  <c r="AR685" i="3"/>
  <c r="AD685" i="3"/>
  <c r="C687" i="3"/>
  <c r="AU33" i="3"/>
  <c r="AV33" i="3" s="1"/>
  <c r="R685" i="3"/>
  <c r="F687" i="3"/>
  <c r="G686" i="3"/>
  <c r="H686" i="3" s="1"/>
  <c r="P686" i="3"/>
  <c r="P685" i="3"/>
  <c r="AW24" i="3"/>
  <c r="F686" i="3"/>
  <c r="V686" i="3"/>
  <c r="AE686" i="3"/>
  <c r="M685" i="3"/>
  <c r="Y30" i="3"/>
  <c r="Z30" i="3" s="1"/>
  <c r="X9" i="3"/>
  <c r="Y41" i="3"/>
  <c r="Z41" i="3" s="1"/>
  <c r="Y20" i="3"/>
  <c r="Z20" i="3" s="1"/>
  <c r="Y22" i="3"/>
  <c r="Z22" i="3" s="1"/>
  <c r="Y25" i="3"/>
  <c r="Z25" i="3" s="1"/>
  <c r="X30" i="3"/>
  <c r="X36" i="3"/>
  <c r="Y44" i="3"/>
  <c r="Z44" i="3" s="1"/>
  <c r="AX14" i="3"/>
  <c r="AW27" i="3"/>
  <c r="AT30" i="3"/>
  <c r="AW17" i="3"/>
  <c r="AU43" i="3"/>
  <c r="AW22" i="3"/>
  <c r="AX41" i="3"/>
  <c r="AT12" i="3"/>
  <c r="AW683" i="3"/>
  <c r="AW12" i="3"/>
  <c r="AT22" i="3"/>
  <c r="AX16" i="3"/>
  <c r="AU17" i="3"/>
  <c r="AU34" i="3"/>
  <c r="AT41" i="3"/>
  <c r="AT17" i="3"/>
  <c r="X42" i="3"/>
  <c r="Y16" i="3"/>
  <c r="Z16" i="3" s="1"/>
  <c r="Y17" i="3"/>
  <c r="Z17" i="3" s="1"/>
  <c r="X35" i="3"/>
  <c r="X32" i="3"/>
  <c r="X23" i="3"/>
  <c r="AW39" i="3"/>
  <c r="X39" i="3"/>
  <c r="AW43" i="3"/>
  <c r="AU22" i="3"/>
  <c r="AU10" i="3"/>
  <c r="X41" i="3"/>
  <c r="Y39" i="3"/>
  <c r="Z39" i="3" s="1"/>
  <c r="X24" i="3"/>
  <c r="AW18" i="3"/>
  <c r="X27" i="3"/>
  <c r="X38" i="3"/>
  <c r="Y15" i="3"/>
  <c r="Z15" i="3" s="1"/>
  <c r="Y13" i="3"/>
  <c r="Z13" i="3" s="1"/>
  <c r="AU30" i="3"/>
  <c r="AT27" i="3"/>
  <c r="AU14" i="3"/>
  <c r="X43" i="3"/>
  <c r="Y9" i="3"/>
  <c r="Z9" i="3" s="1"/>
  <c r="X11" i="3"/>
  <c r="AW38" i="3"/>
  <c r="R687" i="3"/>
  <c r="Q687" i="3"/>
  <c r="AM687" i="3"/>
  <c r="G687" i="3"/>
  <c r="H687" i="3" s="1"/>
  <c r="M687" i="3"/>
  <c r="AT10" i="3"/>
  <c r="AW10" i="3"/>
  <c r="AX30" i="3"/>
  <c r="AX18" i="3"/>
  <c r="AT40" i="3"/>
  <c r="S685" i="3"/>
  <c r="C685" i="3"/>
  <c r="AM685" i="3"/>
  <c r="O685" i="3"/>
  <c r="AX22" i="3"/>
  <c r="AK687" i="3"/>
  <c r="V687" i="3"/>
  <c r="AD687" i="3"/>
  <c r="T685" i="3"/>
  <c r="AE685" i="3"/>
  <c r="AT24" i="3"/>
  <c r="AW14" i="3"/>
  <c r="U687" i="3"/>
  <c r="AF687" i="3"/>
  <c r="AQ686" i="3"/>
  <c r="T686" i="3"/>
  <c r="C686" i="3"/>
  <c r="AM686" i="3"/>
  <c r="AK686" i="3"/>
  <c r="O687" i="3"/>
  <c r="AQ687" i="3"/>
  <c r="F685" i="3"/>
  <c r="Q686" i="3"/>
  <c r="AD686" i="3"/>
  <c r="V685" i="3"/>
  <c r="Q685" i="3"/>
  <c r="AR686" i="3"/>
  <c r="B685" i="3"/>
  <c r="AF686" i="3"/>
  <c r="AT14" i="3"/>
  <c r="AX15" i="3"/>
  <c r="X25" i="3"/>
  <c r="AW42" i="3"/>
  <c r="AT31" i="3"/>
  <c r="AX10" i="3"/>
  <c r="AT682" i="3"/>
  <c r="AU15" i="3"/>
  <c r="AV15" i="3" s="1"/>
  <c r="AX29" i="3"/>
  <c r="AW34" i="3"/>
  <c r="AX9" i="3"/>
  <c r="AX34" i="3"/>
  <c r="AX39" i="3"/>
  <c r="AX11" i="3"/>
  <c r="AX682" i="3"/>
  <c r="AY682" i="3" s="1"/>
  <c r="AW28" i="3"/>
  <c r="AU9" i="3"/>
  <c r="AU3" i="3" s="1"/>
  <c r="AU4" i="3" s="1"/>
  <c r="AT9" i="3"/>
  <c r="AT3" i="3" s="1"/>
  <c r="AT4" i="3" s="1"/>
  <c r="AW9" i="3"/>
  <c r="AT21" i="3"/>
  <c r="AX42" i="3"/>
  <c r="AI9" i="3"/>
  <c r="AU42" i="3"/>
  <c r="AU16" i="3"/>
  <c r="AX17" i="3"/>
  <c r="AU41" i="3"/>
  <c r="AN684" i="3"/>
  <c r="AU31" i="3"/>
  <c r="AW15" i="3"/>
  <c r="AU682" i="3"/>
  <c r="AT39" i="3"/>
  <c r="AU39" i="3"/>
  <c r="AW11" i="3"/>
  <c r="AX20" i="3"/>
  <c r="AO684" i="3"/>
  <c r="AU11" i="3"/>
  <c r="AW40" i="3"/>
  <c r="AX28" i="3"/>
  <c r="AT36" i="3"/>
  <c r="AW25" i="3"/>
  <c r="Y684" i="3"/>
  <c r="Z684" i="3" s="1"/>
  <c r="AX25" i="3"/>
  <c r="AW31" i="3"/>
  <c r="AX13" i="3"/>
  <c r="AT32" i="3"/>
  <c r="AT13" i="3"/>
  <c r="AW41" i="3"/>
  <c r="AW13" i="3"/>
  <c r="AU13" i="3"/>
  <c r="AT34" i="3"/>
  <c r="AU40" i="3"/>
  <c r="AX32" i="3"/>
  <c r="AT28" i="3"/>
  <c r="AU20" i="3"/>
  <c r="AW20" i="3"/>
  <c r="X684" i="3"/>
  <c r="AW32" i="3"/>
  <c r="AX36" i="3"/>
  <c r="AW35" i="3"/>
  <c r="AU32" i="3"/>
  <c r="AU36" i="3"/>
  <c r="AU19" i="3"/>
  <c r="AX19" i="3"/>
  <c r="AT25" i="3"/>
  <c r="AW19" i="3"/>
  <c r="AW36" i="3"/>
  <c r="AX31" i="3"/>
  <c r="BM45" i="3"/>
  <c r="AU44" i="3"/>
  <c r="AG45" i="3"/>
  <c r="AO45" i="3"/>
  <c r="AT44" i="3"/>
  <c r="AW44" i="3"/>
  <c r="X45" i="3"/>
  <c r="Y45" i="3"/>
  <c r="Z45" i="3" s="1"/>
  <c r="BN45" i="3"/>
  <c r="AQ46" i="3"/>
  <c r="B46" i="3"/>
  <c r="A47" i="3"/>
  <c r="AR46" i="3"/>
  <c r="D46" i="3"/>
  <c r="AM46" i="3"/>
  <c r="T46" i="3"/>
  <c r="R46" i="3"/>
  <c r="AK46" i="3"/>
  <c r="O46" i="3"/>
  <c r="Q46" i="3"/>
  <c r="AD46" i="3"/>
  <c r="P46" i="3"/>
  <c r="M46" i="3"/>
  <c r="AF46" i="3"/>
  <c r="U46" i="3"/>
  <c r="V46" i="3"/>
  <c r="AE46" i="3"/>
  <c r="G46" i="3"/>
  <c r="H46" i="3" s="1"/>
  <c r="C46" i="3"/>
  <c r="F46" i="3"/>
  <c r="S46" i="3"/>
  <c r="AN45" i="3"/>
  <c r="AX44" i="3"/>
  <c r="AH45" i="3"/>
  <c r="AV20" i="3" l="1"/>
  <c r="AV42" i="3"/>
  <c r="AY12" i="3"/>
  <c r="AV19" i="3"/>
  <c r="AO685" i="3"/>
  <c r="AY16" i="3"/>
  <c r="AY21" i="3"/>
  <c r="BA29" i="3"/>
  <c r="BB29" i="3" s="1"/>
  <c r="AV12" i="3"/>
  <c r="AV11" i="3"/>
  <c r="AY24" i="3"/>
  <c r="AV14" i="3"/>
  <c r="AY9" i="3"/>
  <c r="AY18" i="3"/>
  <c r="AV23" i="3"/>
  <c r="AY36" i="3"/>
  <c r="AV683" i="3"/>
  <c r="BA23" i="3"/>
  <c r="BB23" i="3" s="1"/>
  <c r="AW684" i="3"/>
  <c r="AV38" i="3"/>
  <c r="AT684" i="3"/>
  <c r="AV41" i="3"/>
  <c r="AV28" i="3"/>
  <c r="AV37" i="3"/>
  <c r="BA24" i="3"/>
  <c r="BF24" i="3" s="1"/>
  <c r="BA37" i="3"/>
  <c r="BF37" i="3" s="1"/>
  <c r="AY683" i="3"/>
  <c r="AY35" i="3"/>
  <c r="BC35" i="3" s="1"/>
  <c r="BG35" i="3" s="1"/>
  <c r="BH35" i="3" s="1"/>
  <c r="BI35" i="3" s="1"/>
  <c r="AY17" i="3"/>
  <c r="AV43" i="3"/>
  <c r="AY23" i="3"/>
  <c r="AV21" i="3"/>
  <c r="AV18" i="3"/>
  <c r="AY41" i="3"/>
  <c r="AY40" i="3"/>
  <c r="AH687" i="3"/>
  <c r="AG687" i="3"/>
  <c r="AH685" i="3"/>
  <c r="AY38" i="3"/>
  <c r="AY29" i="3"/>
  <c r="BC29" i="3" s="1"/>
  <c r="BG29" i="3" s="1"/>
  <c r="BH29" i="3" s="1"/>
  <c r="BI29" i="3" s="1"/>
  <c r="AY37" i="3"/>
  <c r="AV30" i="3"/>
  <c r="AV22" i="3"/>
  <c r="AV17" i="3"/>
  <c r="BA33" i="3"/>
  <c r="BF33" i="3" s="1"/>
  <c r="AV26" i="3"/>
  <c r="AY33" i="3"/>
  <c r="BC33" i="3" s="1"/>
  <c r="BD33" i="3" s="1"/>
  <c r="AU684" i="3"/>
  <c r="BA12" i="3"/>
  <c r="BB12" i="3" s="1"/>
  <c r="AV40" i="3"/>
  <c r="AV27" i="3"/>
  <c r="BA30" i="3"/>
  <c r="BQ30" i="3" s="1"/>
  <c r="BA14" i="3"/>
  <c r="BQ14" i="3" s="1"/>
  <c r="AY26" i="3"/>
  <c r="BA26" i="3"/>
  <c r="BB26" i="3" s="1"/>
  <c r="BA38" i="3"/>
  <c r="BB38" i="3" s="1"/>
  <c r="AY30" i="3"/>
  <c r="Y686" i="3"/>
  <c r="Z686" i="3" s="1"/>
  <c r="AG685" i="3"/>
  <c r="BA16" i="3"/>
  <c r="BF16" i="3" s="1"/>
  <c r="BA43" i="3"/>
  <c r="BB43" i="3" s="1"/>
  <c r="X686" i="3"/>
  <c r="AN685" i="3"/>
  <c r="AY14" i="3"/>
  <c r="X687" i="3"/>
  <c r="AY27" i="3"/>
  <c r="BA683" i="3"/>
  <c r="BB683" i="3" s="1"/>
  <c r="AY22" i="3"/>
  <c r="AV10" i="3"/>
  <c r="AY43" i="3"/>
  <c r="BA27" i="3"/>
  <c r="BQ27" i="3" s="1"/>
  <c r="AV16" i="3"/>
  <c r="AV24" i="3"/>
  <c r="AO687" i="3"/>
  <c r="BA18" i="3"/>
  <c r="BB18" i="3" s="1"/>
  <c r="AY39" i="3"/>
  <c r="BA34" i="3"/>
  <c r="BF34" i="3" s="1"/>
  <c r="BA25" i="3"/>
  <c r="BF25" i="3" s="1"/>
  <c r="BA40" i="3"/>
  <c r="BQ40" i="3" s="1"/>
  <c r="BA22" i="3"/>
  <c r="BB22" i="3" s="1"/>
  <c r="AX684" i="3"/>
  <c r="AG686" i="3"/>
  <c r="AO686" i="3"/>
  <c r="Y685" i="3"/>
  <c r="Z685" i="3" s="1"/>
  <c r="X685" i="3"/>
  <c r="BA10" i="3"/>
  <c r="BB10" i="3" s="1"/>
  <c r="AN687" i="3"/>
  <c r="Y687" i="3"/>
  <c r="Z687" i="3" s="1"/>
  <c r="AV32" i="3"/>
  <c r="BA9" i="3"/>
  <c r="BQ9" i="3" s="1"/>
  <c r="AY10" i="3"/>
  <c r="AV25" i="3"/>
  <c r="BA17" i="3"/>
  <c r="BF17" i="3" s="1"/>
  <c r="AH686" i="3"/>
  <c r="AN686" i="3"/>
  <c r="AY15" i="3"/>
  <c r="BC15" i="3" s="1"/>
  <c r="BG15" i="3" s="1"/>
  <c r="BH15" i="3" s="1"/>
  <c r="BI15" i="3" s="1"/>
  <c r="AV34" i="3"/>
  <c r="BA15" i="3"/>
  <c r="BQ15" i="3" s="1"/>
  <c r="BA42" i="3"/>
  <c r="BQ42" i="3" s="1"/>
  <c r="AY42" i="3"/>
  <c r="AV36" i="3"/>
  <c r="AV31" i="3"/>
  <c r="BA19" i="3"/>
  <c r="BB19" i="3" s="1"/>
  <c r="AV39" i="3"/>
  <c r="AY20" i="3"/>
  <c r="BA682" i="3"/>
  <c r="BF682" i="3" s="1"/>
  <c r="AY34" i="3"/>
  <c r="BA21" i="3"/>
  <c r="BF21" i="3" s="1"/>
  <c r="AV9" i="3"/>
  <c r="BA31" i="3"/>
  <c r="BB31" i="3" s="1"/>
  <c r="AV682" i="3"/>
  <c r="BC682" i="3" s="1"/>
  <c r="BD682" i="3" s="1"/>
  <c r="AY11" i="3"/>
  <c r="AY28" i="3"/>
  <c r="BA39" i="3"/>
  <c r="BF39" i="3" s="1"/>
  <c r="BA11" i="3"/>
  <c r="BF11" i="3" s="1"/>
  <c r="BA41" i="3"/>
  <c r="BF41" i="3" s="1"/>
  <c r="BA28" i="3"/>
  <c r="BB28" i="3" s="1"/>
  <c r="AY31" i="3"/>
  <c r="AY25" i="3"/>
  <c r="AY13" i="3"/>
  <c r="AY32" i="3"/>
  <c r="BA13" i="3"/>
  <c r="BB13" i="3" s="1"/>
  <c r="BA36" i="3"/>
  <c r="BF36" i="3" s="1"/>
  <c r="BA32" i="3"/>
  <c r="BQ32" i="3" s="1"/>
  <c r="AV13" i="3"/>
  <c r="BA35" i="3"/>
  <c r="BB35" i="3" s="1"/>
  <c r="BA20" i="3"/>
  <c r="BF20" i="3" s="1"/>
  <c r="AY19" i="3"/>
  <c r="AV44" i="3"/>
  <c r="BN46" i="3"/>
  <c r="AX45" i="3"/>
  <c r="AY44" i="3"/>
  <c r="AG46" i="3"/>
  <c r="AN46" i="3"/>
  <c r="X46" i="3"/>
  <c r="Y46" i="3"/>
  <c r="Z46" i="3" s="1"/>
  <c r="AQ47" i="3"/>
  <c r="AR47" i="3"/>
  <c r="A48" i="3"/>
  <c r="B47" i="3"/>
  <c r="C47" i="3"/>
  <c r="AM47" i="3"/>
  <c r="D47" i="3"/>
  <c r="AK47" i="3"/>
  <c r="T47" i="3"/>
  <c r="Q47" i="3"/>
  <c r="AD47" i="3"/>
  <c r="R47" i="3"/>
  <c r="P47" i="3"/>
  <c r="O47" i="3"/>
  <c r="AE47" i="3"/>
  <c r="M47" i="3"/>
  <c r="AF47" i="3"/>
  <c r="U47" i="3"/>
  <c r="V47" i="3"/>
  <c r="F47" i="3"/>
  <c r="G47" i="3"/>
  <c r="H47" i="3" s="1"/>
  <c r="S47" i="3"/>
  <c r="BA44" i="3"/>
  <c r="AH46" i="3"/>
  <c r="AT45" i="3"/>
  <c r="AW45" i="3"/>
  <c r="AU45" i="3"/>
  <c r="BM46" i="3"/>
  <c r="AO46" i="3"/>
  <c r="BC20" i="3" l="1"/>
  <c r="BG20" i="3" s="1"/>
  <c r="BH20" i="3" s="1"/>
  <c r="BI20" i="3" s="1"/>
  <c r="BC42" i="3"/>
  <c r="BG42" i="3" s="1"/>
  <c r="BH42" i="3" s="1"/>
  <c r="BI42" i="3" s="1"/>
  <c r="BC12" i="3"/>
  <c r="BD12" i="3" s="1"/>
  <c r="BC16" i="3"/>
  <c r="BG16" i="3" s="1"/>
  <c r="BH16" i="3" s="1"/>
  <c r="BI16" i="3" s="1"/>
  <c r="BC19" i="3"/>
  <c r="BD19" i="3" s="1"/>
  <c r="BC43" i="3"/>
  <c r="BG43" i="3" s="1"/>
  <c r="BH43" i="3" s="1"/>
  <c r="BI43" i="3" s="1"/>
  <c r="BC21" i="3"/>
  <c r="BG21" i="3" s="1"/>
  <c r="BH21" i="3" s="1"/>
  <c r="BI21" i="3" s="1"/>
  <c r="BF23" i="3"/>
  <c r="BJ23" i="3" s="1"/>
  <c r="BK23" i="3" s="1"/>
  <c r="BJ33" i="3"/>
  <c r="BK33" i="3" s="1"/>
  <c r="BC17" i="3"/>
  <c r="BD17" i="3" s="1"/>
  <c r="BQ29" i="3"/>
  <c r="BF29" i="3"/>
  <c r="AV684" i="3"/>
  <c r="BC11" i="3"/>
  <c r="BD11" i="3" s="1"/>
  <c r="BC38" i="3"/>
  <c r="BD38" i="3" s="1"/>
  <c r="BC24" i="3"/>
  <c r="BD24" i="3" s="1"/>
  <c r="BC18" i="3"/>
  <c r="BG18" i="3" s="1"/>
  <c r="BH18" i="3" s="1"/>
  <c r="BI18" i="3" s="1"/>
  <c r="BC14" i="3"/>
  <c r="BD14" i="3" s="1"/>
  <c r="BC9" i="3"/>
  <c r="BG9" i="3" s="1"/>
  <c r="BH9" i="3" s="1"/>
  <c r="BI9" i="3" s="1"/>
  <c r="BC26" i="3"/>
  <c r="BG26" i="3" s="1"/>
  <c r="BH26" i="3" s="1"/>
  <c r="BI26" i="3" s="1"/>
  <c r="BC23" i="3"/>
  <c r="BD23" i="3" s="1"/>
  <c r="BC36" i="3"/>
  <c r="BD36" i="3" s="1"/>
  <c r="BC683" i="3"/>
  <c r="BG683" i="3" s="1"/>
  <c r="BH683" i="3" s="1"/>
  <c r="BI683" i="3" s="1"/>
  <c r="BC28" i="3"/>
  <c r="BD28" i="3" s="1"/>
  <c r="BQ23" i="3"/>
  <c r="BC34" i="3"/>
  <c r="BD34" i="3" s="1"/>
  <c r="AY684" i="3"/>
  <c r="BB37" i="3"/>
  <c r="BQ37" i="3"/>
  <c r="BJ36" i="3"/>
  <c r="BK36" i="3" s="1"/>
  <c r="BC41" i="3"/>
  <c r="BD41" i="3" s="1"/>
  <c r="BF30" i="3"/>
  <c r="BQ24" i="3"/>
  <c r="BC37" i="3"/>
  <c r="BG37" i="3" s="1"/>
  <c r="BH37" i="3" s="1"/>
  <c r="BI37" i="3" s="1"/>
  <c r="BB24" i="3"/>
  <c r="BJ24" i="3"/>
  <c r="BK24" i="3" s="1"/>
  <c r="BC40" i="3"/>
  <c r="BG40" i="3" s="1"/>
  <c r="BH40" i="3" s="1"/>
  <c r="BI40" i="3" s="1"/>
  <c r="AU687" i="3"/>
  <c r="BB30" i="3"/>
  <c r="BC30" i="3"/>
  <c r="BD30" i="3" s="1"/>
  <c r="AT687" i="3"/>
  <c r="BQ26" i="3"/>
  <c r="BF683" i="3"/>
  <c r="AU685" i="3"/>
  <c r="AX685" i="3"/>
  <c r="BA684" i="3"/>
  <c r="BF684" i="3" s="1"/>
  <c r="BQ33" i="3"/>
  <c r="BB33" i="3"/>
  <c r="BB14" i="3"/>
  <c r="BF12" i="3"/>
  <c r="BJ11" i="3" s="1"/>
  <c r="BK11" i="3" s="1"/>
  <c r="BC22" i="3"/>
  <c r="BG22" i="3" s="1"/>
  <c r="BH22" i="3" s="1"/>
  <c r="BI22" i="3" s="1"/>
  <c r="BQ43" i="3"/>
  <c r="AT685" i="3"/>
  <c r="BQ17" i="3"/>
  <c r="BB42" i="3"/>
  <c r="BF43" i="3"/>
  <c r="BF26" i="3"/>
  <c r="BJ25" i="3" s="1"/>
  <c r="BK25" i="3" s="1"/>
  <c r="BQ34" i="3"/>
  <c r="BQ12" i="3"/>
  <c r="AW685" i="3"/>
  <c r="BF14" i="3"/>
  <c r="BC27" i="3"/>
  <c r="BD27" i="3" s="1"/>
  <c r="BF38" i="3"/>
  <c r="BJ38" i="3" s="1"/>
  <c r="BC32" i="3"/>
  <c r="BG32" i="3" s="1"/>
  <c r="BH32" i="3" s="1"/>
  <c r="BI32" i="3" s="1"/>
  <c r="BF32" i="3"/>
  <c r="BJ32" i="3" s="1"/>
  <c r="BK32" i="3" s="1"/>
  <c r="BC25" i="3"/>
  <c r="BG25" i="3" s="1"/>
  <c r="BH25" i="3" s="1"/>
  <c r="BI25" i="3" s="1"/>
  <c r="BQ25" i="3"/>
  <c r="BQ38" i="3"/>
  <c r="BB25" i="3"/>
  <c r="BQ22" i="3"/>
  <c r="BQ16" i="3"/>
  <c r="BB16" i="3"/>
  <c r="BJ16" i="3"/>
  <c r="BK16" i="3" s="1"/>
  <c r="AX687" i="3"/>
  <c r="BQ19" i="3"/>
  <c r="BF22" i="3"/>
  <c r="BQ10" i="3"/>
  <c r="AW687" i="3"/>
  <c r="BC10" i="3"/>
  <c r="BD10" i="3" s="1"/>
  <c r="BB27" i="3"/>
  <c r="BF18" i="3"/>
  <c r="BJ17" i="3" s="1"/>
  <c r="BK17" i="3" s="1"/>
  <c r="BF9" i="3"/>
  <c r="BB34" i="3"/>
  <c r="BF27" i="3"/>
  <c r="BQ18" i="3"/>
  <c r="BF40" i="3"/>
  <c r="BJ40" i="3" s="1"/>
  <c r="BK40" i="3" s="1"/>
  <c r="BQ36" i="3"/>
  <c r="BB36" i="3"/>
  <c r="BB20" i="3"/>
  <c r="BQ13" i="3"/>
  <c r="BF19" i="3"/>
  <c r="BJ19" i="3" s="1"/>
  <c r="BK19" i="3" s="1"/>
  <c r="BB17" i="3"/>
  <c r="BF28" i="3"/>
  <c r="BQ28" i="3"/>
  <c r="BF42" i="3"/>
  <c r="BJ41" i="3" s="1"/>
  <c r="BK41" i="3" s="1"/>
  <c r="BF10" i="3"/>
  <c r="BJ10" i="3" s="1"/>
  <c r="BK10" i="3" s="1"/>
  <c r="BC39" i="3"/>
  <c r="BD39" i="3" s="1"/>
  <c r="BF15" i="3"/>
  <c r="BJ15" i="3" s="1"/>
  <c r="BK15" i="3" s="1"/>
  <c r="BB40" i="3"/>
  <c r="AU686" i="3"/>
  <c r="AT686" i="3"/>
  <c r="BB9" i="3"/>
  <c r="BQ31" i="3"/>
  <c r="BB15" i="3"/>
  <c r="BF31" i="3"/>
  <c r="BB21" i="3"/>
  <c r="BB11" i="3"/>
  <c r="BQ21" i="3"/>
  <c r="AW686" i="3"/>
  <c r="AX686" i="3"/>
  <c r="BC31" i="3"/>
  <c r="BG31" i="3" s="1"/>
  <c r="BH31" i="3" s="1"/>
  <c r="BI31" i="3" s="1"/>
  <c r="BG33" i="3"/>
  <c r="BH33" i="3" s="1"/>
  <c r="BI33" i="3" s="1"/>
  <c r="BQ20" i="3"/>
  <c r="BJ20" i="3"/>
  <c r="BK20" i="3" s="1"/>
  <c r="BB682" i="3"/>
  <c r="BQ39" i="3"/>
  <c r="BF13" i="3"/>
  <c r="BG682" i="3"/>
  <c r="BH682" i="3" s="1"/>
  <c r="BI682" i="3" s="1"/>
  <c r="BB39" i="3"/>
  <c r="BF35" i="3"/>
  <c r="BJ34" i="3" s="1"/>
  <c r="BK34" i="3" s="1"/>
  <c r="BQ41" i="3"/>
  <c r="BB41" i="3"/>
  <c r="BQ11" i="3"/>
  <c r="BC13" i="3"/>
  <c r="BG13" i="3" s="1"/>
  <c r="BH13" i="3" s="1"/>
  <c r="BI13" i="3" s="1"/>
  <c r="BD35" i="3"/>
  <c r="BB32" i="3"/>
  <c r="BQ35" i="3"/>
  <c r="BN47" i="3"/>
  <c r="BD15" i="3"/>
  <c r="BD29" i="3"/>
  <c r="BC44" i="3"/>
  <c r="BG44" i="3" s="1"/>
  <c r="BH44" i="3" s="1"/>
  <c r="BI44" i="3" s="1"/>
  <c r="AT46" i="3"/>
  <c r="BM47" i="3"/>
  <c r="AO47" i="3"/>
  <c r="AY45" i="3"/>
  <c r="AU46" i="3"/>
  <c r="AX46" i="3"/>
  <c r="AV45" i="3"/>
  <c r="BB44" i="3"/>
  <c r="BF44" i="3"/>
  <c r="BQ44" i="3"/>
  <c r="Y47" i="3"/>
  <c r="Z47" i="3" s="1"/>
  <c r="AR48" i="3"/>
  <c r="B48" i="3"/>
  <c r="AQ48" i="3"/>
  <c r="A49" i="3"/>
  <c r="AM48" i="3"/>
  <c r="R48" i="3"/>
  <c r="AK48" i="3"/>
  <c r="S48" i="3"/>
  <c r="T48" i="3"/>
  <c r="AD48" i="3"/>
  <c r="O48" i="3"/>
  <c r="P48" i="3"/>
  <c r="M48" i="3"/>
  <c r="AE48" i="3"/>
  <c r="AF48" i="3"/>
  <c r="U48" i="3"/>
  <c r="V48" i="3"/>
  <c r="Q48" i="3"/>
  <c r="C48" i="3"/>
  <c r="D48" i="3"/>
  <c r="G48" i="3"/>
  <c r="H48" i="3" s="1"/>
  <c r="F48" i="3"/>
  <c r="BA45" i="3"/>
  <c r="AW46" i="3"/>
  <c r="AG47" i="3"/>
  <c r="AH47" i="3"/>
  <c r="X47" i="3"/>
  <c r="AN47" i="3"/>
  <c r="BD42" i="3" l="1"/>
  <c r="BD20" i="3"/>
  <c r="BG12" i="3"/>
  <c r="BH12" i="3" s="1"/>
  <c r="BI12" i="3" s="1"/>
  <c r="BG19" i="3"/>
  <c r="BH19" i="3" s="1"/>
  <c r="BI19" i="3" s="1"/>
  <c r="BD16" i="3"/>
  <c r="BD43" i="3"/>
  <c r="BG17" i="3"/>
  <c r="BH17" i="3" s="1"/>
  <c r="BI17" i="3" s="1"/>
  <c r="BD21" i="3"/>
  <c r="BJ28" i="3"/>
  <c r="BK28" i="3" s="1"/>
  <c r="BJ22" i="3"/>
  <c r="BK22" i="3" s="1"/>
  <c r="BJ29" i="3"/>
  <c r="BK29" i="3" s="1"/>
  <c r="BC684" i="3"/>
  <c r="BD684" i="3" s="1"/>
  <c r="BG14" i="3"/>
  <c r="BH14" i="3" s="1"/>
  <c r="BI14" i="3" s="1"/>
  <c r="BG11" i="3"/>
  <c r="BH11" i="3" s="1"/>
  <c r="BI11" i="3" s="1"/>
  <c r="BG38" i="3"/>
  <c r="BH38" i="3" s="1"/>
  <c r="BI38" i="3" s="1"/>
  <c r="BG24" i="3"/>
  <c r="BH24" i="3" s="1"/>
  <c r="BI24" i="3" s="1"/>
  <c r="BD18" i="3"/>
  <c r="BD9" i="3"/>
  <c r="BD26" i="3"/>
  <c r="BG23" i="3"/>
  <c r="BH23" i="3" s="1"/>
  <c r="BI23" i="3" s="1"/>
  <c r="AY687" i="3"/>
  <c r="BD683" i="3"/>
  <c r="BG36" i="3"/>
  <c r="BH36" i="3" s="1"/>
  <c r="BI36" i="3" s="1"/>
  <c r="BG28" i="3"/>
  <c r="BH28" i="3" s="1"/>
  <c r="BI28" i="3" s="1"/>
  <c r="BJ30" i="3"/>
  <c r="BK30" i="3" s="1"/>
  <c r="BG34" i="3"/>
  <c r="BH34" i="3" s="1"/>
  <c r="BI34" i="3" s="1"/>
  <c r="BG41" i="3"/>
  <c r="BH41" i="3" s="1"/>
  <c r="BI41" i="3" s="1"/>
  <c r="AV46" i="3"/>
  <c r="AV687" i="3"/>
  <c r="BD37" i="3"/>
  <c r="BD40" i="3"/>
  <c r="BG30" i="3"/>
  <c r="BH30" i="3" s="1"/>
  <c r="BI30" i="3" s="1"/>
  <c r="AO48" i="3"/>
  <c r="BJ43" i="3"/>
  <c r="BK43" i="3" s="1"/>
  <c r="BB684" i="3"/>
  <c r="AV685" i="3"/>
  <c r="BJ37" i="3"/>
  <c r="BK37" i="3" s="1"/>
  <c r="BD22" i="3"/>
  <c r="BJ13" i="3"/>
  <c r="BK13" i="3" s="1"/>
  <c r="AY685" i="3"/>
  <c r="BJ26" i="3"/>
  <c r="BK26" i="3" s="1"/>
  <c r="BD25" i="3"/>
  <c r="BA685" i="3"/>
  <c r="BB685" i="3" s="1"/>
  <c r="BG27" i="3"/>
  <c r="BH27" i="3" s="1"/>
  <c r="BI27" i="3" s="1"/>
  <c r="BD32" i="3"/>
  <c r="BA687" i="3"/>
  <c r="BB687" i="3" s="1"/>
  <c r="BJ31" i="3"/>
  <c r="BK31" i="3" s="1"/>
  <c r="BJ27" i="3"/>
  <c r="BK27" i="3" s="1"/>
  <c r="BJ21" i="3"/>
  <c r="BK21" i="3" s="1"/>
  <c r="BJ39" i="3"/>
  <c r="BJ42" i="3"/>
  <c r="BK42" i="3" s="1"/>
  <c r="BJ12" i="3"/>
  <c r="BK12" i="3" s="1"/>
  <c r="BG10" i="3"/>
  <c r="BH10" i="3" s="1"/>
  <c r="BI10" i="3" s="1"/>
  <c r="BJ18" i="3"/>
  <c r="BK18" i="3" s="1"/>
  <c r="BJ9" i="3"/>
  <c r="BK9" i="3" s="1"/>
  <c r="BG39" i="3"/>
  <c r="BH39" i="3" s="1"/>
  <c r="BI39" i="3" s="1"/>
  <c r="BD31" i="3"/>
  <c r="BJ14" i="3"/>
  <c r="BK14" i="3" s="1"/>
  <c r="BJ35" i="3"/>
  <c r="BK35" i="3" s="1"/>
  <c r="AV686" i="3"/>
  <c r="BA686" i="3"/>
  <c r="BB686" i="3" s="1"/>
  <c r="AY686" i="3"/>
  <c r="BK38" i="3"/>
  <c r="BD13" i="3"/>
  <c r="BD44" i="3"/>
  <c r="BN48" i="3"/>
  <c r="BC45" i="3"/>
  <c r="BD45" i="3" s="1"/>
  <c r="BA46" i="3"/>
  <c r="BQ46" i="3" s="1"/>
  <c r="AU47" i="3"/>
  <c r="AH48" i="3"/>
  <c r="AN48" i="3"/>
  <c r="X48" i="3"/>
  <c r="AY46" i="3"/>
  <c r="BB45" i="3"/>
  <c r="BF45" i="3"/>
  <c r="BJ44" i="3" s="1"/>
  <c r="BK44" i="3" s="1"/>
  <c r="BQ45" i="3"/>
  <c r="Y48" i="3"/>
  <c r="Z48" i="3" s="1"/>
  <c r="AQ49" i="3"/>
  <c r="AR49" i="3"/>
  <c r="A50" i="3"/>
  <c r="B49" i="3"/>
  <c r="D49" i="3"/>
  <c r="AK49" i="3"/>
  <c r="R49" i="3"/>
  <c r="AM49" i="3"/>
  <c r="S49" i="3"/>
  <c r="Q49" i="3"/>
  <c r="AD49" i="3"/>
  <c r="AE49" i="3"/>
  <c r="U49" i="3"/>
  <c r="P49" i="3"/>
  <c r="O49" i="3"/>
  <c r="AF49" i="3"/>
  <c r="M49" i="3"/>
  <c r="V49" i="3"/>
  <c r="C49" i="3"/>
  <c r="G49" i="3"/>
  <c r="H49" i="3" s="1"/>
  <c r="F49" i="3"/>
  <c r="T49" i="3"/>
  <c r="AT47" i="3"/>
  <c r="AW47" i="3"/>
  <c r="BM48" i="3"/>
  <c r="AG48" i="3"/>
  <c r="AX47" i="3"/>
  <c r="BG684" i="3" l="1"/>
  <c r="BH684" i="3" s="1"/>
  <c r="BI684" i="3" s="1"/>
  <c r="BC687" i="3"/>
  <c r="BD687" i="3" s="1"/>
  <c r="BC685" i="3"/>
  <c r="BD685" i="3" s="1"/>
  <c r="BC46" i="3"/>
  <c r="BG46" i="3" s="1"/>
  <c r="BH46" i="3" s="1"/>
  <c r="BI46" i="3" s="1"/>
  <c r="BK39" i="3"/>
  <c r="BF685" i="3"/>
  <c r="BF687" i="3"/>
  <c r="BC686" i="3"/>
  <c r="BF686" i="3"/>
  <c r="AN49" i="3"/>
  <c r="BB46" i="3"/>
  <c r="BM49" i="3"/>
  <c r="BG45" i="3"/>
  <c r="BH45" i="3" s="1"/>
  <c r="BI45" i="3" s="1"/>
  <c r="BF46" i="3"/>
  <c r="BJ45" i="3" s="1"/>
  <c r="BN49" i="3"/>
  <c r="AW48" i="3"/>
  <c r="Y49" i="3"/>
  <c r="Z49" i="3" s="1"/>
  <c r="AV47" i="3"/>
  <c r="BA47" i="3"/>
  <c r="AQ50" i="3"/>
  <c r="B50" i="3"/>
  <c r="A51" i="3"/>
  <c r="AR50" i="3"/>
  <c r="C50" i="3"/>
  <c r="AK50" i="3"/>
  <c r="T50" i="3"/>
  <c r="AM50" i="3"/>
  <c r="Q50" i="3"/>
  <c r="AD50" i="3"/>
  <c r="P50" i="3"/>
  <c r="S50" i="3"/>
  <c r="O50" i="3"/>
  <c r="AE50" i="3"/>
  <c r="AF50" i="3"/>
  <c r="U50" i="3"/>
  <c r="M50" i="3"/>
  <c r="V50" i="3"/>
  <c r="D50" i="3"/>
  <c r="G50" i="3"/>
  <c r="H50" i="3" s="1"/>
  <c r="F50" i="3"/>
  <c r="R50" i="3"/>
  <c r="AU48" i="3"/>
  <c r="AX48" i="3"/>
  <c r="X49" i="3"/>
  <c r="AH49" i="3"/>
  <c r="AY47" i="3"/>
  <c r="AT48" i="3"/>
  <c r="AG49" i="3"/>
  <c r="AO49" i="3"/>
  <c r="BM50" i="3" l="1"/>
  <c r="BG687" i="3"/>
  <c r="BH687" i="3" s="1"/>
  <c r="BI687" i="3" s="1"/>
  <c r="BG685" i="3"/>
  <c r="BH685" i="3" s="1"/>
  <c r="BI685" i="3" s="1"/>
  <c r="BD46" i="3"/>
  <c r="AN50" i="3"/>
  <c r="BG686" i="3"/>
  <c r="BH686" i="3" s="1"/>
  <c r="BI686" i="3" s="1"/>
  <c r="BD686" i="3"/>
  <c r="BN50" i="3"/>
  <c r="BC47" i="3"/>
  <c r="BD47" i="3" s="1"/>
  <c r="AY48" i="3"/>
  <c r="AG50" i="3"/>
  <c r="BK45" i="3"/>
  <c r="Y50" i="3"/>
  <c r="Z50" i="3" s="1"/>
  <c r="AQ51" i="3"/>
  <c r="AR51" i="3"/>
  <c r="A52" i="3"/>
  <c r="B51" i="3"/>
  <c r="D51" i="3"/>
  <c r="S51" i="3"/>
  <c r="AK51" i="3"/>
  <c r="AM51" i="3"/>
  <c r="AD51" i="3"/>
  <c r="Q51" i="3"/>
  <c r="R51" i="3"/>
  <c r="P51" i="3"/>
  <c r="O51" i="3"/>
  <c r="AE51" i="3"/>
  <c r="M51" i="3"/>
  <c r="AF51" i="3"/>
  <c r="U51" i="3"/>
  <c r="V51" i="3"/>
  <c r="C51" i="3"/>
  <c r="G51" i="3"/>
  <c r="H51" i="3" s="1"/>
  <c r="F51" i="3"/>
  <c r="T51" i="3"/>
  <c r="AX49" i="3"/>
  <c r="AO50" i="3"/>
  <c r="AT49" i="3"/>
  <c r="AW49" i="3"/>
  <c r="X50" i="3"/>
  <c r="AV48" i="3"/>
  <c r="BA48" i="3"/>
  <c r="BB47" i="3"/>
  <c r="BQ47" i="3"/>
  <c r="BF47" i="3"/>
  <c r="BJ46" i="3" s="1"/>
  <c r="BK46" i="3" s="1"/>
  <c r="AU49" i="3"/>
  <c r="AH50" i="3"/>
  <c r="BM51" i="3" l="1"/>
  <c r="AU50" i="3"/>
  <c r="BN51" i="3"/>
  <c r="BG47" i="3"/>
  <c r="BH47" i="3" s="1"/>
  <c r="BI47" i="3" s="1"/>
  <c r="BC48" i="3"/>
  <c r="BG48" i="3" s="1"/>
  <c r="BH48" i="3" s="1"/>
  <c r="BI48" i="3" s="1"/>
  <c r="Y51" i="3"/>
  <c r="Z51" i="3" s="1"/>
  <c r="AN51" i="3"/>
  <c r="AT50" i="3"/>
  <c r="AW50" i="3"/>
  <c r="AG51" i="3"/>
  <c r="AY49" i="3"/>
  <c r="BF48" i="3"/>
  <c r="BJ47" i="3" s="1"/>
  <c r="BK47" i="3" s="1"/>
  <c r="BB48" i="3"/>
  <c r="BQ48" i="3"/>
  <c r="AV49" i="3"/>
  <c r="BA49" i="3"/>
  <c r="AR52" i="3"/>
  <c r="B52" i="3"/>
  <c r="AQ52" i="3"/>
  <c r="A53" i="3"/>
  <c r="D52" i="3"/>
  <c r="AK52" i="3"/>
  <c r="R52" i="3"/>
  <c r="AM52" i="3"/>
  <c r="C52" i="3"/>
  <c r="P52" i="3"/>
  <c r="AD52" i="3"/>
  <c r="M52" i="3"/>
  <c r="AE52" i="3"/>
  <c r="U52" i="3"/>
  <c r="O52" i="3"/>
  <c r="AF52" i="3"/>
  <c r="V52" i="3"/>
  <c r="Q52" i="3"/>
  <c r="G52" i="3"/>
  <c r="H52" i="3" s="1"/>
  <c r="F52" i="3"/>
  <c r="T52" i="3"/>
  <c r="S52" i="3"/>
  <c r="AX50" i="3"/>
  <c r="X51" i="3"/>
  <c r="AH51" i="3"/>
  <c r="AO51" i="3"/>
  <c r="BN52" i="3" l="1"/>
  <c r="BD48" i="3"/>
  <c r="AV50" i="3"/>
  <c r="AY50" i="3"/>
  <c r="AN52" i="3"/>
  <c r="BM52" i="3"/>
  <c r="AT51" i="3"/>
  <c r="AG52" i="3"/>
  <c r="BC49" i="3"/>
  <c r="BG49" i="3" s="1"/>
  <c r="BH49" i="3" s="1"/>
  <c r="BI49" i="3" s="1"/>
  <c r="AW51" i="3"/>
  <c r="AU51" i="3"/>
  <c r="X52" i="3"/>
  <c r="Y52" i="3"/>
  <c r="Z52" i="3" s="1"/>
  <c r="BA50" i="3"/>
  <c r="BF50" i="3" s="1"/>
  <c r="AQ53" i="3"/>
  <c r="AR53" i="3"/>
  <c r="A54" i="3"/>
  <c r="B53" i="3"/>
  <c r="S53" i="3"/>
  <c r="AM53" i="3"/>
  <c r="AK53" i="3"/>
  <c r="Q53" i="3"/>
  <c r="AD53" i="3"/>
  <c r="P53" i="3"/>
  <c r="T53" i="3"/>
  <c r="R53" i="3"/>
  <c r="O53" i="3"/>
  <c r="AF53" i="3"/>
  <c r="M53" i="3"/>
  <c r="AE53" i="3"/>
  <c r="U53" i="3"/>
  <c r="V53" i="3"/>
  <c r="F53" i="3"/>
  <c r="D53" i="3"/>
  <c r="C53" i="3"/>
  <c r="G53" i="3"/>
  <c r="H53" i="3" s="1"/>
  <c r="BQ49" i="3"/>
  <c r="BB49" i="3"/>
  <c r="BF49" i="3"/>
  <c r="BJ48" i="3" s="1"/>
  <c r="BK48" i="3" s="1"/>
  <c r="AX51" i="3"/>
  <c r="AO52" i="3"/>
  <c r="AH52" i="3"/>
  <c r="BN53" i="3" l="1"/>
  <c r="BC50" i="3"/>
  <c r="BG50" i="3" s="1"/>
  <c r="BH50" i="3" s="1"/>
  <c r="BI50" i="3" s="1"/>
  <c r="AV51" i="3"/>
  <c r="AX52" i="3"/>
  <c r="BD49" i="3"/>
  <c r="BM53" i="3"/>
  <c r="BA51" i="3"/>
  <c r="BF51" i="3" s="1"/>
  <c r="AT52" i="3"/>
  <c r="AU52" i="3"/>
  <c r="AW52" i="3"/>
  <c r="AH53" i="3"/>
  <c r="AO53" i="3"/>
  <c r="BB50" i="3"/>
  <c r="BQ50" i="3"/>
  <c r="Y53" i="3"/>
  <c r="Z53" i="3" s="1"/>
  <c r="AY51" i="3"/>
  <c r="AG53" i="3"/>
  <c r="AN53" i="3"/>
  <c r="BJ49" i="3"/>
  <c r="BK49" i="3" s="1"/>
  <c r="AQ54" i="3"/>
  <c r="B54" i="3"/>
  <c r="A55" i="3"/>
  <c r="AR54" i="3"/>
  <c r="D54" i="3"/>
  <c r="C54" i="3"/>
  <c r="AK54" i="3"/>
  <c r="S54" i="3"/>
  <c r="AM54" i="3"/>
  <c r="Q54" i="3"/>
  <c r="R54" i="3"/>
  <c r="O54" i="3"/>
  <c r="AD54" i="3"/>
  <c r="M54" i="3"/>
  <c r="AE54" i="3"/>
  <c r="AF54" i="3"/>
  <c r="U54" i="3"/>
  <c r="P54" i="3"/>
  <c r="V54" i="3"/>
  <c r="F54" i="3"/>
  <c r="G54" i="3"/>
  <c r="H54" i="3" s="1"/>
  <c r="T54" i="3"/>
  <c r="X53" i="3"/>
  <c r="BN54" i="3" l="1"/>
  <c r="BM54" i="3"/>
  <c r="BD50" i="3"/>
  <c r="BC51" i="3"/>
  <c r="BD51" i="3" s="1"/>
  <c r="BQ51" i="3"/>
  <c r="AN54" i="3"/>
  <c r="AY52" i="3"/>
  <c r="AG54" i="3"/>
  <c r="BB51" i="3"/>
  <c r="AX53" i="3"/>
  <c r="BA52" i="3"/>
  <c r="BF52" i="3" s="1"/>
  <c r="BJ51" i="3" s="1"/>
  <c r="AT53" i="3"/>
  <c r="AU53" i="3"/>
  <c r="AV52" i="3"/>
  <c r="AH54" i="3"/>
  <c r="AO54" i="3"/>
  <c r="Y54" i="3"/>
  <c r="Z54" i="3" s="1"/>
  <c r="X54" i="3"/>
  <c r="AW53" i="3"/>
  <c r="AQ55" i="3"/>
  <c r="AR55" i="3"/>
  <c r="A56" i="3"/>
  <c r="B55" i="3"/>
  <c r="C55" i="3"/>
  <c r="AM55" i="3"/>
  <c r="AK55" i="3"/>
  <c r="T55" i="3"/>
  <c r="Q55" i="3"/>
  <c r="R55" i="3"/>
  <c r="AD55" i="3"/>
  <c r="O55" i="3"/>
  <c r="P55" i="3"/>
  <c r="AE55" i="3"/>
  <c r="M55" i="3"/>
  <c r="V55" i="3"/>
  <c r="U55" i="3"/>
  <c r="AF55" i="3"/>
  <c r="G55" i="3"/>
  <c r="H55" i="3" s="1"/>
  <c r="F55" i="3"/>
  <c r="D55" i="3"/>
  <c r="S55" i="3"/>
  <c r="BJ50" i="3"/>
  <c r="BK50" i="3" s="1"/>
  <c r="BG51" i="3" l="1"/>
  <c r="BH51" i="3" s="1"/>
  <c r="BI51" i="3" s="1"/>
  <c r="BK51" i="3"/>
  <c r="AY53" i="3"/>
  <c r="AU54" i="3"/>
  <c r="BB52" i="3"/>
  <c r="BM55" i="3"/>
  <c r="BC52" i="3"/>
  <c r="BG52" i="3" s="1"/>
  <c r="BH52" i="3" s="1"/>
  <c r="BI52" i="3" s="1"/>
  <c r="AT54" i="3"/>
  <c r="BQ52" i="3"/>
  <c r="AV53" i="3"/>
  <c r="AN55" i="3"/>
  <c r="AX54" i="3"/>
  <c r="AW54" i="3"/>
  <c r="Y55" i="3"/>
  <c r="Z55" i="3" s="1"/>
  <c r="AR56" i="3"/>
  <c r="B56" i="3"/>
  <c r="AQ56" i="3"/>
  <c r="A57" i="3"/>
  <c r="C56" i="3"/>
  <c r="T56" i="3"/>
  <c r="Q56" i="3"/>
  <c r="AK56" i="3"/>
  <c r="AM56" i="3"/>
  <c r="R56" i="3"/>
  <c r="AD56" i="3"/>
  <c r="P56" i="3"/>
  <c r="O56" i="3"/>
  <c r="AE56" i="3"/>
  <c r="V56" i="3"/>
  <c r="M56" i="3"/>
  <c r="AF56" i="3"/>
  <c r="U56" i="3"/>
  <c r="G56" i="3"/>
  <c r="H56" i="3" s="1"/>
  <c r="F56" i="3"/>
  <c r="D56" i="3"/>
  <c r="S56" i="3"/>
  <c r="BN55" i="3"/>
  <c r="AH55" i="3"/>
  <c r="AO55" i="3"/>
  <c r="BA53" i="3"/>
  <c r="X55" i="3"/>
  <c r="AG55" i="3"/>
  <c r="BD52" i="3" l="1"/>
  <c r="AV54" i="3"/>
  <c r="BC53" i="3"/>
  <c r="BG53" i="3" s="1"/>
  <c r="BH53" i="3" s="1"/>
  <c r="BI53" i="3" s="1"/>
  <c r="AN56" i="3"/>
  <c r="BM56" i="3"/>
  <c r="BA54" i="3"/>
  <c r="BB54" i="3" s="1"/>
  <c r="AY54" i="3"/>
  <c r="AW55" i="3"/>
  <c r="X56" i="3"/>
  <c r="Y56" i="3"/>
  <c r="Z56" i="3" s="1"/>
  <c r="AT55" i="3"/>
  <c r="BN56" i="3"/>
  <c r="AH56" i="3"/>
  <c r="BB53" i="3"/>
  <c r="BQ53" i="3"/>
  <c r="BF53" i="3"/>
  <c r="BJ52" i="3" s="1"/>
  <c r="BK52" i="3" s="1"/>
  <c r="AU55" i="3"/>
  <c r="AX55" i="3"/>
  <c r="AQ57" i="3"/>
  <c r="AR57" i="3"/>
  <c r="A58" i="3"/>
  <c r="B57" i="3"/>
  <c r="AM57" i="3"/>
  <c r="Q57" i="3"/>
  <c r="AK57" i="3"/>
  <c r="T57" i="3"/>
  <c r="P57" i="3"/>
  <c r="O57" i="3"/>
  <c r="AD57" i="3"/>
  <c r="AF57" i="3"/>
  <c r="U57" i="3"/>
  <c r="AE57" i="3"/>
  <c r="M57" i="3"/>
  <c r="V57" i="3"/>
  <c r="C57" i="3"/>
  <c r="D57" i="3"/>
  <c r="G57" i="3"/>
  <c r="H57" i="3" s="1"/>
  <c r="R57" i="3"/>
  <c r="F57" i="3"/>
  <c r="BM57" i="3" s="1"/>
  <c r="S57" i="3"/>
  <c r="AG56" i="3"/>
  <c r="AO56" i="3"/>
  <c r="AO57" i="3" l="1"/>
  <c r="BC54" i="3"/>
  <c r="BD54" i="3" s="1"/>
  <c r="BD53" i="3"/>
  <c r="BN57" i="3"/>
  <c r="AY55" i="3"/>
  <c r="BF54" i="3"/>
  <c r="BJ53" i="3" s="1"/>
  <c r="BK53" i="3" s="1"/>
  <c r="BQ54" i="3"/>
  <c r="AH57" i="3"/>
  <c r="Y57" i="3"/>
  <c r="Z57" i="3" s="1"/>
  <c r="AV55" i="3"/>
  <c r="BA55" i="3"/>
  <c r="AW56" i="3"/>
  <c r="X57" i="3"/>
  <c r="AG57" i="3"/>
  <c r="AT56" i="3"/>
  <c r="AX56" i="3"/>
  <c r="AQ58" i="3"/>
  <c r="B58" i="3"/>
  <c r="A59" i="3"/>
  <c r="AR58" i="3"/>
  <c r="D58" i="3"/>
  <c r="AK58" i="3"/>
  <c r="S58" i="3"/>
  <c r="Q58" i="3"/>
  <c r="AM58" i="3"/>
  <c r="T58" i="3"/>
  <c r="R58" i="3"/>
  <c r="AD58" i="3"/>
  <c r="P58" i="3"/>
  <c r="O58" i="3"/>
  <c r="AE58" i="3"/>
  <c r="M58" i="3"/>
  <c r="AF58" i="3"/>
  <c r="U58" i="3"/>
  <c r="V58" i="3"/>
  <c r="C58" i="3"/>
  <c r="G58" i="3"/>
  <c r="H58" i="3" s="1"/>
  <c r="F58" i="3"/>
  <c r="AN57" i="3"/>
  <c r="AU56" i="3"/>
  <c r="BN58" i="3" l="1"/>
  <c r="BM58" i="3"/>
  <c r="AT57" i="3"/>
  <c r="BG54" i="3"/>
  <c r="BH54" i="3" s="1"/>
  <c r="BI54" i="3" s="1"/>
  <c r="BC55" i="3"/>
  <c r="BG55" i="3" s="1"/>
  <c r="BH55" i="3" s="1"/>
  <c r="BI55" i="3" s="1"/>
  <c r="AN58" i="3"/>
  <c r="AU57" i="3"/>
  <c r="AX57" i="3"/>
  <c r="Y58" i="3"/>
  <c r="Z58" i="3" s="1"/>
  <c r="AQ59" i="3"/>
  <c r="AR59" i="3"/>
  <c r="A60" i="3"/>
  <c r="B59" i="3"/>
  <c r="D59" i="3"/>
  <c r="AK59" i="3"/>
  <c r="C59" i="3"/>
  <c r="AM59" i="3"/>
  <c r="R59" i="3"/>
  <c r="Q59" i="3"/>
  <c r="AD59" i="3"/>
  <c r="P59" i="3"/>
  <c r="O59" i="3"/>
  <c r="AE59" i="3"/>
  <c r="M59" i="3"/>
  <c r="V59" i="3"/>
  <c r="AF59" i="3"/>
  <c r="U59" i="3"/>
  <c r="F59" i="3"/>
  <c r="G59" i="3"/>
  <c r="H59" i="3" s="1"/>
  <c r="T59" i="3"/>
  <c r="S59" i="3"/>
  <c r="BA56" i="3"/>
  <c r="AV56" i="3"/>
  <c r="AG58" i="3"/>
  <c r="AW57" i="3"/>
  <c r="AY56" i="3"/>
  <c r="BQ55" i="3"/>
  <c r="BF55" i="3"/>
  <c r="BJ54" i="3" s="1"/>
  <c r="BK54" i="3" s="1"/>
  <c r="BB55" i="3"/>
  <c r="X58" i="3"/>
  <c r="AH58" i="3"/>
  <c r="AO58" i="3"/>
  <c r="BM59" i="3" l="1"/>
  <c r="AV57" i="3"/>
  <c r="BD55" i="3"/>
  <c r="AN59" i="3"/>
  <c r="AU58" i="3"/>
  <c r="BN59" i="3"/>
  <c r="AY57" i="3"/>
  <c r="AG59" i="3"/>
  <c r="BA57" i="3"/>
  <c r="BB57" i="3" s="1"/>
  <c r="X59" i="3"/>
  <c r="AT58" i="3"/>
  <c r="AW58" i="3"/>
  <c r="BB56" i="3"/>
  <c r="BQ56" i="3"/>
  <c r="BF56" i="3"/>
  <c r="BJ55" i="3" s="1"/>
  <c r="BK55" i="3" s="1"/>
  <c r="Y59" i="3"/>
  <c r="Z59" i="3" s="1"/>
  <c r="AR60" i="3"/>
  <c r="B60" i="3"/>
  <c r="AQ60" i="3"/>
  <c r="A61" i="3"/>
  <c r="D60" i="3"/>
  <c r="AK60" i="3"/>
  <c r="AM60" i="3"/>
  <c r="T60" i="3"/>
  <c r="Q60" i="3"/>
  <c r="AD60" i="3"/>
  <c r="O60" i="3"/>
  <c r="S60" i="3"/>
  <c r="P60" i="3"/>
  <c r="AF60" i="3"/>
  <c r="V60" i="3"/>
  <c r="M60" i="3"/>
  <c r="AE60" i="3"/>
  <c r="U60" i="3"/>
  <c r="G60" i="3"/>
  <c r="H60" i="3" s="1"/>
  <c r="F60" i="3"/>
  <c r="R60" i="3"/>
  <c r="C60" i="3"/>
  <c r="AX58" i="3"/>
  <c r="AH59" i="3"/>
  <c r="BC56" i="3"/>
  <c r="AO59" i="3"/>
  <c r="AU59" i="3" l="1"/>
  <c r="BC57" i="3"/>
  <c r="BD57" i="3" s="1"/>
  <c r="BN60" i="3"/>
  <c r="BQ57" i="3"/>
  <c r="AW59" i="3"/>
  <c r="AT59" i="3"/>
  <c r="AN60" i="3"/>
  <c r="BF57" i="3"/>
  <c r="BJ56" i="3" s="1"/>
  <c r="X60" i="3"/>
  <c r="AG60" i="3"/>
  <c r="AQ61" i="3"/>
  <c r="AR61" i="3"/>
  <c r="A62" i="3"/>
  <c r="B61" i="3"/>
  <c r="D61" i="3"/>
  <c r="C61" i="3"/>
  <c r="AM61" i="3"/>
  <c r="S61" i="3"/>
  <c r="AK61" i="3"/>
  <c r="Q61" i="3"/>
  <c r="R61" i="3"/>
  <c r="AD61" i="3"/>
  <c r="P61" i="3"/>
  <c r="M61" i="3"/>
  <c r="AE61" i="3"/>
  <c r="O61" i="3"/>
  <c r="V61" i="3"/>
  <c r="U61" i="3"/>
  <c r="AF61" i="3"/>
  <c r="F61" i="3"/>
  <c r="G61" i="3"/>
  <c r="H61" i="3" s="1"/>
  <c r="T61" i="3"/>
  <c r="BA58" i="3"/>
  <c r="AV58" i="3"/>
  <c r="AX59" i="3"/>
  <c r="BM60" i="3"/>
  <c r="AH60" i="3"/>
  <c r="AO60" i="3"/>
  <c r="BD56" i="3"/>
  <c r="BG56" i="3"/>
  <c r="BH56" i="3" s="1"/>
  <c r="BI56" i="3" s="1"/>
  <c r="Y60" i="3"/>
  <c r="Z60" i="3" s="1"/>
  <c r="AY58" i="3"/>
  <c r="BN61" i="3" l="1"/>
  <c r="AV59" i="3"/>
  <c r="BK56" i="3"/>
  <c r="BG57" i="3"/>
  <c r="BH57" i="3" s="1"/>
  <c r="BI57" i="3" s="1"/>
  <c r="AY59" i="3"/>
  <c r="BM61" i="3"/>
  <c r="AO61" i="3"/>
  <c r="AT60" i="3"/>
  <c r="AW60" i="3"/>
  <c r="BC58" i="3"/>
  <c r="BG58" i="3" s="1"/>
  <c r="BH58" i="3" s="1"/>
  <c r="BI58" i="3" s="1"/>
  <c r="AX60" i="3"/>
  <c r="AH61" i="3"/>
  <c r="AG61" i="3"/>
  <c r="BB58" i="3"/>
  <c r="BQ58" i="3"/>
  <c r="BF58" i="3"/>
  <c r="BJ57" i="3" s="1"/>
  <c r="BK57" i="3" s="1"/>
  <c r="AU60" i="3"/>
  <c r="Y61" i="3"/>
  <c r="Z61" i="3" s="1"/>
  <c r="X61" i="3"/>
  <c r="BA59" i="3"/>
  <c r="AQ62" i="3"/>
  <c r="B62" i="3"/>
  <c r="A63" i="3"/>
  <c r="AR62" i="3"/>
  <c r="D62" i="3"/>
  <c r="AM62" i="3"/>
  <c r="Q62" i="3"/>
  <c r="R62" i="3"/>
  <c r="AK62" i="3"/>
  <c r="P62" i="3"/>
  <c r="O62" i="3"/>
  <c r="AD62" i="3"/>
  <c r="M62" i="3"/>
  <c r="AE62" i="3"/>
  <c r="AF62" i="3"/>
  <c r="V62" i="3"/>
  <c r="U62" i="3"/>
  <c r="F62" i="3"/>
  <c r="C62" i="3"/>
  <c r="T62" i="3"/>
  <c r="G62" i="3"/>
  <c r="H62" i="3" s="1"/>
  <c r="BN62" i="3" s="1"/>
  <c r="S62" i="3"/>
  <c r="AN61" i="3"/>
  <c r="BC59" i="3" l="1"/>
  <c r="BG59" i="3" s="1"/>
  <c r="BH59" i="3" s="1"/>
  <c r="BI59" i="3" s="1"/>
  <c r="AY60" i="3"/>
  <c r="BD58" i="3"/>
  <c r="BM62" i="3"/>
  <c r="AV60" i="3"/>
  <c r="AT61" i="3"/>
  <c r="AX61" i="3"/>
  <c r="AN62" i="3"/>
  <c r="AW61" i="3"/>
  <c r="AG62" i="3"/>
  <c r="AU61" i="3"/>
  <c r="BA60" i="3"/>
  <c r="BB60" i="3" s="1"/>
  <c r="X62" i="3"/>
  <c r="Y62" i="3"/>
  <c r="Z62" i="3" s="1"/>
  <c r="AQ63" i="3"/>
  <c r="AR63" i="3"/>
  <c r="A64" i="3"/>
  <c r="B63" i="3"/>
  <c r="D63" i="3"/>
  <c r="AK63" i="3"/>
  <c r="AM63" i="3"/>
  <c r="Q63" i="3"/>
  <c r="AD63" i="3"/>
  <c r="O63" i="3"/>
  <c r="P63" i="3"/>
  <c r="M63" i="3"/>
  <c r="AF63" i="3"/>
  <c r="AE63" i="3"/>
  <c r="U63" i="3"/>
  <c r="V63" i="3"/>
  <c r="C63" i="3"/>
  <c r="G63" i="3"/>
  <c r="H63" i="3" s="1"/>
  <c r="R63" i="3"/>
  <c r="F63" i="3"/>
  <c r="S63" i="3"/>
  <c r="T63" i="3"/>
  <c r="AH62" i="3"/>
  <c r="AO62" i="3"/>
  <c r="BQ59" i="3"/>
  <c r="BB59" i="3"/>
  <c r="BF59" i="3"/>
  <c r="BJ58" i="3" s="1"/>
  <c r="BK58" i="3" s="1"/>
  <c r="BD59" i="3" l="1"/>
  <c r="BC60" i="3"/>
  <c r="BD60" i="3" s="1"/>
  <c r="AV61" i="3"/>
  <c r="BM63" i="3"/>
  <c r="BN63" i="3"/>
  <c r="AO63" i="3"/>
  <c r="AU62" i="3"/>
  <c r="AT62" i="3"/>
  <c r="BF60" i="3"/>
  <c r="BJ59" i="3" s="1"/>
  <c r="BK59" i="3" s="1"/>
  <c r="BQ60" i="3"/>
  <c r="AY61" i="3"/>
  <c r="AW62" i="3"/>
  <c r="BA61" i="3"/>
  <c r="BQ61" i="3" s="1"/>
  <c r="Y63" i="3"/>
  <c r="Z63" i="3" s="1"/>
  <c r="AG63" i="3"/>
  <c r="AQ64" i="3"/>
  <c r="B64" i="3"/>
  <c r="A65" i="3"/>
  <c r="AR64" i="3"/>
  <c r="D64" i="3"/>
  <c r="C64" i="3"/>
  <c r="AM64" i="3"/>
  <c r="Q64" i="3"/>
  <c r="AK64" i="3"/>
  <c r="R64" i="3"/>
  <c r="S64" i="3"/>
  <c r="AD64" i="3"/>
  <c r="P64" i="3"/>
  <c r="O64" i="3"/>
  <c r="V64" i="3"/>
  <c r="AE64" i="3"/>
  <c r="AF64" i="3"/>
  <c r="M64" i="3"/>
  <c r="U64" i="3"/>
  <c r="F64" i="3"/>
  <c r="G64" i="3"/>
  <c r="H64" i="3" s="1"/>
  <c r="T64" i="3"/>
  <c r="AX62" i="3"/>
  <c r="X63" i="3"/>
  <c r="AH63" i="3"/>
  <c r="AN63" i="3"/>
  <c r="BN64" i="3" l="1"/>
  <c r="BG60" i="3"/>
  <c r="BH60" i="3" s="1"/>
  <c r="BI60" i="3" s="1"/>
  <c r="BM64" i="3"/>
  <c r="BC61" i="3"/>
  <c r="BD61" i="3" s="1"/>
  <c r="AO64" i="3"/>
  <c r="AV62" i="3"/>
  <c r="AG64" i="3"/>
  <c r="BF61" i="3"/>
  <c r="BJ60" i="3" s="1"/>
  <c r="BA62" i="3"/>
  <c r="BB62" i="3" s="1"/>
  <c r="BB61" i="3"/>
  <c r="AX63" i="3"/>
  <c r="AT63" i="3"/>
  <c r="Y64" i="3"/>
  <c r="Z64" i="3" s="1"/>
  <c r="AQ65" i="3"/>
  <c r="AR65" i="3"/>
  <c r="A66" i="3"/>
  <c r="B65" i="3"/>
  <c r="AK65" i="3"/>
  <c r="AM65" i="3"/>
  <c r="T65" i="3"/>
  <c r="R65" i="3"/>
  <c r="AD65" i="3"/>
  <c r="O65" i="3"/>
  <c r="S65" i="3"/>
  <c r="Q65" i="3"/>
  <c r="P65" i="3"/>
  <c r="M65" i="3"/>
  <c r="V65" i="3"/>
  <c r="U65" i="3"/>
  <c r="AF65" i="3"/>
  <c r="AE65" i="3"/>
  <c r="D65" i="3"/>
  <c r="F65" i="3"/>
  <c r="C65" i="3"/>
  <c r="G65" i="3"/>
  <c r="H65" i="3" s="1"/>
  <c r="AW63" i="3"/>
  <c r="AU63" i="3"/>
  <c r="AY62" i="3"/>
  <c r="AH64" i="3"/>
  <c r="AN64" i="3"/>
  <c r="X64" i="3"/>
  <c r="BK60" i="3" l="1"/>
  <c r="BG61" i="3"/>
  <c r="BH61" i="3" s="1"/>
  <c r="BI61" i="3" s="1"/>
  <c r="AV63" i="3"/>
  <c r="BC62" i="3"/>
  <c r="BD62" i="3" s="1"/>
  <c r="BQ62" i="3"/>
  <c r="AU64" i="3"/>
  <c r="AY63" i="3"/>
  <c r="BF62" i="3"/>
  <c r="BJ61" i="3" s="1"/>
  <c r="BK61" i="3" s="1"/>
  <c r="AO65" i="3"/>
  <c r="AT64" i="3"/>
  <c r="AW64" i="3"/>
  <c r="X65" i="3"/>
  <c r="Y65" i="3"/>
  <c r="Z65" i="3" s="1"/>
  <c r="AX64" i="3"/>
  <c r="BN65" i="3"/>
  <c r="BM65" i="3"/>
  <c r="AG65" i="3"/>
  <c r="AN65" i="3"/>
  <c r="BA63" i="3"/>
  <c r="AQ66" i="3"/>
  <c r="B66" i="3"/>
  <c r="A67" i="3"/>
  <c r="AR66" i="3"/>
  <c r="C66" i="3"/>
  <c r="Q66" i="3"/>
  <c r="AM66" i="3"/>
  <c r="AK66" i="3"/>
  <c r="AD66" i="3"/>
  <c r="R66" i="3"/>
  <c r="O66" i="3"/>
  <c r="AE66" i="3"/>
  <c r="M66" i="3"/>
  <c r="V66" i="3"/>
  <c r="U66" i="3"/>
  <c r="AF66" i="3"/>
  <c r="D66" i="3"/>
  <c r="F66" i="3"/>
  <c r="S66" i="3"/>
  <c r="T66" i="3"/>
  <c r="G66" i="3"/>
  <c r="H66" i="3" s="1"/>
  <c r="P66" i="3"/>
  <c r="AH65" i="3"/>
  <c r="BN66" i="3" l="1"/>
  <c r="AV64" i="3"/>
  <c r="BC63" i="3"/>
  <c r="BD63" i="3" s="1"/>
  <c r="BG62" i="3"/>
  <c r="BH62" i="3" s="1"/>
  <c r="BI62" i="3" s="1"/>
  <c r="BM66" i="3"/>
  <c r="AY64" i="3"/>
  <c r="AX65" i="3"/>
  <c r="AO66" i="3"/>
  <c r="BF63" i="3"/>
  <c r="BJ62" i="3" s="1"/>
  <c r="BK62" i="3" s="1"/>
  <c r="BQ63" i="3"/>
  <c r="BB63" i="3"/>
  <c r="Y66" i="3"/>
  <c r="Z66" i="3" s="1"/>
  <c r="AQ67" i="3"/>
  <c r="AR67" i="3"/>
  <c r="A68" i="3"/>
  <c r="B67" i="3"/>
  <c r="C67" i="3"/>
  <c r="AM67" i="3"/>
  <c r="S67" i="3"/>
  <c r="AK67" i="3"/>
  <c r="R67" i="3"/>
  <c r="Q67" i="3"/>
  <c r="AD67" i="3"/>
  <c r="P67" i="3"/>
  <c r="T67" i="3"/>
  <c r="O67" i="3"/>
  <c r="M67" i="3"/>
  <c r="AF67" i="3"/>
  <c r="V67" i="3"/>
  <c r="AE67" i="3"/>
  <c r="U67" i="3"/>
  <c r="D67" i="3"/>
  <c r="G67" i="3"/>
  <c r="H67" i="3" s="1"/>
  <c r="F67" i="3"/>
  <c r="AU65" i="3"/>
  <c r="X66" i="3"/>
  <c r="AH66" i="3"/>
  <c r="AN66" i="3"/>
  <c r="AT65" i="3"/>
  <c r="AW65" i="3"/>
  <c r="BA64" i="3"/>
  <c r="AG66" i="3"/>
  <c r="BC64" i="3" l="1"/>
  <c r="BD64" i="3" s="1"/>
  <c r="AO67" i="3"/>
  <c r="BG63" i="3"/>
  <c r="BH63" i="3" s="1"/>
  <c r="BI63" i="3" s="1"/>
  <c r="BM67" i="3"/>
  <c r="AT66" i="3"/>
  <c r="AY65" i="3"/>
  <c r="AG67" i="3"/>
  <c r="Y67" i="3"/>
  <c r="Z67" i="3" s="1"/>
  <c r="AH67" i="3"/>
  <c r="AN67" i="3"/>
  <c r="BF64" i="3"/>
  <c r="BJ63" i="3" s="1"/>
  <c r="BK63" i="3" s="1"/>
  <c r="BQ64" i="3"/>
  <c r="BB64" i="3"/>
  <c r="AV65" i="3"/>
  <c r="BA65" i="3"/>
  <c r="AQ68" i="3"/>
  <c r="B68" i="3"/>
  <c r="A69" i="3"/>
  <c r="AR68" i="3"/>
  <c r="AM68" i="3"/>
  <c r="AK68" i="3"/>
  <c r="D68" i="3"/>
  <c r="R68" i="3"/>
  <c r="T68" i="3"/>
  <c r="Q68" i="3"/>
  <c r="AD68" i="3"/>
  <c r="P68" i="3"/>
  <c r="AF68" i="3"/>
  <c r="V68" i="3"/>
  <c r="U68" i="3"/>
  <c r="O68" i="3"/>
  <c r="AE68" i="3"/>
  <c r="M68" i="3"/>
  <c r="C68" i="3"/>
  <c r="G68" i="3"/>
  <c r="H68" i="3" s="1"/>
  <c r="F68" i="3"/>
  <c r="S68" i="3"/>
  <c r="AW66" i="3"/>
  <c r="AU66" i="3"/>
  <c r="AX66" i="3"/>
  <c r="BN67" i="3"/>
  <c r="X67" i="3"/>
  <c r="BM68" i="3" l="1"/>
  <c r="BG64" i="3"/>
  <c r="BH64" i="3" s="1"/>
  <c r="BI64" i="3" s="1"/>
  <c r="AG68" i="3"/>
  <c r="AU67" i="3"/>
  <c r="AT67" i="3"/>
  <c r="BC65" i="3"/>
  <c r="BG65" i="3" s="1"/>
  <c r="BH65" i="3" s="1"/>
  <c r="BI65" i="3" s="1"/>
  <c r="AV66" i="3"/>
  <c r="AN68" i="3"/>
  <c r="AX67" i="3"/>
  <c r="AY66" i="3"/>
  <c r="Y68" i="3"/>
  <c r="Z68" i="3" s="1"/>
  <c r="BQ65" i="3"/>
  <c r="BF65" i="3"/>
  <c r="BB65" i="3"/>
  <c r="AH68" i="3"/>
  <c r="X68" i="3"/>
  <c r="BN68" i="3"/>
  <c r="AO68" i="3"/>
  <c r="AW67" i="3"/>
  <c r="BA66" i="3"/>
  <c r="AQ69" i="3"/>
  <c r="AR69" i="3"/>
  <c r="A70" i="3"/>
  <c r="B69" i="3"/>
  <c r="C69" i="3"/>
  <c r="AM69" i="3"/>
  <c r="S69" i="3"/>
  <c r="R69" i="3"/>
  <c r="D69" i="3"/>
  <c r="AK69" i="3"/>
  <c r="Q69" i="3"/>
  <c r="AD69" i="3"/>
  <c r="O69" i="3"/>
  <c r="P69" i="3"/>
  <c r="M69" i="3"/>
  <c r="AE69" i="3"/>
  <c r="U69" i="3"/>
  <c r="V69" i="3"/>
  <c r="AF69" i="3"/>
  <c r="F69" i="3"/>
  <c r="G69" i="3"/>
  <c r="H69" i="3" s="1"/>
  <c r="T69" i="3"/>
  <c r="BN69" i="3" l="1"/>
  <c r="BD65" i="3"/>
  <c r="AO69" i="3"/>
  <c r="AV67" i="3"/>
  <c r="BM69" i="3"/>
  <c r="BC66" i="3"/>
  <c r="BD66" i="3" s="1"/>
  <c r="AX68" i="3"/>
  <c r="AG69" i="3"/>
  <c r="BA67" i="3"/>
  <c r="BB67" i="3" s="1"/>
  <c r="AT68" i="3"/>
  <c r="AY67" i="3"/>
  <c r="AU68" i="3"/>
  <c r="AW68" i="3"/>
  <c r="Y69" i="3"/>
  <c r="Z69" i="3" s="1"/>
  <c r="BF66" i="3"/>
  <c r="BJ65" i="3" s="1"/>
  <c r="BK65" i="3" s="1"/>
  <c r="BB66" i="3"/>
  <c r="BQ66" i="3"/>
  <c r="AQ70" i="3"/>
  <c r="B70" i="3"/>
  <c r="A71" i="3"/>
  <c r="AR70" i="3"/>
  <c r="C70" i="3"/>
  <c r="D70" i="3"/>
  <c r="AK70" i="3"/>
  <c r="T70" i="3"/>
  <c r="AM70" i="3"/>
  <c r="R70" i="3"/>
  <c r="Q70" i="3"/>
  <c r="AD70" i="3"/>
  <c r="P70" i="3"/>
  <c r="O70" i="3"/>
  <c r="AE70" i="3"/>
  <c r="AF70" i="3"/>
  <c r="M70" i="3"/>
  <c r="V70" i="3"/>
  <c r="U70" i="3"/>
  <c r="G70" i="3"/>
  <c r="H70" i="3" s="1"/>
  <c r="F70" i="3"/>
  <c r="BM70" i="3" s="1"/>
  <c r="S70" i="3"/>
  <c r="AH69" i="3"/>
  <c r="AN69" i="3"/>
  <c r="X69" i="3"/>
  <c r="BJ64" i="3"/>
  <c r="BK64" i="3" s="1"/>
  <c r="BN70" i="3" l="1"/>
  <c r="AY68" i="3"/>
  <c r="AN70" i="3"/>
  <c r="BG66" i="3"/>
  <c r="BH66" i="3" s="1"/>
  <c r="BI66" i="3" s="1"/>
  <c r="BC67" i="3"/>
  <c r="BD67" i="3" s="1"/>
  <c r="AV68" i="3"/>
  <c r="BQ67" i="3"/>
  <c r="AT69" i="3"/>
  <c r="BF67" i="3"/>
  <c r="BJ66" i="3" s="1"/>
  <c r="BA68" i="3"/>
  <c r="BQ68" i="3" s="1"/>
  <c r="AX69" i="3"/>
  <c r="X70" i="3"/>
  <c r="AQ71" i="3"/>
  <c r="AR71" i="3"/>
  <c r="A72" i="3"/>
  <c r="B71" i="3"/>
  <c r="AM71" i="3"/>
  <c r="AK71" i="3"/>
  <c r="R71" i="3"/>
  <c r="AD71" i="3"/>
  <c r="P71" i="3"/>
  <c r="Q71" i="3"/>
  <c r="AE71" i="3"/>
  <c r="AF71" i="3"/>
  <c r="O71" i="3"/>
  <c r="M71" i="3"/>
  <c r="V71" i="3"/>
  <c r="U71" i="3"/>
  <c r="D71" i="3"/>
  <c r="G71" i="3"/>
  <c r="H71" i="3" s="1"/>
  <c r="C71" i="3"/>
  <c r="F71" i="3"/>
  <c r="T71" i="3"/>
  <c r="S71" i="3"/>
  <c r="AU69" i="3"/>
  <c r="AW69" i="3"/>
  <c r="AG70" i="3"/>
  <c r="AO70" i="3"/>
  <c r="Y70" i="3"/>
  <c r="Z70" i="3" s="1"/>
  <c r="AH70" i="3"/>
  <c r="BC68" i="3" l="1"/>
  <c r="BG68" i="3" s="1"/>
  <c r="BH68" i="3" s="1"/>
  <c r="BI68" i="3" s="1"/>
  <c r="BG67" i="3"/>
  <c r="BH67" i="3" s="1"/>
  <c r="BI67" i="3" s="1"/>
  <c r="BK66" i="3"/>
  <c r="BM71" i="3"/>
  <c r="BN71" i="3"/>
  <c r="AN71" i="3"/>
  <c r="BB68" i="3"/>
  <c r="AV69" i="3"/>
  <c r="BF68" i="3"/>
  <c r="BJ67" i="3" s="1"/>
  <c r="AX70" i="3"/>
  <c r="AY69" i="3"/>
  <c r="AO71" i="3"/>
  <c r="AG71" i="3"/>
  <c r="X71" i="3"/>
  <c r="BA69" i="3"/>
  <c r="BQ69" i="3" s="1"/>
  <c r="Y71" i="3"/>
  <c r="Z71" i="3" s="1"/>
  <c r="AH71" i="3"/>
  <c r="AQ72" i="3"/>
  <c r="B72" i="3"/>
  <c r="A73" i="3"/>
  <c r="AR72" i="3"/>
  <c r="D72" i="3"/>
  <c r="Q72" i="3"/>
  <c r="R72" i="3"/>
  <c r="AM72" i="3"/>
  <c r="AK72" i="3"/>
  <c r="S72" i="3"/>
  <c r="AD72" i="3"/>
  <c r="P72" i="3"/>
  <c r="O72" i="3"/>
  <c r="M72" i="3"/>
  <c r="U72" i="3"/>
  <c r="AF72" i="3"/>
  <c r="AE72" i="3"/>
  <c r="V72" i="3"/>
  <c r="F72" i="3"/>
  <c r="G72" i="3"/>
  <c r="H72" i="3" s="1"/>
  <c r="C72" i="3"/>
  <c r="T72" i="3"/>
  <c r="AT70" i="3"/>
  <c r="AU70" i="3"/>
  <c r="AW70" i="3"/>
  <c r="BK67" i="3" l="1"/>
  <c r="BD68" i="3"/>
  <c r="BN72" i="3"/>
  <c r="AG72" i="3"/>
  <c r="AO72" i="3"/>
  <c r="BF69" i="3"/>
  <c r="BJ68" i="3" s="1"/>
  <c r="BK68" i="3" s="1"/>
  <c r="X72" i="3"/>
  <c r="BC69" i="3"/>
  <c r="BG69" i="3" s="1"/>
  <c r="BH69" i="3" s="1"/>
  <c r="BI69" i="3" s="1"/>
  <c r="AY70" i="3"/>
  <c r="AU71" i="3"/>
  <c r="Y72" i="3"/>
  <c r="Z72" i="3" s="1"/>
  <c r="AX71" i="3"/>
  <c r="AW71" i="3"/>
  <c r="AT71" i="3"/>
  <c r="BB69" i="3"/>
  <c r="AV70" i="3"/>
  <c r="BA70" i="3"/>
  <c r="AN72" i="3"/>
  <c r="AQ73" i="3"/>
  <c r="AR73" i="3"/>
  <c r="A74" i="3"/>
  <c r="B73" i="3"/>
  <c r="AM73" i="3"/>
  <c r="D73" i="3"/>
  <c r="C73" i="3"/>
  <c r="AK73" i="3"/>
  <c r="R73" i="3"/>
  <c r="Q73" i="3"/>
  <c r="AD73" i="3"/>
  <c r="P73" i="3"/>
  <c r="O73" i="3"/>
  <c r="M73" i="3"/>
  <c r="AF73" i="3"/>
  <c r="AE73" i="3"/>
  <c r="U73" i="3"/>
  <c r="V73" i="3"/>
  <c r="G73" i="3"/>
  <c r="H73" i="3" s="1"/>
  <c r="F73" i="3"/>
  <c r="S73" i="3"/>
  <c r="T73" i="3"/>
  <c r="BM72" i="3"/>
  <c r="AH72" i="3"/>
  <c r="AV71" i="3" l="1"/>
  <c r="BC70" i="3"/>
  <c r="BD70" i="3" s="1"/>
  <c r="BM73" i="3"/>
  <c r="AX72" i="3"/>
  <c r="BD69" i="3"/>
  <c r="AU72" i="3"/>
  <c r="AY71" i="3"/>
  <c r="AO73" i="3"/>
  <c r="BA71" i="3"/>
  <c r="BB71" i="3" s="1"/>
  <c r="AG73" i="3"/>
  <c r="Y73" i="3"/>
  <c r="Z73" i="3" s="1"/>
  <c r="AQ74" i="3"/>
  <c r="B74" i="3"/>
  <c r="A75" i="3"/>
  <c r="AR74" i="3"/>
  <c r="D74" i="3"/>
  <c r="AK74" i="3"/>
  <c r="S74" i="3"/>
  <c r="R74" i="3"/>
  <c r="AM74" i="3"/>
  <c r="Q74" i="3"/>
  <c r="AD74" i="3"/>
  <c r="P74" i="3"/>
  <c r="O74" i="3"/>
  <c r="AE74" i="3"/>
  <c r="AF74" i="3"/>
  <c r="U74" i="3"/>
  <c r="V74" i="3"/>
  <c r="M74" i="3"/>
  <c r="F74" i="3"/>
  <c r="G74" i="3"/>
  <c r="H74" i="3" s="1"/>
  <c r="C74" i="3"/>
  <c r="T74" i="3"/>
  <c r="AW72" i="3"/>
  <c r="X73" i="3"/>
  <c r="BN73" i="3"/>
  <c r="AH73" i="3"/>
  <c r="AN73" i="3"/>
  <c r="AT72" i="3"/>
  <c r="BB70" i="3"/>
  <c r="BQ70" i="3"/>
  <c r="BF70" i="3"/>
  <c r="BJ69" i="3" s="1"/>
  <c r="BK69" i="3" s="1"/>
  <c r="BC71" i="3" l="1"/>
  <c r="BD71" i="3" s="1"/>
  <c r="AT73" i="3"/>
  <c r="BG70" i="3"/>
  <c r="BH70" i="3" s="1"/>
  <c r="BI70" i="3" s="1"/>
  <c r="BN74" i="3"/>
  <c r="AY72" i="3"/>
  <c r="AU73" i="3"/>
  <c r="BQ71" i="3"/>
  <c r="BF71" i="3"/>
  <c r="BJ70" i="3" s="1"/>
  <c r="AO74" i="3"/>
  <c r="Y74" i="3"/>
  <c r="Z74" i="3" s="1"/>
  <c r="AG74" i="3"/>
  <c r="AW73" i="3"/>
  <c r="AV72" i="3"/>
  <c r="BA72" i="3"/>
  <c r="A76" i="3"/>
  <c r="AQ75" i="3"/>
  <c r="B75" i="3"/>
  <c r="AR75" i="3"/>
  <c r="AM75" i="3"/>
  <c r="T75" i="3"/>
  <c r="S75" i="3"/>
  <c r="R75" i="3"/>
  <c r="AK75" i="3"/>
  <c r="Q75" i="3"/>
  <c r="AD75" i="3"/>
  <c r="M75" i="3"/>
  <c r="O75" i="3"/>
  <c r="AE75" i="3"/>
  <c r="U75" i="3"/>
  <c r="AF75" i="3"/>
  <c r="V75" i="3"/>
  <c r="C75" i="3"/>
  <c r="D75" i="3"/>
  <c r="F75" i="3"/>
  <c r="G75" i="3"/>
  <c r="H75" i="3" s="1"/>
  <c r="P75" i="3"/>
  <c r="AX73" i="3"/>
  <c r="X74" i="3"/>
  <c r="BM74" i="3"/>
  <c r="AH74" i="3"/>
  <c r="AN74" i="3"/>
  <c r="BM75" i="3" l="1"/>
  <c r="BG71" i="3"/>
  <c r="BH71" i="3" s="1"/>
  <c r="BI71" i="3" s="1"/>
  <c r="AV73" i="3"/>
  <c r="BK70" i="3"/>
  <c r="BN75" i="3"/>
  <c r="AO75" i="3"/>
  <c r="BC72" i="3"/>
  <c r="BD72" i="3" s="1"/>
  <c r="AT74" i="3"/>
  <c r="AY73" i="3"/>
  <c r="AX74" i="3"/>
  <c r="AH75" i="3"/>
  <c r="BQ72" i="3"/>
  <c r="BF72" i="3"/>
  <c r="BJ71" i="3" s="1"/>
  <c r="BB72" i="3"/>
  <c r="AW74" i="3"/>
  <c r="AU74" i="3"/>
  <c r="Y75" i="3"/>
  <c r="Z75" i="3" s="1"/>
  <c r="X75" i="3"/>
  <c r="AG75" i="3"/>
  <c r="BA73" i="3"/>
  <c r="A77" i="3"/>
  <c r="B76" i="3"/>
  <c r="AR76" i="3"/>
  <c r="AQ76" i="3"/>
  <c r="C76" i="3"/>
  <c r="D76" i="3"/>
  <c r="AM76" i="3"/>
  <c r="AK76" i="3"/>
  <c r="Q76" i="3"/>
  <c r="R76" i="3"/>
  <c r="AD76" i="3"/>
  <c r="O76" i="3"/>
  <c r="P76" i="3"/>
  <c r="AE76" i="3"/>
  <c r="M76" i="3"/>
  <c r="U76" i="3"/>
  <c r="AF76" i="3"/>
  <c r="V76" i="3"/>
  <c r="G76" i="3"/>
  <c r="H76" i="3" s="1"/>
  <c r="F76" i="3"/>
  <c r="T76" i="3"/>
  <c r="S76" i="3"/>
  <c r="AN75" i="3"/>
  <c r="BK71" i="3" l="1"/>
  <c r="AV74" i="3"/>
  <c r="BC73" i="3"/>
  <c r="BD73" i="3" s="1"/>
  <c r="AX75" i="3"/>
  <c r="BN76" i="3"/>
  <c r="BG72" i="3"/>
  <c r="BH72" i="3" s="1"/>
  <c r="BI72" i="3" s="1"/>
  <c r="AY74" i="3"/>
  <c r="AN76" i="3"/>
  <c r="BQ73" i="3"/>
  <c r="BB73" i="3"/>
  <c r="BF73" i="3"/>
  <c r="BJ72" i="3" s="1"/>
  <c r="AW75" i="3"/>
  <c r="X76" i="3"/>
  <c r="BM76" i="3"/>
  <c r="AG76" i="3"/>
  <c r="AO76" i="3"/>
  <c r="AT75" i="3"/>
  <c r="AR77" i="3"/>
  <c r="B77" i="3"/>
  <c r="AQ77" i="3"/>
  <c r="A78" i="3"/>
  <c r="AM77" i="3"/>
  <c r="C77" i="3"/>
  <c r="AK77" i="3"/>
  <c r="T77" i="3"/>
  <c r="R77" i="3"/>
  <c r="AD77" i="3"/>
  <c r="P77" i="3"/>
  <c r="O77" i="3"/>
  <c r="U77" i="3"/>
  <c r="AE77" i="3"/>
  <c r="M77" i="3"/>
  <c r="AF77" i="3"/>
  <c r="V77" i="3"/>
  <c r="G77" i="3"/>
  <c r="H77" i="3" s="1"/>
  <c r="F77" i="3"/>
  <c r="Q77" i="3"/>
  <c r="D77" i="3"/>
  <c r="S77" i="3"/>
  <c r="Y76" i="3"/>
  <c r="Z76" i="3" s="1"/>
  <c r="AH76" i="3"/>
  <c r="AU75" i="3"/>
  <c r="BA74" i="3"/>
  <c r="BC74" i="3" l="1"/>
  <c r="BD74" i="3" s="1"/>
  <c r="BG73" i="3"/>
  <c r="BH73" i="3" s="1"/>
  <c r="BI73" i="3" s="1"/>
  <c r="AY75" i="3"/>
  <c r="BK72" i="3"/>
  <c r="AO77" i="3"/>
  <c r="AH77" i="3"/>
  <c r="BM77" i="3"/>
  <c r="AX76" i="3"/>
  <c r="AT76" i="3"/>
  <c r="AU76" i="3"/>
  <c r="Y77" i="3"/>
  <c r="Z77" i="3" s="1"/>
  <c r="BB74" i="3"/>
  <c r="BF74" i="3"/>
  <c r="BJ73" i="3" s="1"/>
  <c r="BK73" i="3" s="1"/>
  <c r="BQ74" i="3"/>
  <c r="B78" i="3"/>
  <c r="AQ78" i="3"/>
  <c r="AR78" i="3"/>
  <c r="A79" i="3"/>
  <c r="AK78" i="3"/>
  <c r="AM78" i="3"/>
  <c r="R78" i="3"/>
  <c r="Q78" i="3"/>
  <c r="T78" i="3"/>
  <c r="AD78" i="3"/>
  <c r="P78" i="3"/>
  <c r="M78" i="3"/>
  <c r="AF78" i="3"/>
  <c r="AE78" i="3"/>
  <c r="V78" i="3"/>
  <c r="O78" i="3"/>
  <c r="U78" i="3"/>
  <c r="D78" i="3"/>
  <c r="C78" i="3"/>
  <c r="G78" i="3"/>
  <c r="H78" i="3" s="1"/>
  <c r="F78" i="3"/>
  <c r="S78" i="3"/>
  <c r="BA75" i="3"/>
  <c r="AV75" i="3"/>
  <c r="X77" i="3"/>
  <c r="BN77" i="3"/>
  <c r="AG77" i="3"/>
  <c r="AW76" i="3"/>
  <c r="AN77" i="3"/>
  <c r="BG74" i="3" l="1"/>
  <c r="BH74" i="3" s="1"/>
  <c r="BI74" i="3" s="1"/>
  <c r="AY76" i="3"/>
  <c r="BM78" i="3"/>
  <c r="BN78" i="3"/>
  <c r="BC75" i="3"/>
  <c r="BD75" i="3" s="1"/>
  <c r="AO78" i="3"/>
  <c r="AX77" i="3"/>
  <c r="AV76" i="3"/>
  <c r="BF75" i="3"/>
  <c r="BJ74" i="3" s="1"/>
  <c r="BK74" i="3" s="1"/>
  <c r="BQ75" i="3"/>
  <c r="BB75" i="3"/>
  <c r="Y78" i="3"/>
  <c r="Z78" i="3" s="1"/>
  <c r="A80" i="3"/>
  <c r="AQ79" i="3"/>
  <c r="B79" i="3"/>
  <c r="AR79" i="3"/>
  <c r="C79" i="3"/>
  <c r="D79" i="3"/>
  <c r="AM79" i="3"/>
  <c r="T79" i="3"/>
  <c r="S79" i="3"/>
  <c r="AK79" i="3"/>
  <c r="R79" i="3"/>
  <c r="Q79" i="3"/>
  <c r="AD79" i="3"/>
  <c r="O79" i="3"/>
  <c r="P79" i="3"/>
  <c r="M79" i="3"/>
  <c r="AE79" i="3"/>
  <c r="AF79" i="3"/>
  <c r="U79" i="3"/>
  <c r="V79" i="3"/>
  <c r="G79" i="3"/>
  <c r="H79" i="3" s="1"/>
  <c r="F79" i="3"/>
  <c r="AW77" i="3"/>
  <c r="AU77" i="3"/>
  <c r="AT77" i="3"/>
  <c r="X78" i="3"/>
  <c r="AG78" i="3"/>
  <c r="AH78" i="3"/>
  <c r="AN78" i="3"/>
  <c r="BA76" i="3"/>
  <c r="BC76" i="3" l="1"/>
  <c r="BD76" i="3" s="1"/>
  <c r="BG75" i="3"/>
  <c r="BH75" i="3" s="1"/>
  <c r="BI75" i="3" s="1"/>
  <c r="AY77" i="3"/>
  <c r="BM79" i="3"/>
  <c r="BN79" i="3"/>
  <c r="AG79" i="3"/>
  <c r="AN79" i="3"/>
  <c r="BQ76" i="3"/>
  <c r="BB76" i="3"/>
  <c r="BF76" i="3"/>
  <c r="BJ75" i="3" s="1"/>
  <c r="BK75" i="3" s="1"/>
  <c r="BA77" i="3"/>
  <c r="AV77" i="3"/>
  <c r="Y79" i="3"/>
  <c r="Z79" i="3" s="1"/>
  <c r="AW78" i="3"/>
  <c r="AT78" i="3"/>
  <c r="AU78" i="3"/>
  <c r="AX78" i="3"/>
  <c r="AO79" i="3"/>
  <c r="A81" i="3"/>
  <c r="B80" i="3"/>
  <c r="AR80" i="3"/>
  <c r="AQ80" i="3"/>
  <c r="T80" i="3"/>
  <c r="AK80" i="3"/>
  <c r="AM80" i="3"/>
  <c r="S80" i="3"/>
  <c r="Q80" i="3"/>
  <c r="R80" i="3"/>
  <c r="AD80" i="3"/>
  <c r="P80" i="3"/>
  <c r="O80" i="3"/>
  <c r="M80" i="3"/>
  <c r="AF80" i="3"/>
  <c r="AE80" i="3"/>
  <c r="U80" i="3"/>
  <c r="V80" i="3"/>
  <c r="D80" i="3"/>
  <c r="C80" i="3"/>
  <c r="F80" i="3"/>
  <c r="G80" i="3"/>
  <c r="H80" i="3" s="1"/>
  <c r="AH79" i="3"/>
  <c r="X79" i="3"/>
  <c r="BG76" i="3" l="1"/>
  <c r="BH76" i="3" s="1"/>
  <c r="BI76" i="3" s="1"/>
  <c r="BN80" i="3"/>
  <c r="BC77" i="3"/>
  <c r="BD77" i="3" s="1"/>
  <c r="AO80" i="3"/>
  <c r="AX79" i="3"/>
  <c r="AG80" i="3"/>
  <c r="X80" i="3"/>
  <c r="AY78" i="3"/>
  <c r="Y80" i="3"/>
  <c r="Z80" i="3" s="1"/>
  <c r="AR81" i="3"/>
  <c r="B81" i="3"/>
  <c r="AQ81" i="3"/>
  <c r="A82" i="3"/>
  <c r="AM81" i="3"/>
  <c r="R81" i="3"/>
  <c r="C81" i="3"/>
  <c r="AK81" i="3"/>
  <c r="S81" i="3"/>
  <c r="O81" i="3"/>
  <c r="AD81" i="3"/>
  <c r="P81" i="3"/>
  <c r="M81" i="3"/>
  <c r="AE81" i="3"/>
  <c r="AF81" i="3"/>
  <c r="V81" i="3"/>
  <c r="U81" i="3"/>
  <c r="D81" i="3"/>
  <c r="Q81" i="3"/>
  <c r="G81" i="3"/>
  <c r="H81" i="3" s="1"/>
  <c r="F81" i="3"/>
  <c r="T81" i="3"/>
  <c r="AV78" i="3"/>
  <c r="BA78" i="3"/>
  <c r="AW79" i="3"/>
  <c r="BM80" i="3"/>
  <c r="AH80" i="3"/>
  <c r="AN80" i="3"/>
  <c r="AT79" i="3"/>
  <c r="BB77" i="3"/>
  <c r="BQ77" i="3"/>
  <c r="BF77" i="3"/>
  <c r="BJ76" i="3" s="1"/>
  <c r="BK76" i="3" s="1"/>
  <c r="AU79" i="3"/>
  <c r="BC78" i="3" l="1"/>
  <c r="BD78" i="3" s="1"/>
  <c r="BN81" i="3"/>
  <c r="BM81" i="3"/>
  <c r="AU80" i="3"/>
  <c r="BG77" i="3"/>
  <c r="BH77" i="3" s="1"/>
  <c r="BI77" i="3" s="1"/>
  <c r="AT80" i="3"/>
  <c r="AW80" i="3"/>
  <c r="AG81" i="3"/>
  <c r="AY79" i="3"/>
  <c r="AO81" i="3"/>
  <c r="BA79" i="3"/>
  <c r="AV79" i="3"/>
  <c r="BQ78" i="3"/>
  <c r="BB78" i="3"/>
  <c r="BF78" i="3"/>
  <c r="BJ77" i="3" s="1"/>
  <c r="BK77" i="3" s="1"/>
  <c r="Y81" i="3"/>
  <c r="Z81" i="3" s="1"/>
  <c r="AX80" i="3"/>
  <c r="AH81" i="3"/>
  <c r="X81" i="3"/>
  <c r="AN81" i="3"/>
  <c r="B82" i="3"/>
  <c r="AQ82" i="3"/>
  <c r="AR82" i="3"/>
  <c r="A83" i="3"/>
  <c r="D82" i="3"/>
  <c r="AK82" i="3"/>
  <c r="Q82" i="3"/>
  <c r="AM82" i="3"/>
  <c r="S82" i="3"/>
  <c r="O82" i="3"/>
  <c r="T82" i="3"/>
  <c r="AD82" i="3"/>
  <c r="P82" i="3"/>
  <c r="M82" i="3"/>
  <c r="AF82" i="3"/>
  <c r="AE82" i="3"/>
  <c r="V82" i="3"/>
  <c r="U82" i="3"/>
  <c r="R82" i="3"/>
  <c r="F82" i="3"/>
  <c r="C82" i="3"/>
  <c r="G82" i="3"/>
  <c r="H82" i="3" s="1"/>
  <c r="BG78" i="3" l="1"/>
  <c r="BH78" i="3" s="1"/>
  <c r="BI78" i="3" s="1"/>
  <c r="AU81" i="3"/>
  <c r="AY80" i="3"/>
  <c r="AV80" i="3"/>
  <c r="AN82" i="3"/>
  <c r="BN82" i="3"/>
  <c r="BM82" i="3"/>
  <c r="BC79" i="3"/>
  <c r="BD79" i="3" s="1"/>
  <c r="AG82" i="3"/>
  <c r="AT81" i="3"/>
  <c r="AW81" i="3"/>
  <c r="Y82" i="3"/>
  <c r="Z82" i="3" s="1"/>
  <c r="BQ79" i="3"/>
  <c r="BB79" i="3"/>
  <c r="BF79" i="3"/>
  <c r="BJ78" i="3" s="1"/>
  <c r="BK78" i="3" s="1"/>
  <c r="X82" i="3"/>
  <c r="A84" i="3"/>
  <c r="AQ83" i="3"/>
  <c r="B83" i="3"/>
  <c r="AR83" i="3"/>
  <c r="C83" i="3"/>
  <c r="AM83" i="3"/>
  <c r="AK83" i="3"/>
  <c r="Q83" i="3"/>
  <c r="R83" i="3"/>
  <c r="AD83" i="3"/>
  <c r="P83" i="3"/>
  <c r="O83" i="3"/>
  <c r="AE83" i="3"/>
  <c r="AF83" i="3"/>
  <c r="M83" i="3"/>
  <c r="V83" i="3"/>
  <c r="U83" i="3"/>
  <c r="F83" i="3"/>
  <c r="D83" i="3"/>
  <c r="G83" i="3"/>
  <c r="H83" i="3" s="1"/>
  <c r="S83" i="3"/>
  <c r="T83" i="3"/>
  <c r="AH82" i="3"/>
  <c r="AO82" i="3"/>
  <c r="AX81" i="3"/>
  <c r="BA80" i="3"/>
  <c r="AV81" i="3" l="1"/>
  <c r="BC80" i="3"/>
  <c r="BG80" i="3" s="1"/>
  <c r="BH80" i="3" s="1"/>
  <c r="BI80" i="3" s="1"/>
  <c r="BN83" i="3"/>
  <c r="BM83" i="3"/>
  <c r="BG79" i="3"/>
  <c r="BH79" i="3" s="1"/>
  <c r="BI79" i="3" s="1"/>
  <c r="AY81" i="3"/>
  <c r="AX82" i="3"/>
  <c r="AN83" i="3"/>
  <c r="AH83" i="3"/>
  <c r="BA81" i="3"/>
  <c r="BQ81" i="3" s="1"/>
  <c r="BQ80" i="3"/>
  <c r="BF80" i="3"/>
  <c r="BJ79" i="3" s="1"/>
  <c r="BB80" i="3"/>
  <c r="A85" i="3"/>
  <c r="B84" i="3"/>
  <c r="AR84" i="3"/>
  <c r="AQ84" i="3"/>
  <c r="C84" i="3"/>
  <c r="AK84" i="3"/>
  <c r="AM84" i="3"/>
  <c r="R84" i="3"/>
  <c r="Q84" i="3"/>
  <c r="AD84" i="3"/>
  <c r="P84" i="3"/>
  <c r="AF84" i="3"/>
  <c r="O84" i="3"/>
  <c r="AE84" i="3"/>
  <c r="M84" i="3"/>
  <c r="U84" i="3"/>
  <c r="V84" i="3"/>
  <c r="D84" i="3"/>
  <c r="G84" i="3"/>
  <c r="H84" i="3" s="1"/>
  <c r="F84" i="3"/>
  <c r="S84" i="3"/>
  <c r="T84" i="3"/>
  <c r="AU82" i="3"/>
  <c r="AW82" i="3"/>
  <c r="X83" i="3"/>
  <c r="AG83" i="3"/>
  <c r="AO83" i="3"/>
  <c r="Y83" i="3"/>
  <c r="Z83" i="3" s="1"/>
  <c r="AT82" i="3"/>
  <c r="BC81" i="3" l="1"/>
  <c r="BD81" i="3" s="1"/>
  <c r="BK79" i="3"/>
  <c r="BD80" i="3"/>
  <c r="AY82" i="3"/>
  <c r="BB81" i="3"/>
  <c r="BF81" i="3"/>
  <c r="BJ80" i="3" s="1"/>
  <c r="BK80" i="3" s="1"/>
  <c r="BN84" i="3"/>
  <c r="AN84" i="3"/>
  <c r="AU83" i="3"/>
  <c r="AG84" i="3"/>
  <c r="AT83" i="3"/>
  <c r="X84" i="3"/>
  <c r="AW83" i="3"/>
  <c r="AX83" i="3"/>
  <c r="Y84" i="3"/>
  <c r="Z84" i="3" s="1"/>
  <c r="BM84" i="3"/>
  <c r="AH84" i="3"/>
  <c r="AO84" i="3"/>
  <c r="AV82" i="3"/>
  <c r="BA82" i="3"/>
  <c r="AR85" i="3"/>
  <c r="B85" i="3"/>
  <c r="AQ85" i="3"/>
  <c r="A86" i="3"/>
  <c r="C85" i="3"/>
  <c r="T85" i="3"/>
  <c r="S85" i="3"/>
  <c r="AK85" i="3"/>
  <c r="AM85" i="3"/>
  <c r="R85" i="3"/>
  <c r="Q85" i="3"/>
  <c r="P85" i="3"/>
  <c r="AD85" i="3"/>
  <c r="O85" i="3"/>
  <c r="M85" i="3"/>
  <c r="AF85" i="3"/>
  <c r="AE85" i="3"/>
  <c r="V85" i="3"/>
  <c r="U85" i="3"/>
  <c r="D85" i="3"/>
  <c r="F85" i="3"/>
  <c r="BM85" i="3" s="1"/>
  <c r="G85" i="3"/>
  <c r="H85" i="3" s="1"/>
  <c r="BG81" i="3" l="1"/>
  <c r="BH81" i="3" s="1"/>
  <c r="BI81" i="3" s="1"/>
  <c r="BN85" i="3"/>
  <c r="BC82" i="3"/>
  <c r="BD82" i="3" s="1"/>
  <c r="AV83" i="3"/>
  <c r="AG85" i="3"/>
  <c r="AN85" i="3"/>
  <c r="AU84" i="3"/>
  <c r="AT84" i="3"/>
  <c r="BA83" i="3"/>
  <c r="BB83" i="3" s="1"/>
  <c r="Y85" i="3"/>
  <c r="Z85" i="3" s="1"/>
  <c r="B86" i="3"/>
  <c r="AQ86" i="3"/>
  <c r="AR86" i="3"/>
  <c r="A87" i="3"/>
  <c r="C86" i="3"/>
  <c r="D86" i="3"/>
  <c r="AK86" i="3"/>
  <c r="AM86" i="3"/>
  <c r="S86" i="3"/>
  <c r="R86" i="3"/>
  <c r="Q86" i="3"/>
  <c r="AD86" i="3"/>
  <c r="O86" i="3"/>
  <c r="P86" i="3"/>
  <c r="AE86" i="3"/>
  <c r="M86" i="3"/>
  <c r="AF86" i="3"/>
  <c r="V86" i="3"/>
  <c r="U86" i="3"/>
  <c r="G86" i="3"/>
  <c r="H86" i="3" s="1"/>
  <c r="F86" i="3"/>
  <c r="BM86" i="3" s="1"/>
  <c r="T86" i="3"/>
  <c r="BB82" i="3"/>
  <c r="BF82" i="3"/>
  <c r="BJ81" i="3" s="1"/>
  <c r="BK81" i="3" s="1"/>
  <c r="BQ82" i="3"/>
  <c r="AO85" i="3"/>
  <c r="AX84" i="3"/>
  <c r="AY83" i="3"/>
  <c r="AH85" i="3"/>
  <c r="X85" i="3"/>
  <c r="AW84" i="3"/>
  <c r="BF83" i="3" l="1"/>
  <c r="BJ82" i="3" s="1"/>
  <c r="BN86" i="3"/>
  <c r="BG82" i="3"/>
  <c r="BH82" i="3" s="1"/>
  <c r="BI82" i="3" s="1"/>
  <c r="BC83" i="3"/>
  <c r="BG83" i="3" s="1"/>
  <c r="BH83" i="3" s="1"/>
  <c r="BI83" i="3" s="1"/>
  <c r="AY84" i="3"/>
  <c r="AU85" i="3"/>
  <c r="AV84" i="3"/>
  <c r="Y86" i="3"/>
  <c r="Z86" i="3" s="1"/>
  <c r="BQ83" i="3"/>
  <c r="AT85" i="3"/>
  <c r="AN86" i="3"/>
  <c r="AX85" i="3"/>
  <c r="AW85" i="3"/>
  <c r="AG86" i="3"/>
  <c r="AO86" i="3"/>
  <c r="X86" i="3"/>
  <c r="A88" i="3"/>
  <c r="B87" i="3"/>
  <c r="AQ87" i="3"/>
  <c r="AR87" i="3"/>
  <c r="AM87" i="3"/>
  <c r="AK87" i="3"/>
  <c r="T87" i="3"/>
  <c r="Q87" i="3"/>
  <c r="R87" i="3"/>
  <c r="AD87" i="3"/>
  <c r="P87" i="3"/>
  <c r="AE87" i="3"/>
  <c r="O87" i="3"/>
  <c r="AF87" i="3"/>
  <c r="V87" i="3"/>
  <c r="M87" i="3"/>
  <c r="U87" i="3"/>
  <c r="F87" i="3"/>
  <c r="C87" i="3"/>
  <c r="D87" i="3"/>
  <c r="G87" i="3"/>
  <c r="H87" i="3" s="1"/>
  <c r="S87" i="3"/>
  <c r="AH86" i="3"/>
  <c r="BA84" i="3"/>
  <c r="BK82" i="3" l="1"/>
  <c r="AV85" i="3"/>
  <c r="BD83" i="3"/>
  <c r="BC84" i="3"/>
  <c r="BD84" i="3" s="1"/>
  <c r="AH87" i="3"/>
  <c r="BN87" i="3"/>
  <c r="AX86" i="3"/>
  <c r="AN87" i="3"/>
  <c r="AU86" i="3"/>
  <c r="AY85" i="3"/>
  <c r="BQ84" i="3"/>
  <c r="BF84" i="3"/>
  <c r="BJ83" i="3" s="1"/>
  <c r="BK83" i="3" s="1"/>
  <c r="BB84" i="3"/>
  <c r="Y87" i="3"/>
  <c r="Z87" i="3" s="1"/>
  <c r="X87" i="3"/>
  <c r="BM87" i="3"/>
  <c r="AG87" i="3"/>
  <c r="AO87" i="3"/>
  <c r="AW86" i="3"/>
  <c r="A89" i="3"/>
  <c r="AR88" i="3"/>
  <c r="B88" i="3"/>
  <c r="AQ88" i="3"/>
  <c r="AM88" i="3"/>
  <c r="AK88" i="3"/>
  <c r="D88" i="3"/>
  <c r="T88" i="3"/>
  <c r="R88" i="3"/>
  <c r="Q88" i="3"/>
  <c r="AD88" i="3"/>
  <c r="P88" i="3"/>
  <c r="O88" i="3"/>
  <c r="M88" i="3"/>
  <c r="AE88" i="3"/>
  <c r="AF88" i="3"/>
  <c r="V88" i="3"/>
  <c r="U88" i="3"/>
  <c r="C88" i="3"/>
  <c r="G88" i="3"/>
  <c r="H88" i="3" s="1"/>
  <c r="F88" i="3"/>
  <c r="S88" i="3"/>
  <c r="AT86" i="3"/>
  <c r="BA85" i="3"/>
  <c r="BM88" i="3" l="1"/>
  <c r="BC85" i="3"/>
  <c r="BG85" i="3" s="1"/>
  <c r="BH85" i="3" s="1"/>
  <c r="BI85" i="3" s="1"/>
  <c r="AT87" i="3"/>
  <c r="BG84" i="3"/>
  <c r="BH84" i="3" s="1"/>
  <c r="BI84" i="3" s="1"/>
  <c r="AU87" i="3"/>
  <c r="BN88" i="3"/>
  <c r="AX87" i="3"/>
  <c r="AO88" i="3"/>
  <c r="AY86" i="3"/>
  <c r="AN88" i="3"/>
  <c r="X88" i="3"/>
  <c r="AV86" i="3"/>
  <c r="BA86" i="3"/>
  <c r="AW87" i="3"/>
  <c r="BF85" i="3"/>
  <c r="BJ84" i="3" s="1"/>
  <c r="BB85" i="3"/>
  <c r="BQ85" i="3"/>
  <c r="Y88" i="3"/>
  <c r="Z88" i="3" s="1"/>
  <c r="AQ89" i="3"/>
  <c r="AR89" i="3"/>
  <c r="B89" i="3"/>
  <c r="A90" i="3"/>
  <c r="D89" i="3"/>
  <c r="C89" i="3"/>
  <c r="AK89" i="3"/>
  <c r="S89" i="3"/>
  <c r="T89" i="3"/>
  <c r="AM89" i="3"/>
  <c r="AD89" i="3"/>
  <c r="P89" i="3"/>
  <c r="O89" i="3"/>
  <c r="AF89" i="3"/>
  <c r="AE89" i="3"/>
  <c r="U89" i="3"/>
  <c r="M89" i="3"/>
  <c r="V89" i="3"/>
  <c r="R89" i="3"/>
  <c r="Q89" i="3"/>
  <c r="F89" i="3"/>
  <c r="G89" i="3"/>
  <c r="H89" i="3" s="1"/>
  <c r="AG88" i="3"/>
  <c r="AH88" i="3"/>
  <c r="BD85" i="3" l="1"/>
  <c r="BK84" i="3"/>
  <c r="AV87" i="3"/>
  <c r="AN89" i="3"/>
  <c r="BN89" i="3"/>
  <c r="BC86" i="3"/>
  <c r="BD86" i="3" s="1"/>
  <c r="AX88" i="3"/>
  <c r="B90" i="3"/>
  <c r="AQ90" i="3"/>
  <c r="AR90" i="3"/>
  <c r="A91" i="3"/>
  <c r="AK90" i="3"/>
  <c r="T90" i="3"/>
  <c r="D90" i="3"/>
  <c r="AM90" i="3"/>
  <c r="R90" i="3"/>
  <c r="Q90" i="3"/>
  <c r="AD90" i="3"/>
  <c r="P90" i="3"/>
  <c r="O90" i="3"/>
  <c r="M90" i="3"/>
  <c r="AF90" i="3"/>
  <c r="U90" i="3"/>
  <c r="AE90" i="3"/>
  <c r="V90" i="3"/>
  <c r="C90" i="3"/>
  <c r="G90" i="3"/>
  <c r="H90" i="3" s="1"/>
  <c r="F90" i="3"/>
  <c r="S90" i="3"/>
  <c r="AU88" i="3"/>
  <c r="Y89" i="3"/>
  <c r="Z89" i="3" s="1"/>
  <c r="BA87" i="3"/>
  <c r="AY87" i="3"/>
  <c r="BF86" i="3"/>
  <c r="BJ85" i="3" s="1"/>
  <c r="BK85" i="3" s="1"/>
  <c r="BQ86" i="3"/>
  <c r="BB86" i="3"/>
  <c r="X89" i="3"/>
  <c r="AW88" i="3"/>
  <c r="BM89" i="3"/>
  <c r="AG89" i="3"/>
  <c r="AH89" i="3"/>
  <c r="AO89" i="3"/>
  <c r="AT88" i="3"/>
  <c r="BM90" i="3" l="1"/>
  <c r="AG90" i="3"/>
  <c r="BC87" i="3"/>
  <c r="BD87" i="3" s="1"/>
  <c r="BN90" i="3"/>
  <c r="BG86" i="3"/>
  <c r="BH86" i="3" s="1"/>
  <c r="BI86" i="3" s="1"/>
  <c r="AY88" i="3"/>
  <c r="AN90" i="3"/>
  <c r="AX89" i="3"/>
  <c r="X90" i="3"/>
  <c r="BA88" i="3"/>
  <c r="AV88" i="3"/>
  <c r="BF87" i="3"/>
  <c r="BJ86" i="3" s="1"/>
  <c r="BB87" i="3"/>
  <c r="BQ87" i="3"/>
  <c r="Y90" i="3"/>
  <c r="Z90" i="3" s="1"/>
  <c r="AW89" i="3"/>
  <c r="AT89" i="3"/>
  <c r="AH90" i="3"/>
  <c r="AO90" i="3"/>
  <c r="A92" i="3"/>
  <c r="B91" i="3"/>
  <c r="AQ91" i="3"/>
  <c r="AR91" i="3"/>
  <c r="D91" i="3"/>
  <c r="AM91" i="3"/>
  <c r="AK91" i="3"/>
  <c r="R91" i="3"/>
  <c r="P91" i="3"/>
  <c r="Q91" i="3"/>
  <c r="AD91" i="3"/>
  <c r="AE91" i="3"/>
  <c r="M91" i="3"/>
  <c r="V91" i="3"/>
  <c r="U91" i="3"/>
  <c r="O91" i="3"/>
  <c r="AF91" i="3"/>
  <c r="F91" i="3"/>
  <c r="C91" i="3"/>
  <c r="G91" i="3"/>
  <c r="H91" i="3" s="1"/>
  <c r="T91" i="3"/>
  <c r="S91" i="3"/>
  <c r="AU89" i="3"/>
  <c r="AY89" i="3" l="1"/>
  <c r="AT90" i="3"/>
  <c r="BG87" i="3"/>
  <c r="BH87" i="3" s="1"/>
  <c r="BI87" i="3" s="1"/>
  <c r="AU90" i="3"/>
  <c r="AV89" i="3"/>
  <c r="BN91" i="3"/>
  <c r="BM91" i="3"/>
  <c r="BK86" i="3"/>
  <c r="BC88" i="3"/>
  <c r="BG88" i="3" s="1"/>
  <c r="BH88" i="3" s="1"/>
  <c r="BI88" i="3" s="1"/>
  <c r="X91" i="3"/>
  <c r="AG91" i="3"/>
  <c r="AN91" i="3"/>
  <c r="AX90" i="3"/>
  <c r="Y91" i="3"/>
  <c r="Z91" i="3" s="1"/>
  <c r="A93" i="3"/>
  <c r="AR92" i="3"/>
  <c r="B92" i="3"/>
  <c r="AQ92" i="3"/>
  <c r="C92" i="3"/>
  <c r="AK92" i="3"/>
  <c r="AM92" i="3"/>
  <c r="S92" i="3"/>
  <c r="Q92" i="3"/>
  <c r="D92" i="3"/>
  <c r="T92" i="3"/>
  <c r="AD92" i="3"/>
  <c r="O92" i="3"/>
  <c r="P92" i="3"/>
  <c r="AE92" i="3"/>
  <c r="V92" i="3"/>
  <c r="M92" i="3"/>
  <c r="AF92" i="3"/>
  <c r="U92" i="3"/>
  <c r="R92" i="3"/>
  <c r="G92" i="3"/>
  <c r="H92" i="3" s="1"/>
  <c r="F92" i="3"/>
  <c r="BF88" i="3"/>
  <c r="BJ87" i="3" s="1"/>
  <c r="BB88" i="3"/>
  <c r="BQ88" i="3"/>
  <c r="AH91" i="3"/>
  <c r="AO91" i="3"/>
  <c r="AW90" i="3"/>
  <c r="BA89" i="3"/>
  <c r="BK87" i="3" l="1"/>
  <c r="BC89" i="3"/>
  <c r="BG89" i="3" s="1"/>
  <c r="BH89" i="3" s="1"/>
  <c r="BI89" i="3" s="1"/>
  <c r="AV90" i="3"/>
  <c r="BM92" i="3"/>
  <c r="BD88" i="3"/>
  <c r="BA90" i="3"/>
  <c r="BQ90" i="3" s="1"/>
  <c r="AU91" i="3"/>
  <c r="AY90" i="3"/>
  <c r="AW91" i="3"/>
  <c r="AX91" i="3"/>
  <c r="AO92" i="3"/>
  <c r="AQ93" i="3"/>
  <c r="B93" i="3"/>
  <c r="AR93" i="3"/>
  <c r="A94" i="3"/>
  <c r="AM93" i="3"/>
  <c r="AK93" i="3"/>
  <c r="Q93" i="3"/>
  <c r="R93" i="3"/>
  <c r="AD93" i="3"/>
  <c r="P93" i="3"/>
  <c r="O93" i="3"/>
  <c r="M93" i="3"/>
  <c r="AE93" i="3"/>
  <c r="V93" i="3"/>
  <c r="U93" i="3"/>
  <c r="AF93" i="3"/>
  <c r="F93" i="3"/>
  <c r="C93" i="3"/>
  <c r="D93" i="3"/>
  <c r="G93" i="3"/>
  <c r="H93" i="3" s="1"/>
  <c r="S93" i="3"/>
  <c r="T93" i="3"/>
  <c r="AH92" i="3"/>
  <c r="AT91" i="3"/>
  <c r="BN92" i="3"/>
  <c r="AG92" i="3"/>
  <c r="AN92" i="3"/>
  <c r="X92" i="3"/>
  <c r="BQ89" i="3"/>
  <c r="BB89" i="3"/>
  <c r="BF89" i="3"/>
  <c r="BJ88" i="3" s="1"/>
  <c r="BK88" i="3" s="1"/>
  <c r="Y92" i="3"/>
  <c r="Z92" i="3" s="1"/>
  <c r="BD89" i="3" l="1"/>
  <c r="BC90" i="3"/>
  <c r="BG90" i="3" s="1"/>
  <c r="BH90" i="3" s="1"/>
  <c r="BI90" i="3" s="1"/>
  <c r="BB90" i="3"/>
  <c r="BM93" i="3"/>
  <c r="BF90" i="3"/>
  <c r="BJ89" i="3" s="1"/>
  <c r="BK89" i="3" s="1"/>
  <c r="AG93" i="3"/>
  <c r="AY91" i="3"/>
  <c r="AW92" i="3"/>
  <c r="AN93" i="3"/>
  <c r="X93" i="3"/>
  <c r="AU92" i="3"/>
  <c r="AX92" i="3"/>
  <c r="BA91" i="3"/>
  <c r="AV91" i="3"/>
  <c r="B94" i="3"/>
  <c r="AQ94" i="3"/>
  <c r="AR94" i="3"/>
  <c r="A95" i="3"/>
  <c r="C94" i="3"/>
  <c r="AK94" i="3"/>
  <c r="R94" i="3"/>
  <c r="AM94" i="3"/>
  <c r="Q94" i="3"/>
  <c r="S94" i="3"/>
  <c r="AD94" i="3"/>
  <c r="P94" i="3"/>
  <c r="M94" i="3"/>
  <c r="U94" i="3"/>
  <c r="O94" i="3"/>
  <c r="AE94" i="3"/>
  <c r="AF94" i="3"/>
  <c r="V94" i="3"/>
  <c r="D94" i="3"/>
  <c r="G94" i="3"/>
  <c r="H94" i="3" s="1"/>
  <c r="F94" i="3"/>
  <c r="BM94" i="3" s="1"/>
  <c r="T94" i="3"/>
  <c r="AT92" i="3"/>
  <c r="Y93" i="3"/>
  <c r="Z93" i="3" s="1"/>
  <c r="BN93" i="3"/>
  <c r="AO93" i="3"/>
  <c r="AH93" i="3"/>
  <c r="BD90" i="3" l="1"/>
  <c r="AN94" i="3"/>
  <c r="AY92" i="3"/>
  <c r="BN94" i="3"/>
  <c r="AU93" i="3"/>
  <c r="BC91" i="3"/>
  <c r="BG91" i="3" s="1"/>
  <c r="BH91" i="3" s="1"/>
  <c r="BI91" i="3" s="1"/>
  <c r="AT93" i="3"/>
  <c r="AW93" i="3"/>
  <c r="AG94" i="3"/>
  <c r="AV92" i="3"/>
  <c r="BA92" i="3"/>
  <c r="BB91" i="3"/>
  <c r="BF91" i="3"/>
  <c r="BJ90" i="3" s="1"/>
  <c r="BK90" i="3" s="1"/>
  <c r="BQ91" i="3"/>
  <c r="AX93" i="3"/>
  <c r="AH94" i="3"/>
  <c r="X94" i="3"/>
  <c r="A96" i="3"/>
  <c r="B95" i="3"/>
  <c r="AQ95" i="3"/>
  <c r="AR95" i="3"/>
  <c r="D95" i="3"/>
  <c r="C95" i="3"/>
  <c r="AK95" i="3"/>
  <c r="AM95" i="3"/>
  <c r="S95" i="3"/>
  <c r="Q95" i="3"/>
  <c r="O95" i="3"/>
  <c r="AD95" i="3"/>
  <c r="M95" i="3"/>
  <c r="AF95" i="3"/>
  <c r="V95" i="3"/>
  <c r="U95" i="3"/>
  <c r="P95" i="3"/>
  <c r="AE95" i="3"/>
  <c r="R95" i="3"/>
  <c r="G95" i="3"/>
  <c r="H95" i="3" s="1"/>
  <c r="F95" i="3"/>
  <c r="T95" i="3"/>
  <c r="Y94" i="3"/>
  <c r="Z94" i="3" s="1"/>
  <c r="AO94" i="3"/>
  <c r="BD91" i="3" l="1"/>
  <c r="BC92" i="3"/>
  <c r="BG92" i="3" s="1"/>
  <c r="BH92" i="3" s="1"/>
  <c r="BI92" i="3" s="1"/>
  <c r="AG95" i="3"/>
  <c r="AV93" i="3"/>
  <c r="BN95" i="3"/>
  <c r="BM95" i="3"/>
  <c r="AT94" i="3"/>
  <c r="AW94" i="3"/>
  <c r="AN95" i="3"/>
  <c r="AU94" i="3"/>
  <c r="AY93" i="3"/>
  <c r="Y95" i="3"/>
  <c r="Z95" i="3" s="1"/>
  <c r="BA93" i="3"/>
  <c r="BF93" i="3" s="1"/>
  <c r="BB92" i="3"/>
  <c r="BF92" i="3"/>
  <c r="BJ91" i="3" s="1"/>
  <c r="BK91" i="3" s="1"/>
  <c r="BQ92" i="3"/>
  <c r="AH95" i="3"/>
  <c r="X95" i="3"/>
  <c r="AX94" i="3"/>
  <c r="A97" i="3"/>
  <c r="AR96" i="3"/>
  <c r="B96" i="3"/>
  <c r="AQ96" i="3"/>
  <c r="C96" i="3"/>
  <c r="AM96" i="3"/>
  <c r="AK96" i="3"/>
  <c r="S96" i="3"/>
  <c r="R96" i="3"/>
  <c r="Q96" i="3"/>
  <c r="AD96" i="3"/>
  <c r="P96" i="3"/>
  <c r="M96" i="3"/>
  <c r="AE96" i="3"/>
  <c r="AF96" i="3"/>
  <c r="V96" i="3"/>
  <c r="O96" i="3"/>
  <c r="U96" i="3"/>
  <c r="D96" i="3"/>
  <c r="F96" i="3"/>
  <c r="G96" i="3"/>
  <c r="H96" i="3" s="1"/>
  <c r="T96" i="3"/>
  <c r="AO95" i="3"/>
  <c r="BD92" i="3" l="1"/>
  <c r="BN96" i="3"/>
  <c r="BC93" i="3"/>
  <c r="BD93" i="3" s="1"/>
  <c r="BM96" i="3"/>
  <c r="AV94" i="3"/>
  <c r="BA94" i="3"/>
  <c r="BF94" i="3" s="1"/>
  <c r="AN96" i="3"/>
  <c r="AX95" i="3"/>
  <c r="AG96" i="3"/>
  <c r="AT95" i="3"/>
  <c r="BQ93" i="3"/>
  <c r="BB93" i="3"/>
  <c r="Y96" i="3"/>
  <c r="Z96" i="3" s="1"/>
  <c r="AQ97" i="3"/>
  <c r="AR97" i="3"/>
  <c r="B97" i="3"/>
  <c r="A98" i="3"/>
  <c r="D97" i="3"/>
  <c r="C97" i="3"/>
  <c r="AM97" i="3"/>
  <c r="AK97" i="3"/>
  <c r="R97" i="3"/>
  <c r="T97" i="3"/>
  <c r="AD97" i="3"/>
  <c r="P97" i="3"/>
  <c r="M97" i="3"/>
  <c r="AF97" i="3"/>
  <c r="V97" i="3"/>
  <c r="U97" i="3"/>
  <c r="O97" i="3"/>
  <c r="AE97" i="3"/>
  <c r="Q97" i="3"/>
  <c r="G97" i="3"/>
  <c r="H97" i="3" s="1"/>
  <c r="F97" i="3"/>
  <c r="S97" i="3"/>
  <c r="AY94" i="3"/>
  <c r="AU95" i="3"/>
  <c r="AH96" i="3"/>
  <c r="AO96" i="3"/>
  <c r="X96" i="3"/>
  <c r="AW95" i="3"/>
  <c r="BJ92" i="3"/>
  <c r="BK92" i="3" s="1"/>
  <c r="BB94" i="3" l="1"/>
  <c r="BG93" i="3"/>
  <c r="BH93" i="3" s="1"/>
  <c r="BI93" i="3" s="1"/>
  <c r="BC94" i="3"/>
  <c r="BG94" i="3" s="1"/>
  <c r="BH94" i="3" s="1"/>
  <c r="BI94" i="3" s="1"/>
  <c r="BQ94" i="3"/>
  <c r="BM97" i="3"/>
  <c r="BN97" i="3"/>
  <c r="AV95" i="3"/>
  <c r="AY95" i="3"/>
  <c r="AG97" i="3"/>
  <c r="AX96" i="3"/>
  <c r="AO97" i="3"/>
  <c r="X97" i="3"/>
  <c r="B98" i="3"/>
  <c r="AQ98" i="3"/>
  <c r="AR98" i="3"/>
  <c r="A99" i="3"/>
  <c r="D98" i="3"/>
  <c r="R98" i="3"/>
  <c r="AM98" i="3"/>
  <c r="AK98" i="3"/>
  <c r="AD98" i="3"/>
  <c r="AE98" i="3"/>
  <c r="O98" i="3"/>
  <c r="V98" i="3"/>
  <c r="U98" i="3"/>
  <c r="AF98" i="3"/>
  <c r="M98" i="3"/>
  <c r="Q98" i="3"/>
  <c r="C98" i="3"/>
  <c r="G98" i="3"/>
  <c r="H98" i="3" s="1"/>
  <c r="F98" i="3"/>
  <c r="S98" i="3"/>
  <c r="P98" i="3"/>
  <c r="T98" i="3"/>
  <c r="BA95" i="3"/>
  <c r="AW96" i="3"/>
  <c r="Y97" i="3"/>
  <c r="Z97" i="3" s="1"/>
  <c r="BJ93" i="3"/>
  <c r="AU96" i="3"/>
  <c r="AH97" i="3"/>
  <c r="AN97" i="3"/>
  <c r="AT96" i="3"/>
  <c r="BK93" i="3" l="1"/>
  <c r="BM98" i="3"/>
  <c r="BD94" i="3"/>
  <c r="BN98" i="3"/>
  <c r="BC95" i="3"/>
  <c r="BD95" i="3" s="1"/>
  <c r="AU97" i="3"/>
  <c r="AX97" i="3"/>
  <c r="AY96" i="3"/>
  <c r="AO98" i="3"/>
  <c r="A100" i="3"/>
  <c r="B99" i="3"/>
  <c r="AQ99" i="3"/>
  <c r="AR99" i="3"/>
  <c r="D99" i="3"/>
  <c r="AK99" i="3"/>
  <c r="T99" i="3"/>
  <c r="S99" i="3"/>
  <c r="AM99" i="3"/>
  <c r="Q99" i="3"/>
  <c r="R99" i="3"/>
  <c r="P99" i="3"/>
  <c r="AD99" i="3"/>
  <c r="O99" i="3"/>
  <c r="AE99" i="3"/>
  <c r="V99" i="3"/>
  <c r="U99" i="3"/>
  <c r="M99" i="3"/>
  <c r="AF99" i="3"/>
  <c r="F99" i="3"/>
  <c r="G99" i="3"/>
  <c r="H99" i="3" s="1"/>
  <c r="C99" i="3"/>
  <c r="AV96" i="3"/>
  <c r="BA96" i="3"/>
  <c r="BF95" i="3"/>
  <c r="BJ94" i="3" s="1"/>
  <c r="BK94" i="3" s="1"/>
  <c r="BQ95" i="3"/>
  <c r="BB95" i="3"/>
  <c r="AT97" i="3"/>
  <c r="AG98" i="3"/>
  <c r="AW97" i="3"/>
  <c r="Y98" i="3"/>
  <c r="Z98" i="3" s="1"/>
  <c r="X98" i="3"/>
  <c r="AH98" i="3"/>
  <c r="AN98" i="3"/>
  <c r="BN99" i="3" l="1"/>
  <c r="AT98" i="3"/>
  <c r="BG95" i="3"/>
  <c r="BH95" i="3" s="1"/>
  <c r="BI95" i="3" s="1"/>
  <c r="BM99" i="3"/>
  <c r="AY97" i="3"/>
  <c r="BC96" i="3"/>
  <c r="BD96" i="3" s="1"/>
  <c r="AO99" i="3"/>
  <c r="BQ96" i="3"/>
  <c r="BB96" i="3"/>
  <c r="BF96" i="3"/>
  <c r="BJ95" i="3" s="1"/>
  <c r="BA97" i="3"/>
  <c r="AV97" i="3"/>
  <c r="Y99" i="3"/>
  <c r="Z99" i="3" s="1"/>
  <c r="A101" i="3"/>
  <c r="AR100" i="3"/>
  <c r="B100" i="3"/>
  <c r="AQ100" i="3"/>
  <c r="D100" i="3"/>
  <c r="C100" i="3"/>
  <c r="AK100" i="3"/>
  <c r="AM100" i="3"/>
  <c r="T100" i="3"/>
  <c r="S100" i="3"/>
  <c r="R100" i="3"/>
  <c r="AD100" i="3"/>
  <c r="Q100" i="3"/>
  <c r="O100" i="3"/>
  <c r="P100" i="3"/>
  <c r="M100" i="3"/>
  <c r="V100" i="3"/>
  <c r="AF100" i="3"/>
  <c r="AE100" i="3"/>
  <c r="U100" i="3"/>
  <c r="F100" i="3"/>
  <c r="G100" i="3"/>
  <c r="H100" i="3" s="1"/>
  <c r="AW98" i="3"/>
  <c r="X99" i="3"/>
  <c r="AX98" i="3"/>
  <c r="AU98" i="3"/>
  <c r="AG99" i="3"/>
  <c r="AH99" i="3"/>
  <c r="AN99" i="3"/>
  <c r="BK95" i="3" l="1"/>
  <c r="AV98" i="3"/>
  <c r="BN100" i="3"/>
  <c r="BM100" i="3"/>
  <c r="AO100" i="3"/>
  <c r="BC97" i="3"/>
  <c r="BG97" i="3" s="1"/>
  <c r="BH97" i="3" s="1"/>
  <c r="BI97" i="3" s="1"/>
  <c r="BG96" i="3"/>
  <c r="BH96" i="3" s="1"/>
  <c r="BI96" i="3" s="1"/>
  <c r="AT99" i="3"/>
  <c r="AG100" i="3"/>
  <c r="BA98" i="3"/>
  <c r="BQ98" i="3" s="1"/>
  <c r="AY98" i="3"/>
  <c r="AW99" i="3"/>
  <c r="AU99" i="3"/>
  <c r="AX99" i="3"/>
  <c r="AH100" i="3"/>
  <c r="AN100" i="3"/>
  <c r="X100" i="3"/>
  <c r="Y100" i="3"/>
  <c r="Z100" i="3" s="1"/>
  <c r="AQ101" i="3"/>
  <c r="B101" i="3"/>
  <c r="AR101" i="3"/>
  <c r="A102" i="3"/>
  <c r="C101" i="3"/>
  <c r="R101" i="3"/>
  <c r="AM101" i="3"/>
  <c r="AK101" i="3"/>
  <c r="Q101" i="3"/>
  <c r="AD101" i="3"/>
  <c r="O101" i="3"/>
  <c r="P101" i="3"/>
  <c r="AF101" i="3"/>
  <c r="AE101" i="3"/>
  <c r="U101" i="3"/>
  <c r="V101" i="3"/>
  <c r="M101" i="3"/>
  <c r="D101" i="3"/>
  <c r="F101" i="3"/>
  <c r="G101" i="3"/>
  <c r="H101" i="3" s="1"/>
  <c r="T101" i="3"/>
  <c r="S101" i="3"/>
  <c r="BB97" i="3"/>
  <c r="BQ97" i="3"/>
  <c r="BF97" i="3"/>
  <c r="BJ96" i="3" s="1"/>
  <c r="BM101" i="3" l="1"/>
  <c r="BN101" i="3"/>
  <c r="BD97" i="3"/>
  <c r="BK96" i="3"/>
  <c r="BC98" i="3"/>
  <c r="BD98" i="3" s="1"/>
  <c r="AT100" i="3"/>
  <c r="AV99" i="3"/>
  <c r="BB98" i="3"/>
  <c r="AW100" i="3"/>
  <c r="AU100" i="3"/>
  <c r="AN101" i="3"/>
  <c r="BF98" i="3"/>
  <c r="BJ97" i="3" s="1"/>
  <c r="BK97" i="3" s="1"/>
  <c r="AX100" i="3"/>
  <c r="BA99" i="3"/>
  <c r="BQ99" i="3" s="1"/>
  <c r="Y101" i="3"/>
  <c r="Z101" i="3" s="1"/>
  <c r="B102" i="3"/>
  <c r="AQ102" i="3"/>
  <c r="AR102" i="3"/>
  <c r="A103" i="3"/>
  <c r="C102" i="3"/>
  <c r="AM102" i="3"/>
  <c r="AK102" i="3"/>
  <c r="T102" i="3"/>
  <c r="Q102" i="3"/>
  <c r="O102" i="3"/>
  <c r="R102" i="3"/>
  <c r="AD102" i="3"/>
  <c r="P102" i="3"/>
  <c r="AE102" i="3"/>
  <c r="M102" i="3"/>
  <c r="AF102" i="3"/>
  <c r="V102" i="3"/>
  <c r="U102" i="3"/>
  <c r="G102" i="3"/>
  <c r="H102" i="3" s="1"/>
  <c r="D102" i="3"/>
  <c r="F102" i="3"/>
  <c r="S102" i="3"/>
  <c r="X101" i="3"/>
  <c r="AG101" i="3"/>
  <c r="AH101" i="3"/>
  <c r="AO101" i="3"/>
  <c r="AY99" i="3"/>
  <c r="BM102" i="3" l="1"/>
  <c r="BG98" i="3"/>
  <c r="BH98" i="3" s="1"/>
  <c r="BI98" i="3" s="1"/>
  <c r="AV100" i="3"/>
  <c r="BC99" i="3"/>
  <c r="BD99" i="3" s="1"/>
  <c r="AY100" i="3"/>
  <c r="BN102" i="3"/>
  <c r="AH102" i="3"/>
  <c r="BA100" i="3"/>
  <c r="BB100" i="3" s="1"/>
  <c r="AX101" i="3"/>
  <c r="BF99" i="3"/>
  <c r="BJ98" i="3" s="1"/>
  <c r="AO102" i="3"/>
  <c r="BB99" i="3"/>
  <c r="Y102" i="3"/>
  <c r="Z102" i="3" s="1"/>
  <c r="A104" i="3"/>
  <c r="B103" i="3"/>
  <c r="AQ103" i="3"/>
  <c r="AR103" i="3"/>
  <c r="D103" i="3"/>
  <c r="AK103" i="3"/>
  <c r="AM103" i="3"/>
  <c r="S103" i="3"/>
  <c r="R103" i="3"/>
  <c r="AD103" i="3"/>
  <c r="P103" i="3"/>
  <c r="O103" i="3"/>
  <c r="AE103" i="3"/>
  <c r="AF103" i="3"/>
  <c r="M103" i="3"/>
  <c r="V103" i="3"/>
  <c r="U103" i="3"/>
  <c r="Q103" i="3"/>
  <c r="C103" i="3"/>
  <c r="F103" i="3"/>
  <c r="G103" i="3"/>
  <c r="H103" i="3" s="1"/>
  <c r="BN103" i="3" s="1"/>
  <c r="T103" i="3"/>
  <c r="AW101" i="3"/>
  <c r="X102" i="3"/>
  <c r="AG102" i="3"/>
  <c r="AN102" i="3"/>
  <c r="AT101" i="3"/>
  <c r="AU101" i="3"/>
  <c r="BK98" i="3" l="1"/>
  <c r="BC100" i="3"/>
  <c r="BG100" i="3" s="1"/>
  <c r="BH100" i="3" s="1"/>
  <c r="BI100" i="3" s="1"/>
  <c r="BG99" i="3"/>
  <c r="BH99" i="3" s="1"/>
  <c r="BI99" i="3" s="1"/>
  <c r="BQ100" i="3"/>
  <c r="BM103" i="3"/>
  <c r="BF100" i="3"/>
  <c r="BJ99" i="3" s="1"/>
  <c r="AY101" i="3"/>
  <c r="AW102" i="3"/>
  <c r="AO103" i="3"/>
  <c r="AT102" i="3"/>
  <c r="AX102" i="3"/>
  <c r="AH103" i="3"/>
  <c r="Y103" i="3"/>
  <c r="Z103" i="3" s="1"/>
  <c r="A105" i="3"/>
  <c r="AR104" i="3"/>
  <c r="B104" i="3"/>
  <c r="AQ104" i="3"/>
  <c r="D104" i="3"/>
  <c r="R104" i="3"/>
  <c r="Q104" i="3"/>
  <c r="AM104" i="3"/>
  <c r="AK104" i="3"/>
  <c r="S104" i="3"/>
  <c r="AD104" i="3"/>
  <c r="P104" i="3"/>
  <c r="O104" i="3"/>
  <c r="AE104" i="3"/>
  <c r="M104" i="3"/>
  <c r="AF104" i="3"/>
  <c r="V104" i="3"/>
  <c r="U104" i="3"/>
  <c r="G104" i="3"/>
  <c r="H104" i="3" s="1"/>
  <c r="F104" i="3"/>
  <c r="C104" i="3"/>
  <c r="T104" i="3"/>
  <c r="X103" i="3"/>
  <c r="AG103" i="3"/>
  <c r="AN103" i="3"/>
  <c r="BA101" i="3"/>
  <c r="AV101" i="3"/>
  <c r="AU102" i="3"/>
  <c r="BD100" i="3" l="1"/>
  <c r="BN104" i="3"/>
  <c r="BK99" i="3"/>
  <c r="BM104" i="3"/>
  <c r="BC101" i="3"/>
  <c r="BD101" i="3" s="1"/>
  <c r="AV102" i="3"/>
  <c r="AU103" i="3"/>
  <c r="AG104" i="3"/>
  <c r="AY102" i="3"/>
  <c r="AT103" i="3"/>
  <c r="AX103" i="3"/>
  <c r="AN104" i="3"/>
  <c r="BA102" i="3"/>
  <c r="BB102" i="3" s="1"/>
  <c r="Y104" i="3"/>
  <c r="Z104" i="3" s="1"/>
  <c r="BQ101" i="3"/>
  <c r="BF101" i="3"/>
  <c r="BJ100" i="3" s="1"/>
  <c r="BK100" i="3" s="1"/>
  <c r="BB101" i="3"/>
  <c r="AQ105" i="3"/>
  <c r="AR105" i="3"/>
  <c r="B105" i="3"/>
  <c r="A106" i="3"/>
  <c r="C105" i="3"/>
  <c r="R105" i="3"/>
  <c r="AK105" i="3"/>
  <c r="AM105" i="3"/>
  <c r="Q105" i="3"/>
  <c r="AD105" i="3"/>
  <c r="O105" i="3"/>
  <c r="P105" i="3"/>
  <c r="M105" i="3"/>
  <c r="AE105" i="3"/>
  <c r="U105" i="3"/>
  <c r="V105" i="3"/>
  <c r="AF105" i="3"/>
  <c r="D105" i="3"/>
  <c r="G105" i="3"/>
  <c r="H105" i="3" s="1"/>
  <c r="F105" i="3"/>
  <c r="S105" i="3"/>
  <c r="T105" i="3"/>
  <c r="AW103" i="3"/>
  <c r="X104" i="3"/>
  <c r="AH104" i="3"/>
  <c r="AO104" i="3"/>
  <c r="BG101" i="3" l="1"/>
  <c r="BH101" i="3" s="1"/>
  <c r="BI101" i="3" s="1"/>
  <c r="BM105" i="3"/>
  <c r="AG105" i="3"/>
  <c r="AN105" i="3"/>
  <c r="AU104" i="3"/>
  <c r="BC102" i="3"/>
  <c r="BG102" i="3" s="1"/>
  <c r="BH102" i="3" s="1"/>
  <c r="BI102" i="3" s="1"/>
  <c r="AT104" i="3"/>
  <c r="AV103" i="3"/>
  <c r="BQ102" i="3"/>
  <c r="BA103" i="3"/>
  <c r="BF103" i="3" s="1"/>
  <c r="BF102" i="3"/>
  <c r="BJ101" i="3" s="1"/>
  <c r="AW104" i="3"/>
  <c r="Y105" i="3"/>
  <c r="Z105" i="3" s="1"/>
  <c r="AX104" i="3"/>
  <c r="AY103" i="3"/>
  <c r="X105" i="3"/>
  <c r="BN105" i="3"/>
  <c r="AO105" i="3"/>
  <c r="B106" i="3"/>
  <c r="AQ106" i="3"/>
  <c r="AR106" i="3"/>
  <c r="A107" i="3"/>
  <c r="D106" i="3"/>
  <c r="AM106" i="3"/>
  <c r="AK106" i="3"/>
  <c r="R106" i="3"/>
  <c r="Q106" i="3"/>
  <c r="S106" i="3"/>
  <c r="AD106" i="3"/>
  <c r="P106" i="3"/>
  <c r="O106" i="3"/>
  <c r="AF106" i="3"/>
  <c r="AE106" i="3"/>
  <c r="V106" i="3"/>
  <c r="M106" i="3"/>
  <c r="U106" i="3"/>
  <c r="C106" i="3"/>
  <c r="G106" i="3"/>
  <c r="H106" i="3" s="1"/>
  <c r="F106" i="3"/>
  <c r="T106" i="3"/>
  <c r="AH105" i="3"/>
  <c r="BK101" i="3" l="1"/>
  <c r="AV104" i="3"/>
  <c r="BM106" i="3"/>
  <c r="BN106" i="3"/>
  <c r="BD102" i="3"/>
  <c r="BQ103" i="3"/>
  <c r="AN106" i="3"/>
  <c r="AX105" i="3"/>
  <c r="Y106" i="3"/>
  <c r="Z106" i="3" s="1"/>
  <c r="BC103" i="3"/>
  <c r="BD103" i="3" s="1"/>
  <c r="AY104" i="3"/>
  <c r="BB103" i="3"/>
  <c r="BJ102" i="3"/>
  <c r="BK102" i="3" s="1"/>
  <c r="BA104" i="3"/>
  <c r="BQ104" i="3" s="1"/>
  <c r="X106" i="3"/>
  <c r="AG106" i="3"/>
  <c r="AH106" i="3"/>
  <c r="AO106" i="3"/>
  <c r="A108" i="3"/>
  <c r="B107" i="3"/>
  <c r="AQ107" i="3"/>
  <c r="AR107" i="3"/>
  <c r="D107" i="3"/>
  <c r="AM107" i="3"/>
  <c r="S107" i="3"/>
  <c r="R107" i="3"/>
  <c r="Q107" i="3"/>
  <c r="C107" i="3"/>
  <c r="AK107" i="3"/>
  <c r="AD107" i="3"/>
  <c r="O107" i="3"/>
  <c r="M107" i="3"/>
  <c r="AF107" i="3"/>
  <c r="AE107" i="3"/>
  <c r="V107" i="3"/>
  <c r="U107" i="3"/>
  <c r="G107" i="3"/>
  <c r="H107" i="3" s="1"/>
  <c r="F107" i="3"/>
  <c r="T107" i="3"/>
  <c r="P107" i="3"/>
  <c r="AT105" i="3"/>
  <c r="AW105" i="3"/>
  <c r="AU105" i="3"/>
  <c r="BM107" i="3" l="1"/>
  <c r="BN107" i="3"/>
  <c r="BC104" i="3"/>
  <c r="BG104" i="3" s="1"/>
  <c r="BH104" i="3" s="1"/>
  <c r="BI104" i="3" s="1"/>
  <c r="AN107" i="3"/>
  <c r="AY105" i="3"/>
  <c r="BF104" i="3"/>
  <c r="BJ103" i="3" s="1"/>
  <c r="BG103" i="3"/>
  <c r="BH103" i="3" s="1"/>
  <c r="BI103" i="3" s="1"/>
  <c r="AU106" i="3"/>
  <c r="BB104" i="3"/>
  <c r="AG107" i="3"/>
  <c r="AX106" i="3"/>
  <c r="BA105" i="3"/>
  <c r="BQ105" i="3" s="1"/>
  <c r="Y107" i="3"/>
  <c r="Z107" i="3" s="1"/>
  <c r="AH107" i="3"/>
  <c r="A109" i="3"/>
  <c r="AR108" i="3"/>
  <c r="B108" i="3"/>
  <c r="AQ108" i="3"/>
  <c r="R108" i="3"/>
  <c r="C108" i="3"/>
  <c r="AM108" i="3"/>
  <c r="AK108" i="3"/>
  <c r="Q108" i="3"/>
  <c r="AD108" i="3"/>
  <c r="O108" i="3"/>
  <c r="P108" i="3"/>
  <c r="AE108" i="3"/>
  <c r="M108" i="3"/>
  <c r="AF108" i="3"/>
  <c r="V108" i="3"/>
  <c r="U108" i="3"/>
  <c r="D108" i="3"/>
  <c r="F108" i="3"/>
  <c r="G108" i="3"/>
  <c r="H108" i="3" s="1"/>
  <c r="S108" i="3"/>
  <c r="T108" i="3"/>
  <c r="X107" i="3"/>
  <c r="AV105" i="3"/>
  <c r="AO107" i="3"/>
  <c r="AT106" i="3"/>
  <c r="AW106" i="3"/>
  <c r="BN108" i="3" l="1"/>
  <c r="BD104" i="3"/>
  <c r="AU107" i="3"/>
  <c r="BK103" i="3"/>
  <c r="BC105" i="3"/>
  <c r="BG105" i="3" s="1"/>
  <c r="BH105" i="3" s="1"/>
  <c r="BI105" i="3" s="1"/>
  <c r="AY106" i="3"/>
  <c r="AW107" i="3"/>
  <c r="AO108" i="3"/>
  <c r="BF105" i="3"/>
  <c r="BJ104" i="3" s="1"/>
  <c r="BK104" i="3" s="1"/>
  <c r="BB105" i="3"/>
  <c r="AV106" i="3"/>
  <c r="BA106" i="3"/>
  <c r="AQ109" i="3"/>
  <c r="B109" i="3"/>
  <c r="AR109" i="3"/>
  <c r="A110" i="3"/>
  <c r="AM109" i="3"/>
  <c r="T109" i="3"/>
  <c r="Q109" i="3"/>
  <c r="D109" i="3"/>
  <c r="AK109" i="3"/>
  <c r="S109" i="3"/>
  <c r="P109" i="3"/>
  <c r="R109" i="3"/>
  <c r="AD109" i="3"/>
  <c r="O109" i="3"/>
  <c r="M109" i="3"/>
  <c r="AF109" i="3"/>
  <c r="U109" i="3"/>
  <c r="AE109" i="3"/>
  <c r="V109" i="3"/>
  <c r="C109" i="3"/>
  <c r="F109" i="3"/>
  <c r="G109" i="3"/>
  <c r="H109" i="3" s="1"/>
  <c r="X108" i="3"/>
  <c r="BM108" i="3"/>
  <c r="AH108" i="3"/>
  <c r="AG108" i="3"/>
  <c r="AN108" i="3"/>
  <c r="AT107" i="3"/>
  <c r="Y108" i="3"/>
  <c r="Z108" i="3" s="1"/>
  <c r="AX107" i="3"/>
  <c r="BN109" i="3" l="1"/>
  <c r="BD105" i="3"/>
  <c r="BM109" i="3"/>
  <c r="AO109" i="3"/>
  <c r="AY107" i="3"/>
  <c r="BC106" i="3"/>
  <c r="BG106" i="3" s="1"/>
  <c r="BH106" i="3" s="1"/>
  <c r="BI106" i="3" s="1"/>
  <c r="AW108" i="3"/>
  <c r="AT108" i="3"/>
  <c r="AH109" i="3"/>
  <c r="Y109" i="3"/>
  <c r="Z109" i="3" s="1"/>
  <c r="B110" i="3"/>
  <c r="AQ110" i="3"/>
  <c r="AR110" i="3"/>
  <c r="A111" i="3"/>
  <c r="C110" i="3"/>
  <c r="D110" i="3"/>
  <c r="AM110" i="3"/>
  <c r="AK110" i="3"/>
  <c r="T110" i="3"/>
  <c r="Q110" i="3"/>
  <c r="S110" i="3"/>
  <c r="R110" i="3"/>
  <c r="AD110" i="3"/>
  <c r="P110" i="3"/>
  <c r="O110" i="3"/>
  <c r="AE110" i="3"/>
  <c r="AF110" i="3"/>
  <c r="V110" i="3"/>
  <c r="M110" i="3"/>
  <c r="U110" i="3"/>
  <c r="F110" i="3"/>
  <c r="G110" i="3"/>
  <c r="H110" i="3" s="1"/>
  <c r="BN110" i="3" s="1"/>
  <c r="BQ106" i="3"/>
  <c r="BF106" i="3"/>
  <c r="BJ105" i="3" s="1"/>
  <c r="BK105" i="3" s="1"/>
  <c r="BB106" i="3"/>
  <c r="AU108" i="3"/>
  <c r="AN109" i="3"/>
  <c r="AX108" i="3"/>
  <c r="X109" i="3"/>
  <c r="AG109" i="3"/>
  <c r="AV107" i="3"/>
  <c r="BA107" i="3"/>
  <c r="BM110" i="3" l="1"/>
  <c r="BD106" i="3"/>
  <c r="BA108" i="3"/>
  <c r="BQ108" i="3" s="1"/>
  <c r="AV108" i="3"/>
  <c r="BC107" i="3"/>
  <c r="BD107" i="3" s="1"/>
  <c r="AX109" i="3"/>
  <c r="AN110" i="3"/>
  <c r="AU109" i="3"/>
  <c r="AW109" i="3"/>
  <c r="BB107" i="3"/>
  <c r="BQ107" i="3"/>
  <c r="BF107" i="3"/>
  <c r="BJ106" i="3" s="1"/>
  <c r="BK106" i="3" s="1"/>
  <c r="Y110" i="3"/>
  <c r="Z110" i="3" s="1"/>
  <c r="A112" i="3"/>
  <c r="B111" i="3"/>
  <c r="AQ111" i="3"/>
  <c r="AR111" i="3"/>
  <c r="AK111" i="3"/>
  <c r="R111" i="3"/>
  <c r="AM111" i="3"/>
  <c r="C111" i="3"/>
  <c r="AD111" i="3"/>
  <c r="T111" i="3"/>
  <c r="Q111" i="3"/>
  <c r="O111" i="3"/>
  <c r="P111" i="3"/>
  <c r="AE111" i="3"/>
  <c r="AF111" i="3"/>
  <c r="M111" i="3"/>
  <c r="V111" i="3"/>
  <c r="U111" i="3"/>
  <c r="D111" i="3"/>
  <c r="G111" i="3"/>
  <c r="H111" i="3" s="1"/>
  <c r="F111" i="3"/>
  <c r="S111" i="3"/>
  <c r="AH110" i="3"/>
  <c r="AT109" i="3"/>
  <c r="AY108" i="3"/>
  <c r="AG110" i="3"/>
  <c r="AO110" i="3"/>
  <c r="X110" i="3"/>
  <c r="AN111" i="3" l="1"/>
  <c r="BB108" i="3"/>
  <c r="BC108" i="3"/>
  <c r="BD108" i="3" s="1"/>
  <c r="BF108" i="3"/>
  <c r="BJ107" i="3" s="1"/>
  <c r="BG107" i="3"/>
  <c r="BH107" i="3" s="1"/>
  <c r="BI107" i="3" s="1"/>
  <c r="AY109" i="3"/>
  <c r="AT110" i="3"/>
  <c r="BM111" i="3"/>
  <c r="AH111" i="3"/>
  <c r="A113" i="3"/>
  <c r="AR112" i="3"/>
  <c r="B112" i="3"/>
  <c r="AQ112" i="3"/>
  <c r="D112" i="3"/>
  <c r="C112" i="3"/>
  <c r="S112" i="3"/>
  <c r="Q112" i="3"/>
  <c r="AM112" i="3"/>
  <c r="AK112" i="3"/>
  <c r="AD112" i="3"/>
  <c r="P112" i="3"/>
  <c r="T112" i="3"/>
  <c r="R112" i="3"/>
  <c r="O112" i="3"/>
  <c r="AE112" i="3"/>
  <c r="M112" i="3"/>
  <c r="AF112" i="3"/>
  <c r="U112" i="3"/>
  <c r="V112" i="3"/>
  <c r="G112" i="3"/>
  <c r="H112" i="3" s="1"/>
  <c r="F112" i="3"/>
  <c r="BM112" i="3" s="1"/>
  <c r="AV109" i="3"/>
  <c r="BA109" i="3"/>
  <c r="Y111" i="3"/>
  <c r="Z111" i="3" s="1"/>
  <c r="BN111" i="3"/>
  <c r="AX110" i="3"/>
  <c r="AU110" i="3"/>
  <c r="AW110" i="3"/>
  <c r="X111" i="3"/>
  <c r="AG111" i="3"/>
  <c r="AO111" i="3"/>
  <c r="BN112" i="3" l="1"/>
  <c r="BK107" i="3"/>
  <c r="AV110" i="3"/>
  <c r="BG108" i="3"/>
  <c r="BH108" i="3" s="1"/>
  <c r="BI108" i="3" s="1"/>
  <c r="BC109" i="3"/>
  <c r="BG109" i="3" s="1"/>
  <c r="BH109" i="3" s="1"/>
  <c r="BI109" i="3" s="1"/>
  <c r="AT111" i="3"/>
  <c r="AO112" i="3"/>
  <c r="AY110" i="3"/>
  <c r="AG112" i="3"/>
  <c r="AX111" i="3"/>
  <c r="BA110" i="3"/>
  <c r="BQ110" i="3" s="1"/>
  <c r="Y112" i="3"/>
  <c r="Z112" i="3" s="1"/>
  <c r="AQ113" i="3"/>
  <c r="AR113" i="3"/>
  <c r="B113" i="3"/>
  <c r="A114" i="3"/>
  <c r="D113" i="3"/>
  <c r="AM113" i="3"/>
  <c r="R113" i="3"/>
  <c r="AK113" i="3"/>
  <c r="Q113" i="3"/>
  <c r="S113" i="3"/>
  <c r="AD113" i="3"/>
  <c r="O113" i="3"/>
  <c r="M113" i="3"/>
  <c r="AF113" i="3"/>
  <c r="P113" i="3"/>
  <c r="AE113" i="3"/>
  <c r="V113" i="3"/>
  <c r="U113" i="3"/>
  <c r="F113" i="3"/>
  <c r="G113" i="3"/>
  <c r="H113" i="3" s="1"/>
  <c r="C113" i="3"/>
  <c r="T113" i="3"/>
  <c r="AW111" i="3"/>
  <c r="AU111" i="3"/>
  <c r="AH112" i="3"/>
  <c r="AN112" i="3"/>
  <c r="BF109" i="3"/>
  <c r="BJ108" i="3" s="1"/>
  <c r="BQ109" i="3"/>
  <c r="BB109" i="3"/>
  <c r="X112" i="3"/>
  <c r="BK108" i="3" l="1"/>
  <c r="AO113" i="3"/>
  <c r="AT112" i="3"/>
  <c r="BD109" i="3"/>
  <c r="BC110" i="3"/>
  <c r="BD110" i="3" s="1"/>
  <c r="AU112" i="3"/>
  <c r="AV111" i="3"/>
  <c r="BB110" i="3"/>
  <c r="BN113" i="3"/>
  <c r="AW112" i="3"/>
  <c r="AY111" i="3"/>
  <c r="BA111" i="3"/>
  <c r="BQ111" i="3" s="1"/>
  <c r="AG113" i="3"/>
  <c r="X113" i="3"/>
  <c r="BF110" i="3"/>
  <c r="BJ109" i="3" s="1"/>
  <c r="BK109" i="3" s="1"/>
  <c r="Y113" i="3"/>
  <c r="Z113" i="3" s="1"/>
  <c r="B114" i="3"/>
  <c r="AQ114" i="3"/>
  <c r="AR114" i="3"/>
  <c r="A115" i="3"/>
  <c r="T114" i="3"/>
  <c r="C114" i="3"/>
  <c r="AM114" i="3"/>
  <c r="AK114" i="3"/>
  <c r="P114" i="3"/>
  <c r="Q114" i="3"/>
  <c r="AD114" i="3"/>
  <c r="O114" i="3"/>
  <c r="AE114" i="3"/>
  <c r="AF114" i="3"/>
  <c r="M114" i="3"/>
  <c r="U114" i="3"/>
  <c r="V114" i="3"/>
  <c r="R114" i="3"/>
  <c r="D114" i="3"/>
  <c r="G114" i="3"/>
  <c r="H114" i="3" s="1"/>
  <c r="F114" i="3"/>
  <c r="S114" i="3"/>
  <c r="AN113" i="3"/>
  <c r="AX112" i="3"/>
  <c r="BM113" i="3"/>
  <c r="AH113" i="3"/>
  <c r="AY112" i="3" l="1"/>
  <c r="BC111" i="3"/>
  <c r="BD111" i="3" s="1"/>
  <c r="AV112" i="3"/>
  <c r="BG110" i="3"/>
  <c r="BH110" i="3" s="1"/>
  <c r="BI110" i="3" s="1"/>
  <c r="BM114" i="3"/>
  <c r="BN114" i="3"/>
  <c r="BB111" i="3"/>
  <c r="BF111" i="3"/>
  <c r="BJ110" i="3" s="1"/>
  <c r="AO114" i="3"/>
  <c r="AX113" i="3"/>
  <c r="AW113" i="3"/>
  <c r="AU113" i="3"/>
  <c r="AT113" i="3"/>
  <c r="X114" i="3"/>
  <c r="Y114" i="3"/>
  <c r="Z114" i="3" s="1"/>
  <c r="BA112" i="3"/>
  <c r="AG114" i="3"/>
  <c r="AH114" i="3"/>
  <c r="AN114" i="3"/>
  <c r="A116" i="3"/>
  <c r="B115" i="3"/>
  <c r="AQ115" i="3"/>
  <c r="AR115" i="3"/>
  <c r="C115" i="3"/>
  <c r="AK115" i="3"/>
  <c r="S115" i="3"/>
  <c r="AM115" i="3"/>
  <c r="Q115" i="3"/>
  <c r="AD115" i="3"/>
  <c r="R115" i="3"/>
  <c r="P115" i="3"/>
  <c r="M115" i="3"/>
  <c r="AE115" i="3"/>
  <c r="O115" i="3"/>
  <c r="AF115" i="3"/>
  <c r="V115" i="3"/>
  <c r="U115" i="3"/>
  <c r="D115" i="3"/>
  <c r="G115" i="3"/>
  <c r="H115" i="3" s="1"/>
  <c r="F115" i="3"/>
  <c r="T115" i="3"/>
  <c r="BK110" i="3" l="1"/>
  <c r="BM115" i="3"/>
  <c r="BC112" i="3"/>
  <c r="BG112" i="3" s="1"/>
  <c r="BH112" i="3" s="1"/>
  <c r="BI112" i="3" s="1"/>
  <c r="BG111" i="3"/>
  <c r="BH111" i="3" s="1"/>
  <c r="BI111" i="3" s="1"/>
  <c r="BN115" i="3"/>
  <c r="AV113" i="3"/>
  <c r="AY113" i="3"/>
  <c r="AN115" i="3"/>
  <c r="BA113" i="3"/>
  <c r="BF113" i="3" s="1"/>
  <c r="Y115" i="3"/>
  <c r="Z115" i="3" s="1"/>
  <c r="AT114" i="3"/>
  <c r="AU114" i="3"/>
  <c r="AX114" i="3"/>
  <c r="BB112" i="3"/>
  <c r="BF112" i="3"/>
  <c r="BQ112" i="3"/>
  <c r="AG115" i="3"/>
  <c r="AH115" i="3"/>
  <c r="AO115" i="3"/>
  <c r="A117" i="3"/>
  <c r="AR116" i="3"/>
  <c r="B116" i="3"/>
  <c r="AQ116" i="3"/>
  <c r="C116" i="3"/>
  <c r="AK116" i="3"/>
  <c r="S116" i="3"/>
  <c r="R116" i="3"/>
  <c r="AM116" i="3"/>
  <c r="Q116" i="3"/>
  <c r="AD116" i="3"/>
  <c r="P116" i="3"/>
  <c r="O116" i="3"/>
  <c r="M116" i="3"/>
  <c r="AE116" i="3"/>
  <c r="AF116" i="3"/>
  <c r="U116" i="3"/>
  <c r="V116" i="3"/>
  <c r="G116" i="3"/>
  <c r="H116" i="3" s="1"/>
  <c r="F116" i="3"/>
  <c r="D116" i="3"/>
  <c r="T116" i="3"/>
  <c r="X115" i="3"/>
  <c r="AW114" i="3"/>
  <c r="BD112" i="3" l="1"/>
  <c r="BB113" i="3"/>
  <c r="BM116" i="3"/>
  <c r="BC113" i="3"/>
  <c r="BD113" i="3" s="1"/>
  <c r="AT115" i="3"/>
  <c r="AY114" i="3"/>
  <c r="BQ113" i="3"/>
  <c r="AO116" i="3"/>
  <c r="AV114" i="3"/>
  <c r="AU115" i="3"/>
  <c r="AX115" i="3"/>
  <c r="Y116" i="3"/>
  <c r="Z116" i="3" s="1"/>
  <c r="BJ112" i="3"/>
  <c r="BK112" i="3" s="1"/>
  <c r="BJ111" i="3"/>
  <c r="BK111" i="3" s="1"/>
  <c r="BA114" i="3"/>
  <c r="AQ117" i="3"/>
  <c r="B117" i="3"/>
  <c r="AR117" i="3"/>
  <c r="A118" i="3"/>
  <c r="C117" i="3"/>
  <c r="AM117" i="3"/>
  <c r="AK117" i="3"/>
  <c r="T117" i="3"/>
  <c r="R117" i="3"/>
  <c r="Q117" i="3"/>
  <c r="P117" i="3"/>
  <c r="AD117" i="3"/>
  <c r="O117" i="3"/>
  <c r="AE117" i="3"/>
  <c r="AF117" i="3"/>
  <c r="M117" i="3"/>
  <c r="U117" i="3"/>
  <c r="V117" i="3"/>
  <c r="D117" i="3"/>
  <c r="G117" i="3"/>
  <c r="H117" i="3" s="1"/>
  <c r="F117" i="3"/>
  <c r="S117" i="3"/>
  <c r="BN116" i="3"/>
  <c r="AG116" i="3"/>
  <c r="AH116" i="3"/>
  <c r="AN116" i="3"/>
  <c r="X116" i="3"/>
  <c r="AW115" i="3"/>
  <c r="BM117" i="3" l="1"/>
  <c r="BG113" i="3"/>
  <c r="BH113" i="3" s="1"/>
  <c r="BI113" i="3" s="1"/>
  <c r="AV115" i="3"/>
  <c r="BC114" i="3"/>
  <c r="BD114" i="3" s="1"/>
  <c r="AO117" i="3"/>
  <c r="AY115" i="3"/>
  <c r="AX116" i="3"/>
  <c r="AH117" i="3"/>
  <c r="B118" i="3"/>
  <c r="AQ118" i="3"/>
  <c r="AR118" i="3"/>
  <c r="A119" i="3"/>
  <c r="D118" i="3"/>
  <c r="AM118" i="3"/>
  <c r="Q118" i="3"/>
  <c r="C118" i="3"/>
  <c r="AK118" i="3"/>
  <c r="S118" i="3"/>
  <c r="R118" i="3"/>
  <c r="AD118" i="3"/>
  <c r="O118" i="3"/>
  <c r="M118" i="3"/>
  <c r="U118" i="3"/>
  <c r="P118" i="3"/>
  <c r="AE118" i="3"/>
  <c r="AF118" i="3"/>
  <c r="V118" i="3"/>
  <c r="F118" i="3"/>
  <c r="G118" i="3"/>
  <c r="H118" i="3" s="1"/>
  <c r="T118" i="3"/>
  <c r="BB114" i="3"/>
  <c r="BF114" i="3"/>
  <c r="BJ113" i="3" s="1"/>
  <c r="BK113" i="3" s="1"/>
  <c r="BQ114" i="3"/>
  <c r="AW116" i="3"/>
  <c r="X117" i="3"/>
  <c r="BN117" i="3"/>
  <c r="AG117" i="3"/>
  <c r="AN117" i="3"/>
  <c r="AU116" i="3"/>
  <c r="Y117" i="3"/>
  <c r="Z117" i="3" s="1"/>
  <c r="AT116" i="3"/>
  <c r="BA115" i="3"/>
  <c r="BN118" i="3" l="1"/>
  <c r="BM118" i="3"/>
  <c r="BC115" i="3"/>
  <c r="BD115" i="3" s="1"/>
  <c r="BG114" i="3"/>
  <c r="BH114" i="3" s="1"/>
  <c r="BI114" i="3" s="1"/>
  <c r="AT117" i="3"/>
  <c r="AX117" i="3"/>
  <c r="AY116" i="3"/>
  <c r="Y118" i="3"/>
  <c r="Z118" i="3" s="1"/>
  <c r="AU117" i="3"/>
  <c r="AN118" i="3"/>
  <c r="BA116" i="3"/>
  <c r="BF116" i="3" s="1"/>
  <c r="BB115" i="3"/>
  <c r="BF115" i="3"/>
  <c r="BJ114" i="3" s="1"/>
  <c r="BQ115" i="3"/>
  <c r="AH118" i="3"/>
  <c r="AV116" i="3"/>
  <c r="AW117" i="3"/>
  <c r="AG118" i="3"/>
  <c r="AO118" i="3"/>
  <c r="A120" i="3"/>
  <c r="B119" i="3"/>
  <c r="AQ119" i="3"/>
  <c r="AR119" i="3"/>
  <c r="D119" i="3"/>
  <c r="C119" i="3"/>
  <c r="T119" i="3"/>
  <c r="S119" i="3"/>
  <c r="AM119" i="3"/>
  <c r="AK119" i="3"/>
  <c r="Q119" i="3"/>
  <c r="R119" i="3"/>
  <c r="AD119" i="3"/>
  <c r="P119" i="3"/>
  <c r="AE119" i="3"/>
  <c r="V119" i="3"/>
  <c r="O119" i="3"/>
  <c r="M119" i="3"/>
  <c r="AF119" i="3"/>
  <c r="U119" i="3"/>
  <c r="F119" i="3"/>
  <c r="G119" i="3"/>
  <c r="H119" i="3" s="1"/>
  <c r="X118" i="3"/>
  <c r="BK114" i="3" l="1"/>
  <c r="AO119" i="3"/>
  <c r="BN119" i="3"/>
  <c r="BM119" i="3"/>
  <c r="BG115" i="3"/>
  <c r="BH115" i="3" s="1"/>
  <c r="BI115" i="3" s="1"/>
  <c r="AY117" i="3"/>
  <c r="AV117" i="3"/>
  <c r="BC116" i="3"/>
  <c r="BD116" i="3" s="1"/>
  <c r="BQ116" i="3"/>
  <c r="BA117" i="3"/>
  <c r="BF117" i="3" s="1"/>
  <c r="BJ116" i="3" s="1"/>
  <c r="BB116" i="3"/>
  <c r="AN119" i="3"/>
  <c r="AU118" i="3"/>
  <c r="Y119" i="3"/>
  <c r="Z119" i="3" s="1"/>
  <c r="A121" i="3"/>
  <c r="AR120" i="3"/>
  <c r="B120" i="3"/>
  <c r="AQ120" i="3"/>
  <c r="AM120" i="3"/>
  <c r="T120" i="3"/>
  <c r="AK120" i="3"/>
  <c r="R120" i="3"/>
  <c r="Q120" i="3"/>
  <c r="AD120" i="3"/>
  <c r="P120" i="3"/>
  <c r="O120" i="3"/>
  <c r="M120" i="3"/>
  <c r="AF120" i="3"/>
  <c r="V120" i="3"/>
  <c r="U120" i="3"/>
  <c r="AE120" i="3"/>
  <c r="C120" i="3"/>
  <c r="G120" i="3"/>
  <c r="H120" i="3" s="1"/>
  <c r="F120" i="3"/>
  <c r="D120" i="3"/>
  <c r="S120" i="3"/>
  <c r="AT118" i="3"/>
  <c r="AX118" i="3"/>
  <c r="BJ115" i="3"/>
  <c r="AG119" i="3"/>
  <c r="AH119" i="3"/>
  <c r="X119" i="3"/>
  <c r="AW118" i="3"/>
  <c r="BB117" i="3" l="1"/>
  <c r="BK115" i="3"/>
  <c r="BM120" i="3"/>
  <c r="AO120" i="3"/>
  <c r="BC117" i="3"/>
  <c r="BG117" i="3" s="1"/>
  <c r="BH117" i="3" s="1"/>
  <c r="BI117" i="3" s="1"/>
  <c r="BG116" i="3"/>
  <c r="BH116" i="3" s="1"/>
  <c r="BI116" i="3" s="1"/>
  <c r="BK116" i="3" s="1"/>
  <c r="BQ117" i="3"/>
  <c r="AT119" i="3"/>
  <c r="X120" i="3"/>
  <c r="AX119" i="3"/>
  <c r="AG120" i="3"/>
  <c r="AY118" i="3"/>
  <c r="AV118" i="3"/>
  <c r="BA118" i="3"/>
  <c r="Y120" i="3"/>
  <c r="Z120" i="3" s="1"/>
  <c r="AQ121" i="3"/>
  <c r="AR121" i="3"/>
  <c r="B121" i="3"/>
  <c r="A122" i="3"/>
  <c r="C121" i="3"/>
  <c r="AK121" i="3"/>
  <c r="Q121" i="3"/>
  <c r="AM121" i="3"/>
  <c r="T121" i="3"/>
  <c r="P121" i="3"/>
  <c r="S121" i="3"/>
  <c r="AD121" i="3"/>
  <c r="O121" i="3"/>
  <c r="AE121" i="3"/>
  <c r="M121" i="3"/>
  <c r="AF121" i="3"/>
  <c r="V121" i="3"/>
  <c r="U121" i="3"/>
  <c r="F121" i="3"/>
  <c r="R121" i="3"/>
  <c r="D121" i="3"/>
  <c r="G121" i="3"/>
  <c r="H121" i="3" s="1"/>
  <c r="AU119" i="3"/>
  <c r="AW119" i="3"/>
  <c r="BN120" i="3"/>
  <c r="AN120" i="3"/>
  <c r="AH120" i="3"/>
  <c r="AV119" i="3" l="1"/>
  <c r="AN121" i="3"/>
  <c r="BM121" i="3"/>
  <c r="BN121" i="3"/>
  <c r="BD117" i="3"/>
  <c r="AT120" i="3"/>
  <c r="AG121" i="3"/>
  <c r="BA119" i="3"/>
  <c r="BF119" i="3" s="1"/>
  <c r="AW120" i="3"/>
  <c r="AY119" i="3"/>
  <c r="BC118" i="3"/>
  <c r="BG118" i="3" s="1"/>
  <c r="BH118" i="3" s="1"/>
  <c r="BI118" i="3" s="1"/>
  <c r="Y121" i="3"/>
  <c r="Z121" i="3" s="1"/>
  <c r="AX120" i="3"/>
  <c r="X121" i="3"/>
  <c r="AU120" i="3"/>
  <c r="B122" i="3"/>
  <c r="AQ122" i="3"/>
  <c r="AR122" i="3"/>
  <c r="A123" i="3"/>
  <c r="C122" i="3"/>
  <c r="S122" i="3"/>
  <c r="AM122" i="3"/>
  <c r="AK122" i="3"/>
  <c r="T122" i="3"/>
  <c r="O122" i="3"/>
  <c r="P122" i="3"/>
  <c r="R122" i="3"/>
  <c r="AD122" i="3"/>
  <c r="AE122" i="3"/>
  <c r="U122" i="3"/>
  <c r="M122" i="3"/>
  <c r="AF122" i="3"/>
  <c r="V122" i="3"/>
  <c r="F122" i="3"/>
  <c r="G122" i="3"/>
  <c r="H122" i="3" s="1"/>
  <c r="Q122" i="3"/>
  <c r="D122" i="3"/>
  <c r="BB118" i="3"/>
  <c r="BQ118" i="3"/>
  <c r="BF118" i="3"/>
  <c r="BJ117" i="3" s="1"/>
  <c r="BK117" i="3" s="1"/>
  <c r="AH121" i="3"/>
  <c r="AO121" i="3"/>
  <c r="BM122" i="3" l="1"/>
  <c r="BC119" i="3"/>
  <c r="BG119" i="3" s="1"/>
  <c r="BH119" i="3" s="1"/>
  <c r="BI119" i="3" s="1"/>
  <c r="BN122" i="3"/>
  <c r="BB119" i="3"/>
  <c r="BD118" i="3"/>
  <c r="BQ119" i="3"/>
  <c r="BA120" i="3"/>
  <c r="BQ120" i="3" s="1"/>
  <c r="AY120" i="3"/>
  <c r="AX121" i="3"/>
  <c r="AO122" i="3"/>
  <c r="AV120" i="3"/>
  <c r="AG122" i="3"/>
  <c r="AH122" i="3"/>
  <c r="AN122" i="3"/>
  <c r="X122" i="3"/>
  <c r="AT121" i="3"/>
  <c r="Y122" i="3"/>
  <c r="Z122" i="3" s="1"/>
  <c r="A124" i="3"/>
  <c r="B123" i="3"/>
  <c r="AQ123" i="3"/>
  <c r="AR123" i="3"/>
  <c r="C123" i="3"/>
  <c r="AM123" i="3"/>
  <c r="AK123" i="3"/>
  <c r="R123" i="3"/>
  <c r="AD123" i="3"/>
  <c r="S123" i="3"/>
  <c r="Q123" i="3"/>
  <c r="P123" i="3"/>
  <c r="AE123" i="3"/>
  <c r="O123" i="3"/>
  <c r="V123" i="3"/>
  <c r="AF123" i="3"/>
  <c r="M123" i="3"/>
  <c r="U123" i="3"/>
  <c r="D123" i="3"/>
  <c r="F123" i="3"/>
  <c r="G123" i="3"/>
  <c r="H123" i="3" s="1"/>
  <c r="T123" i="3"/>
  <c r="BJ118" i="3"/>
  <c r="BK118" i="3" s="1"/>
  <c r="AU121" i="3"/>
  <c r="AW121" i="3"/>
  <c r="BN123" i="3" l="1"/>
  <c r="BD119" i="3"/>
  <c r="AU122" i="3"/>
  <c r="BB120" i="3"/>
  <c r="BM123" i="3"/>
  <c r="BF120" i="3"/>
  <c r="BJ119" i="3" s="1"/>
  <c r="BK119" i="3" s="1"/>
  <c r="BC120" i="3"/>
  <c r="BD120" i="3" s="1"/>
  <c r="AY121" i="3"/>
  <c r="AN123" i="3"/>
  <c r="AX122" i="3"/>
  <c r="AW122" i="3"/>
  <c r="Y123" i="3"/>
  <c r="Z123" i="3" s="1"/>
  <c r="A125" i="3"/>
  <c r="AR124" i="3"/>
  <c r="B124" i="3"/>
  <c r="AQ124" i="3"/>
  <c r="D124" i="3"/>
  <c r="AM124" i="3"/>
  <c r="T124" i="3"/>
  <c r="AK124" i="3"/>
  <c r="AD124" i="3"/>
  <c r="P124" i="3"/>
  <c r="AE124" i="3"/>
  <c r="M124" i="3"/>
  <c r="AF124" i="3"/>
  <c r="V124" i="3"/>
  <c r="U124" i="3"/>
  <c r="O124" i="3"/>
  <c r="C124" i="3"/>
  <c r="G124" i="3"/>
  <c r="H124" i="3" s="1"/>
  <c r="R124" i="3"/>
  <c r="Q124" i="3"/>
  <c r="F124" i="3"/>
  <c r="S124" i="3"/>
  <c r="AG123" i="3"/>
  <c r="AH123" i="3"/>
  <c r="AO123" i="3"/>
  <c r="X123" i="3"/>
  <c r="AT122" i="3"/>
  <c r="BA121" i="3"/>
  <c r="AV121" i="3"/>
  <c r="BM124" i="3" l="1"/>
  <c r="AO124" i="3"/>
  <c r="BN124" i="3"/>
  <c r="AY122" i="3"/>
  <c r="BG120" i="3"/>
  <c r="BH120" i="3" s="1"/>
  <c r="BI120" i="3" s="1"/>
  <c r="AU123" i="3"/>
  <c r="BC121" i="3"/>
  <c r="BD121" i="3" s="1"/>
  <c r="AT123" i="3"/>
  <c r="X124" i="3"/>
  <c r="BA122" i="3"/>
  <c r="AV122" i="3"/>
  <c r="Y124" i="3"/>
  <c r="Z124" i="3" s="1"/>
  <c r="AQ125" i="3"/>
  <c r="B125" i="3"/>
  <c r="AR125" i="3"/>
  <c r="A126" i="3"/>
  <c r="AM125" i="3"/>
  <c r="S125" i="3"/>
  <c r="AK125" i="3"/>
  <c r="R125" i="3"/>
  <c r="Q125" i="3"/>
  <c r="AD125" i="3"/>
  <c r="P125" i="3"/>
  <c r="O125" i="3"/>
  <c r="V125" i="3"/>
  <c r="U125" i="3"/>
  <c r="AE125" i="3"/>
  <c r="AF125" i="3"/>
  <c r="M125" i="3"/>
  <c r="C125" i="3"/>
  <c r="D125" i="3"/>
  <c r="G125" i="3"/>
  <c r="H125" i="3" s="1"/>
  <c r="F125" i="3"/>
  <c r="T125" i="3"/>
  <c r="AW123" i="3"/>
  <c r="AN124" i="3"/>
  <c r="AX123" i="3"/>
  <c r="AG124" i="3"/>
  <c r="AH124" i="3"/>
  <c r="BB121" i="3"/>
  <c r="BF121" i="3"/>
  <c r="BQ121" i="3"/>
  <c r="AV123" i="3" l="1"/>
  <c r="AO125" i="3"/>
  <c r="BC122" i="3"/>
  <c r="BD122" i="3" s="1"/>
  <c r="BN125" i="3"/>
  <c r="BG121" i="3"/>
  <c r="BH121" i="3" s="1"/>
  <c r="BI121" i="3" s="1"/>
  <c r="AW124" i="3"/>
  <c r="AH125" i="3"/>
  <c r="AT124" i="3"/>
  <c r="X125" i="3"/>
  <c r="BJ120" i="3"/>
  <c r="BK120" i="3" s="1"/>
  <c r="BF122" i="3"/>
  <c r="BJ121" i="3" s="1"/>
  <c r="BB122" i="3"/>
  <c r="BQ122" i="3"/>
  <c r="Y125" i="3"/>
  <c r="Z125" i="3" s="1"/>
  <c r="AU124" i="3"/>
  <c r="AX124" i="3"/>
  <c r="AY123" i="3"/>
  <c r="BM125" i="3"/>
  <c r="AG125" i="3"/>
  <c r="AN125" i="3"/>
  <c r="BA123" i="3"/>
  <c r="B126" i="3"/>
  <c r="AQ126" i="3"/>
  <c r="AR126" i="3"/>
  <c r="A127" i="3"/>
  <c r="C126" i="3"/>
  <c r="AM126" i="3"/>
  <c r="R126" i="3"/>
  <c r="D126" i="3"/>
  <c r="AK126" i="3"/>
  <c r="Q126" i="3"/>
  <c r="P126" i="3"/>
  <c r="S126" i="3"/>
  <c r="AD126" i="3"/>
  <c r="O126" i="3"/>
  <c r="AE126" i="3"/>
  <c r="M126" i="3"/>
  <c r="AF126" i="3"/>
  <c r="U126" i="3"/>
  <c r="V126" i="3"/>
  <c r="G126" i="3"/>
  <c r="H126" i="3" s="1"/>
  <c r="F126" i="3"/>
  <c r="BM126" i="3" s="1"/>
  <c r="T126" i="3"/>
  <c r="BN126" i="3" l="1"/>
  <c r="BC123" i="3"/>
  <c r="BG123" i="3" s="1"/>
  <c r="BH123" i="3" s="1"/>
  <c r="BI123" i="3" s="1"/>
  <c r="AT125" i="3"/>
  <c r="BK121" i="3"/>
  <c r="BG122" i="3"/>
  <c r="BH122" i="3" s="1"/>
  <c r="BI122" i="3" s="1"/>
  <c r="AX125" i="3"/>
  <c r="AH126" i="3"/>
  <c r="BA124" i="3"/>
  <c r="BB124" i="3" s="1"/>
  <c r="AV124" i="3"/>
  <c r="AW125" i="3"/>
  <c r="AN126" i="3"/>
  <c r="AY124" i="3"/>
  <c r="A128" i="3"/>
  <c r="B127" i="3"/>
  <c r="AQ127" i="3"/>
  <c r="AR127" i="3"/>
  <c r="AM127" i="3"/>
  <c r="AK127" i="3"/>
  <c r="S127" i="3"/>
  <c r="Q127" i="3"/>
  <c r="AD127" i="3"/>
  <c r="O127" i="3"/>
  <c r="P127" i="3"/>
  <c r="AF127" i="3"/>
  <c r="M127" i="3"/>
  <c r="U127" i="3"/>
  <c r="V127" i="3"/>
  <c r="AE127" i="3"/>
  <c r="G127" i="3"/>
  <c r="H127" i="3" s="1"/>
  <c r="F127" i="3"/>
  <c r="R127" i="3"/>
  <c r="C127" i="3"/>
  <c r="D127" i="3"/>
  <c r="T127" i="3"/>
  <c r="BB123" i="3"/>
  <c r="BF123" i="3"/>
  <c r="BJ122" i="3" s="1"/>
  <c r="BQ123" i="3"/>
  <c r="Y126" i="3"/>
  <c r="Z126" i="3" s="1"/>
  <c r="AG126" i="3"/>
  <c r="AO126" i="3"/>
  <c r="X126" i="3"/>
  <c r="AU125" i="3"/>
  <c r="BD123" i="3" l="1"/>
  <c r="BK122" i="3"/>
  <c r="AY125" i="3"/>
  <c r="BN127" i="3"/>
  <c r="AN127" i="3"/>
  <c r="BF124" i="3"/>
  <c r="BJ123" i="3" s="1"/>
  <c r="BK123" i="3" s="1"/>
  <c r="BA125" i="3"/>
  <c r="BF125" i="3" s="1"/>
  <c r="BQ124" i="3"/>
  <c r="BC124" i="3"/>
  <c r="BD124" i="3" s="1"/>
  <c r="AU126" i="3"/>
  <c r="AW126" i="3"/>
  <c r="AT126" i="3"/>
  <c r="AX126" i="3"/>
  <c r="AV125" i="3"/>
  <c r="Y127" i="3"/>
  <c r="Z127" i="3" s="1"/>
  <c r="X127" i="3"/>
  <c r="BM127" i="3"/>
  <c r="AG127" i="3"/>
  <c r="AH127" i="3"/>
  <c r="AO127" i="3"/>
  <c r="A129" i="3"/>
  <c r="AR128" i="3"/>
  <c r="B128" i="3"/>
  <c r="AQ128" i="3"/>
  <c r="AK128" i="3"/>
  <c r="AM128" i="3"/>
  <c r="D128" i="3"/>
  <c r="R128" i="3"/>
  <c r="Q128" i="3"/>
  <c r="AD128" i="3"/>
  <c r="P128" i="3"/>
  <c r="O128" i="3"/>
  <c r="AE128" i="3"/>
  <c r="AF128" i="3"/>
  <c r="U128" i="3"/>
  <c r="V128" i="3"/>
  <c r="M128" i="3"/>
  <c r="G128" i="3"/>
  <c r="H128" i="3" s="1"/>
  <c r="C128" i="3"/>
  <c r="F128" i="3"/>
  <c r="S128" i="3"/>
  <c r="T128" i="3"/>
  <c r="BC125" i="3" l="1"/>
  <c r="BG125" i="3" s="1"/>
  <c r="BH125" i="3" s="1"/>
  <c r="BI125" i="3" s="1"/>
  <c r="AO128" i="3"/>
  <c r="BJ124" i="3"/>
  <c r="AY126" i="3"/>
  <c r="BG124" i="3"/>
  <c r="BH124" i="3" s="1"/>
  <c r="BI124" i="3" s="1"/>
  <c r="BQ125" i="3"/>
  <c r="AU127" i="3"/>
  <c r="BB125" i="3"/>
  <c r="AG128" i="3"/>
  <c r="AT127" i="3"/>
  <c r="X128" i="3"/>
  <c r="Y128" i="3"/>
  <c r="Z128" i="3" s="1"/>
  <c r="BM128" i="3"/>
  <c r="BN128" i="3"/>
  <c r="AH128" i="3"/>
  <c r="AN128" i="3"/>
  <c r="AX127" i="3"/>
  <c r="AQ129" i="3"/>
  <c r="AR129" i="3"/>
  <c r="B129" i="3"/>
  <c r="A130" i="3"/>
  <c r="C129" i="3"/>
  <c r="D129" i="3"/>
  <c r="AK129" i="3"/>
  <c r="T129" i="3"/>
  <c r="AM129" i="3"/>
  <c r="Q129" i="3"/>
  <c r="AD129" i="3"/>
  <c r="R129" i="3"/>
  <c r="P129" i="3"/>
  <c r="O129" i="3"/>
  <c r="AE129" i="3"/>
  <c r="M129" i="3"/>
  <c r="V129" i="3"/>
  <c r="AF129" i="3"/>
  <c r="U129" i="3"/>
  <c r="F129" i="3"/>
  <c r="G129" i="3"/>
  <c r="H129" i="3" s="1"/>
  <c r="S129" i="3"/>
  <c r="AV126" i="3"/>
  <c r="BA126" i="3"/>
  <c r="AW127" i="3"/>
  <c r="BK124" i="3" l="1"/>
  <c r="BD125" i="3"/>
  <c r="BN129" i="3"/>
  <c r="AN129" i="3"/>
  <c r="BM129" i="3"/>
  <c r="AY127" i="3"/>
  <c r="BC126" i="3"/>
  <c r="BG126" i="3" s="1"/>
  <c r="BH126" i="3" s="1"/>
  <c r="BI126" i="3" s="1"/>
  <c r="AT128" i="3"/>
  <c r="AW128" i="3"/>
  <c r="AV127" i="3"/>
  <c r="AG129" i="3"/>
  <c r="BB126" i="3"/>
  <c r="BQ126" i="3"/>
  <c r="BF126" i="3"/>
  <c r="BJ125" i="3" s="1"/>
  <c r="BK125" i="3" s="1"/>
  <c r="Y129" i="3"/>
  <c r="Z129" i="3" s="1"/>
  <c r="B130" i="3"/>
  <c r="AQ130" i="3"/>
  <c r="AR130" i="3"/>
  <c r="A131" i="3"/>
  <c r="D130" i="3"/>
  <c r="AK130" i="3"/>
  <c r="AM130" i="3"/>
  <c r="R130" i="3"/>
  <c r="Q130" i="3"/>
  <c r="O130" i="3"/>
  <c r="AD130" i="3"/>
  <c r="AE130" i="3"/>
  <c r="V130" i="3"/>
  <c r="U130" i="3"/>
  <c r="M130" i="3"/>
  <c r="AF130" i="3"/>
  <c r="F130" i="3"/>
  <c r="C130" i="3"/>
  <c r="G130" i="3"/>
  <c r="H130" i="3" s="1"/>
  <c r="T130" i="3"/>
  <c r="S130" i="3"/>
  <c r="P130" i="3"/>
  <c r="X129" i="3"/>
  <c r="AH129" i="3"/>
  <c r="BA127" i="3"/>
  <c r="AU128" i="3"/>
  <c r="AX128" i="3"/>
  <c r="AO129" i="3"/>
  <c r="BN130" i="3" l="1"/>
  <c r="BD126" i="3"/>
  <c r="BC127" i="3"/>
  <c r="BD127" i="3" s="1"/>
  <c r="BM130" i="3"/>
  <c r="AY128" i="3"/>
  <c r="AV128" i="3"/>
  <c r="AN130" i="3"/>
  <c r="X130" i="3"/>
  <c r="AH130" i="3"/>
  <c r="AQ131" i="3"/>
  <c r="B131" i="3"/>
  <c r="A132" i="3"/>
  <c r="AR131" i="3"/>
  <c r="C131" i="3"/>
  <c r="AK131" i="3"/>
  <c r="AM131" i="3"/>
  <c r="S131" i="3"/>
  <c r="T131" i="3"/>
  <c r="Q131" i="3"/>
  <c r="R131" i="3"/>
  <c r="P131" i="3"/>
  <c r="AD131" i="3"/>
  <c r="AF131" i="3"/>
  <c r="AE131" i="3"/>
  <c r="V131" i="3"/>
  <c r="U131" i="3"/>
  <c r="O131" i="3"/>
  <c r="M131" i="3"/>
  <c r="D131" i="3"/>
  <c r="F131" i="3"/>
  <c r="G131" i="3"/>
  <c r="H131" i="3" s="1"/>
  <c r="BA128" i="3"/>
  <c r="AX129" i="3"/>
  <c r="AU129" i="3"/>
  <c r="AW129" i="3"/>
  <c r="AT129" i="3"/>
  <c r="Y130" i="3"/>
  <c r="Z130" i="3" s="1"/>
  <c r="AG130" i="3"/>
  <c r="AO130" i="3"/>
  <c r="BQ127" i="3"/>
  <c r="BB127" i="3"/>
  <c r="BF127" i="3"/>
  <c r="BJ126" i="3" s="1"/>
  <c r="BK126" i="3" s="1"/>
  <c r="BM131" i="3" l="1"/>
  <c r="BN131" i="3"/>
  <c r="BG127" i="3"/>
  <c r="BH127" i="3" s="1"/>
  <c r="BI127" i="3" s="1"/>
  <c r="AU130" i="3"/>
  <c r="AG131" i="3"/>
  <c r="BC128" i="3"/>
  <c r="BD128" i="3" s="1"/>
  <c r="AO131" i="3"/>
  <c r="AY129" i="3"/>
  <c r="AT130" i="3"/>
  <c r="AX130" i="3"/>
  <c r="AW130" i="3"/>
  <c r="AN131" i="3"/>
  <c r="Y131" i="3"/>
  <c r="Z131" i="3" s="1"/>
  <c r="BA129" i="3"/>
  <c r="AV129" i="3"/>
  <c r="BQ128" i="3"/>
  <c r="BF128" i="3"/>
  <c r="BJ127" i="3" s="1"/>
  <c r="BB128" i="3"/>
  <c r="A133" i="3"/>
  <c r="B132" i="3"/>
  <c r="AR132" i="3"/>
  <c r="AQ132" i="3"/>
  <c r="C132" i="3"/>
  <c r="D132" i="3"/>
  <c r="AM132" i="3"/>
  <c r="AK132" i="3"/>
  <c r="T132" i="3"/>
  <c r="AD132" i="3"/>
  <c r="R132" i="3"/>
  <c r="Q132" i="3"/>
  <c r="O132" i="3"/>
  <c r="P132" i="3"/>
  <c r="M132" i="3"/>
  <c r="AE132" i="3"/>
  <c r="U132" i="3"/>
  <c r="V132" i="3"/>
  <c r="AF132" i="3"/>
  <c r="G132" i="3"/>
  <c r="H132" i="3" s="1"/>
  <c r="F132" i="3"/>
  <c r="S132" i="3"/>
  <c r="AH131" i="3"/>
  <c r="X131" i="3"/>
  <c r="BM132" i="3" l="1"/>
  <c r="BK127" i="3"/>
  <c r="BN132" i="3"/>
  <c r="AV130" i="3"/>
  <c r="BC129" i="3"/>
  <c r="BG129" i="3" s="1"/>
  <c r="BH129" i="3" s="1"/>
  <c r="BI129" i="3" s="1"/>
  <c r="BG128" i="3"/>
  <c r="BH128" i="3" s="1"/>
  <c r="BI128" i="3" s="1"/>
  <c r="AX131" i="3"/>
  <c r="AG132" i="3"/>
  <c r="BA130" i="3"/>
  <c r="BB130" i="3" s="1"/>
  <c r="AY130" i="3"/>
  <c r="AO132" i="3"/>
  <c r="AU131" i="3"/>
  <c r="AW131" i="3"/>
  <c r="X132" i="3"/>
  <c r="AR133" i="3"/>
  <c r="B133" i="3"/>
  <c r="AQ133" i="3"/>
  <c r="A134" i="3"/>
  <c r="C133" i="3"/>
  <c r="R133" i="3"/>
  <c r="Q133" i="3"/>
  <c r="AK133" i="3"/>
  <c r="AM133" i="3"/>
  <c r="AD133" i="3"/>
  <c r="P133" i="3"/>
  <c r="AE133" i="3"/>
  <c r="O133" i="3"/>
  <c r="V133" i="3"/>
  <c r="U133" i="3"/>
  <c r="M133" i="3"/>
  <c r="AF133" i="3"/>
  <c r="F133" i="3"/>
  <c r="D133" i="3"/>
  <c r="G133" i="3"/>
  <c r="H133" i="3" s="1"/>
  <c r="S133" i="3"/>
  <c r="T133" i="3"/>
  <c r="AN132" i="3"/>
  <c r="AT131" i="3"/>
  <c r="Y132" i="3"/>
  <c r="Z132" i="3" s="1"/>
  <c r="BQ129" i="3"/>
  <c r="BB129" i="3"/>
  <c r="BF129" i="3"/>
  <c r="BJ128" i="3" s="1"/>
  <c r="AH132" i="3"/>
  <c r="BD129" i="3" l="1"/>
  <c r="BK128" i="3"/>
  <c r="BC130" i="3"/>
  <c r="BD130" i="3" s="1"/>
  <c r="AY131" i="3"/>
  <c r="AN133" i="3"/>
  <c r="BM133" i="3"/>
  <c r="AX132" i="3"/>
  <c r="BN133" i="3"/>
  <c r="BQ130" i="3"/>
  <c r="BF130" i="3"/>
  <c r="BJ129" i="3" s="1"/>
  <c r="BK129" i="3" s="1"/>
  <c r="AU132" i="3"/>
  <c r="AW132" i="3"/>
  <c r="AT132" i="3"/>
  <c r="BA131" i="3"/>
  <c r="AV131" i="3"/>
  <c r="Y133" i="3"/>
  <c r="Z133" i="3" s="1"/>
  <c r="X133" i="3"/>
  <c r="AR134" i="3"/>
  <c r="B134" i="3"/>
  <c r="AQ134" i="3"/>
  <c r="A135" i="3"/>
  <c r="AM134" i="3"/>
  <c r="S134" i="3"/>
  <c r="T134" i="3"/>
  <c r="AK134" i="3"/>
  <c r="R134" i="3"/>
  <c r="AD134" i="3"/>
  <c r="P134" i="3"/>
  <c r="O134" i="3"/>
  <c r="AE134" i="3"/>
  <c r="AF134" i="3"/>
  <c r="V134" i="3"/>
  <c r="M134" i="3"/>
  <c r="U134" i="3"/>
  <c r="C134" i="3"/>
  <c r="D134" i="3"/>
  <c r="Q134" i="3"/>
  <c r="F134" i="3"/>
  <c r="G134" i="3"/>
  <c r="H134" i="3" s="1"/>
  <c r="AG133" i="3"/>
  <c r="AH133" i="3"/>
  <c r="AO133" i="3"/>
  <c r="BG130" i="3" l="1"/>
  <c r="BH130" i="3" s="1"/>
  <c r="BI130" i="3" s="1"/>
  <c r="AV132" i="3"/>
  <c r="BC131" i="3"/>
  <c r="BD131" i="3" s="1"/>
  <c r="BM134" i="3"/>
  <c r="AY132" i="3"/>
  <c r="AN134" i="3"/>
  <c r="BA132" i="3"/>
  <c r="BB132" i="3" s="1"/>
  <c r="AX133" i="3"/>
  <c r="AG134" i="3"/>
  <c r="Y134" i="3"/>
  <c r="Z134" i="3" s="1"/>
  <c r="BN134" i="3"/>
  <c r="AQ135" i="3"/>
  <c r="B135" i="3"/>
  <c r="A136" i="3"/>
  <c r="AR135" i="3"/>
  <c r="C135" i="3"/>
  <c r="AK135" i="3"/>
  <c r="AM135" i="3"/>
  <c r="S135" i="3"/>
  <c r="Q135" i="3"/>
  <c r="R135" i="3"/>
  <c r="AD135" i="3"/>
  <c r="P135" i="3"/>
  <c r="O135" i="3"/>
  <c r="M135" i="3"/>
  <c r="AF135" i="3"/>
  <c r="AE135" i="3"/>
  <c r="V135" i="3"/>
  <c r="U135" i="3"/>
  <c r="D135" i="3"/>
  <c r="G135" i="3"/>
  <c r="H135" i="3" s="1"/>
  <c r="F135" i="3"/>
  <c r="BM135" i="3" s="1"/>
  <c r="T135" i="3"/>
  <c r="BQ131" i="3"/>
  <c r="BB131" i="3"/>
  <c r="BF131" i="3"/>
  <c r="BJ130" i="3" s="1"/>
  <c r="AW133" i="3"/>
  <c r="X134" i="3"/>
  <c r="AH134" i="3"/>
  <c r="AO134" i="3"/>
  <c r="AT133" i="3"/>
  <c r="AU133" i="3"/>
  <c r="BK130" i="3" l="1"/>
  <c r="AU134" i="3"/>
  <c r="BC132" i="3"/>
  <c r="BD132" i="3" s="1"/>
  <c r="BG131" i="3"/>
  <c r="BH131" i="3" s="1"/>
  <c r="BI131" i="3" s="1"/>
  <c r="AX134" i="3"/>
  <c r="BN135" i="3"/>
  <c r="AO135" i="3"/>
  <c r="BQ132" i="3"/>
  <c r="BF132" i="3"/>
  <c r="BJ131" i="3" s="1"/>
  <c r="AY133" i="3"/>
  <c r="Y135" i="3"/>
  <c r="Z135" i="3" s="1"/>
  <c r="AG135" i="3"/>
  <c r="AN135" i="3"/>
  <c r="BA133" i="3"/>
  <c r="BF133" i="3" s="1"/>
  <c r="AV133" i="3"/>
  <c r="AT134" i="3"/>
  <c r="AW134" i="3"/>
  <c r="A137" i="3"/>
  <c r="B136" i="3"/>
  <c r="AR136" i="3"/>
  <c r="AQ136" i="3"/>
  <c r="D136" i="3"/>
  <c r="AK136" i="3"/>
  <c r="R136" i="3"/>
  <c r="AM136" i="3"/>
  <c r="S136" i="3"/>
  <c r="Q136" i="3"/>
  <c r="AD136" i="3"/>
  <c r="P136" i="3"/>
  <c r="AE136" i="3"/>
  <c r="AF136" i="3"/>
  <c r="M136" i="3"/>
  <c r="O136" i="3"/>
  <c r="U136" i="3"/>
  <c r="V136" i="3"/>
  <c r="C136" i="3"/>
  <c r="F136" i="3"/>
  <c r="G136" i="3"/>
  <c r="H136" i="3" s="1"/>
  <c r="T136" i="3"/>
  <c r="AH135" i="3"/>
  <c r="X135" i="3"/>
  <c r="BN136" i="3" l="1"/>
  <c r="BK131" i="3"/>
  <c r="AV134" i="3"/>
  <c r="BG132" i="3"/>
  <c r="BH132" i="3" s="1"/>
  <c r="BI132" i="3" s="1"/>
  <c r="AY134" i="3"/>
  <c r="AN136" i="3"/>
  <c r="BJ132" i="3"/>
  <c r="AX135" i="3"/>
  <c r="BC133" i="3"/>
  <c r="BD133" i="3" s="1"/>
  <c r="AT135" i="3"/>
  <c r="BA134" i="3"/>
  <c r="BQ134" i="3" s="1"/>
  <c r="AG136" i="3"/>
  <c r="BB133" i="3"/>
  <c r="BQ133" i="3"/>
  <c r="AU135" i="3"/>
  <c r="AW135" i="3"/>
  <c r="X136" i="3"/>
  <c r="AH136" i="3"/>
  <c r="Y136" i="3"/>
  <c r="Z136" i="3" s="1"/>
  <c r="BM136" i="3"/>
  <c r="AO136" i="3"/>
  <c r="AR137" i="3"/>
  <c r="B137" i="3"/>
  <c r="AQ137" i="3"/>
  <c r="A138" i="3"/>
  <c r="D137" i="3"/>
  <c r="AK137" i="3"/>
  <c r="S137" i="3"/>
  <c r="C137" i="3"/>
  <c r="AM137" i="3"/>
  <c r="R137" i="3"/>
  <c r="Q137" i="3"/>
  <c r="AD137" i="3"/>
  <c r="P137" i="3"/>
  <c r="O137" i="3"/>
  <c r="AF137" i="3"/>
  <c r="V137" i="3"/>
  <c r="AE137" i="3"/>
  <c r="M137" i="3"/>
  <c r="U137" i="3"/>
  <c r="F137" i="3"/>
  <c r="G137" i="3"/>
  <c r="H137" i="3" s="1"/>
  <c r="BN137" i="3" s="1"/>
  <c r="T137" i="3"/>
  <c r="BM137" i="3" l="1"/>
  <c r="BK132" i="3"/>
  <c r="BC134" i="3"/>
  <c r="BD134" i="3" s="1"/>
  <c r="AY135" i="3"/>
  <c r="BG133" i="3"/>
  <c r="BH133" i="3" s="1"/>
  <c r="BI133" i="3" s="1"/>
  <c r="AV135" i="3"/>
  <c r="AU136" i="3"/>
  <c r="AT136" i="3"/>
  <c r="BB134" i="3"/>
  <c r="BF134" i="3"/>
  <c r="BJ133" i="3" s="1"/>
  <c r="AW136" i="3"/>
  <c r="AO137" i="3"/>
  <c r="BA135" i="3"/>
  <c r="BB135" i="3" s="1"/>
  <c r="Y137" i="3"/>
  <c r="Z137" i="3" s="1"/>
  <c r="AG137" i="3"/>
  <c r="AH137" i="3"/>
  <c r="AN137" i="3"/>
  <c r="AX136" i="3"/>
  <c r="AR138" i="3"/>
  <c r="B138" i="3"/>
  <c r="AQ138" i="3"/>
  <c r="A139" i="3"/>
  <c r="AK138" i="3"/>
  <c r="R138" i="3"/>
  <c r="AM138" i="3"/>
  <c r="Q138" i="3"/>
  <c r="AD138" i="3"/>
  <c r="P138" i="3"/>
  <c r="AE138" i="3"/>
  <c r="U138" i="3"/>
  <c r="V138" i="3"/>
  <c r="O138" i="3"/>
  <c r="M138" i="3"/>
  <c r="AF138" i="3"/>
  <c r="F138" i="3"/>
  <c r="C138" i="3"/>
  <c r="D138" i="3"/>
  <c r="G138" i="3"/>
  <c r="H138" i="3" s="1"/>
  <c r="T138" i="3"/>
  <c r="S138" i="3"/>
  <c r="X137" i="3"/>
  <c r="BG134" i="3" l="1"/>
  <c r="BH134" i="3" s="1"/>
  <c r="BI134" i="3" s="1"/>
  <c r="BC135" i="3"/>
  <c r="BD135" i="3" s="1"/>
  <c r="BK133" i="3"/>
  <c r="AN138" i="3"/>
  <c r="AV136" i="3"/>
  <c r="BM138" i="3"/>
  <c r="BA136" i="3"/>
  <c r="BB136" i="3" s="1"/>
  <c r="BQ135" i="3"/>
  <c r="AG138" i="3"/>
  <c r="BF135" i="3"/>
  <c r="BJ134" i="3" s="1"/>
  <c r="AT137" i="3"/>
  <c r="AU137" i="3"/>
  <c r="Y138" i="3"/>
  <c r="Z138" i="3" s="1"/>
  <c r="AH138" i="3"/>
  <c r="AO138" i="3"/>
  <c r="AX137" i="3"/>
  <c r="AY136" i="3"/>
  <c r="AQ139" i="3"/>
  <c r="B139" i="3"/>
  <c r="A140" i="3"/>
  <c r="AR139" i="3"/>
  <c r="C139" i="3"/>
  <c r="R139" i="3"/>
  <c r="D139" i="3"/>
  <c r="AK139" i="3"/>
  <c r="AM139" i="3"/>
  <c r="S139" i="3"/>
  <c r="T139" i="3"/>
  <c r="AD139" i="3"/>
  <c r="O139" i="3"/>
  <c r="M139" i="3"/>
  <c r="AE139" i="3"/>
  <c r="AF139" i="3"/>
  <c r="V139" i="3"/>
  <c r="U139" i="3"/>
  <c r="Q139" i="3"/>
  <c r="F139" i="3"/>
  <c r="G139" i="3"/>
  <c r="H139" i="3" s="1"/>
  <c r="P139" i="3"/>
  <c r="X138" i="3"/>
  <c r="BN138" i="3"/>
  <c r="AW137" i="3"/>
  <c r="BK134" i="3" l="1"/>
  <c r="BG135" i="3"/>
  <c r="BH135" i="3" s="1"/>
  <c r="BI135" i="3" s="1"/>
  <c r="BN139" i="3"/>
  <c r="AY137" i="3"/>
  <c r="BC136" i="3"/>
  <c r="BG136" i="3" s="1"/>
  <c r="BH136" i="3" s="1"/>
  <c r="BI136" i="3" s="1"/>
  <c r="BF136" i="3"/>
  <c r="BJ135" i="3" s="1"/>
  <c r="BK135" i="3" s="1"/>
  <c r="BQ136" i="3"/>
  <c r="BM139" i="3"/>
  <c r="AV137" i="3"/>
  <c r="AU138" i="3"/>
  <c r="AT138" i="3"/>
  <c r="AO139" i="3"/>
  <c r="AW138" i="3"/>
  <c r="Y139" i="3"/>
  <c r="Z139" i="3" s="1"/>
  <c r="A141" i="3"/>
  <c r="B140" i="3"/>
  <c r="AR140" i="3"/>
  <c r="AQ140" i="3"/>
  <c r="AM140" i="3"/>
  <c r="AK140" i="3"/>
  <c r="C140" i="3"/>
  <c r="R140" i="3"/>
  <c r="Q140" i="3"/>
  <c r="AD140" i="3"/>
  <c r="O140" i="3"/>
  <c r="M140" i="3"/>
  <c r="P140" i="3"/>
  <c r="AE140" i="3"/>
  <c r="AF140" i="3"/>
  <c r="V140" i="3"/>
  <c r="U140" i="3"/>
  <c r="D140" i="3"/>
  <c r="F140" i="3"/>
  <c r="G140" i="3"/>
  <c r="H140" i="3" s="1"/>
  <c r="S140" i="3"/>
  <c r="T140" i="3"/>
  <c r="AH139" i="3"/>
  <c r="AG139" i="3"/>
  <c r="AN139" i="3"/>
  <c r="X139" i="3"/>
  <c r="AX138" i="3"/>
  <c r="BA137" i="3"/>
  <c r="BM140" i="3" l="1"/>
  <c r="BN140" i="3"/>
  <c r="BD136" i="3"/>
  <c r="BC137" i="3"/>
  <c r="BD137" i="3" s="1"/>
  <c r="AV138" i="3"/>
  <c r="AT139" i="3"/>
  <c r="AY138" i="3"/>
  <c r="AN140" i="3"/>
  <c r="BF137" i="3"/>
  <c r="BQ137" i="3"/>
  <c r="BB137" i="3"/>
  <c r="AU139" i="3"/>
  <c r="AW139" i="3"/>
  <c r="AX139" i="3"/>
  <c r="X140" i="3"/>
  <c r="BA138" i="3"/>
  <c r="Y140" i="3"/>
  <c r="Z140" i="3" s="1"/>
  <c r="AG140" i="3"/>
  <c r="AH140" i="3"/>
  <c r="AO140" i="3"/>
  <c r="AR141" i="3"/>
  <c r="B141" i="3"/>
  <c r="AQ141" i="3"/>
  <c r="A142" i="3"/>
  <c r="D141" i="3"/>
  <c r="AK141" i="3"/>
  <c r="C141" i="3"/>
  <c r="AM141" i="3"/>
  <c r="T141" i="3"/>
  <c r="R141" i="3"/>
  <c r="P141" i="3"/>
  <c r="Q141" i="3"/>
  <c r="AD141" i="3"/>
  <c r="O141" i="3"/>
  <c r="M141" i="3"/>
  <c r="AF141" i="3"/>
  <c r="AE141" i="3"/>
  <c r="V141" i="3"/>
  <c r="U141" i="3"/>
  <c r="F141" i="3"/>
  <c r="G141" i="3"/>
  <c r="H141" i="3" s="1"/>
  <c r="S141" i="3"/>
  <c r="BN141" i="3" l="1"/>
  <c r="BG137" i="3"/>
  <c r="BH137" i="3" s="1"/>
  <c r="BI137" i="3" s="1"/>
  <c r="BC138" i="3"/>
  <c r="BG138" i="3" s="1"/>
  <c r="BH138" i="3" s="1"/>
  <c r="BI138" i="3" s="1"/>
  <c r="AV139" i="3"/>
  <c r="BM141" i="3"/>
  <c r="AN141" i="3"/>
  <c r="AO141" i="3"/>
  <c r="AX140" i="3"/>
  <c r="AR142" i="3"/>
  <c r="B142" i="3"/>
  <c r="AQ142" i="3"/>
  <c r="A143" i="3"/>
  <c r="AM142" i="3"/>
  <c r="AK142" i="3"/>
  <c r="T142" i="3"/>
  <c r="R142" i="3"/>
  <c r="Q142" i="3"/>
  <c r="AD142" i="3"/>
  <c r="P142" i="3"/>
  <c r="O142" i="3"/>
  <c r="AE142" i="3"/>
  <c r="M142" i="3"/>
  <c r="V142" i="3"/>
  <c r="AF142" i="3"/>
  <c r="U142" i="3"/>
  <c r="C142" i="3"/>
  <c r="D142" i="3"/>
  <c r="G142" i="3"/>
  <c r="H142" i="3" s="1"/>
  <c r="F142" i="3"/>
  <c r="S142" i="3"/>
  <c r="Y141" i="3"/>
  <c r="Z141" i="3" s="1"/>
  <c r="BJ136" i="3"/>
  <c r="BK136" i="3" s="1"/>
  <c r="AU140" i="3"/>
  <c r="AT140" i="3"/>
  <c r="AG141" i="3"/>
  <c r="AH141" i="3"/>
  <c r="AW140" i="3"/>
  <c r="AY139" i="3"/>
  <c r="BA139" i="3"/>
  <c r="BF138" i="3"/>
  <c r="BJ137" i="3" s="1"/>
  <c r="BQ138" i="3"/>
  <c r="BB138" i="3"/>
  <c r="X141" i="3"/>
  <c r="BK137" i="3" l="1"/>
  <c r="BD138" i="3"/>
  <c r="BC139" i="3"/>
  <c r="BG139" i="3" s="1"/>
  <c r="BH139" i="3" s="1"/>
  <c r="BI139" i="3" s="1"/>
  <c r="BM142" i="3"/>
  <c r="AW141" i="3"/>
  <c r="AG142" i="3"/>
  <c r="AY140" i="3"/>
  <c r="AN142" i="3"/>
  <c r="BB139" i="3"/>
  <c r="BF139" i="3"/>
  <c r="BJ138" i="3" s="1"/>
  <c r="BK138" i="3" s="1"/>
  <c r="BQ139" i="3"/>
  <c r="AV140" i="3"/>
  <c r="BA140" i="3"/>
  <c r="AQ143" i="3"/>
  <c r="B143" i="3"/>
  <c r="A144" i="3"/>
  <c r="AR143" i="3"/>
  <c r="D143" i="3"/>
  <c r="AK143" i="3"/>
  <c r="AM143" i="3"/>
  <c r="T143" i="3"/>
  <c r="C143" i="3"/>
  <c r="R143" i="3"/>
  <c r="Q143" i="3"/>
  <c r="S143" i="3"/>
  <c r="AD143" i="3"/>
  <c r="P143" i="3"/>
  <c r="O143" i="3"/>
  <c r="M143" i="3"/>
  <c r="AE143" i="3"/>
  <c r="AF143" i="3"/>
  <c r="V143" i="3"/>
  <c r="U143" i="3"/>
  <c r="F143" i="3"/>
  <c r="G143" i="3"/>
  <c r="H143" i="3" s="1"/>
  <c r="AU141" i="3"/>
  <c r="AT141" i="3"/>
  <c r="AX141" i="3"/>
  <c r="X142" i="3"/>
  <c r="BN142" i="3"/>
  <c r="AH142" i="3"/>
  <c r="AO142" i="3"/>
  <c r="Y142" i="3"/>
  <c r="Z142" i="3" s="1"/>
  <c r="BM143" i="3" l="1"/>
  <c r="BD139" i="3"/>
  <c r="AN143" i="3"/>
  <c r="AG143" i="3"/>
  <c r="AY141" i="3"/>
  <c r="BC140" i="3"/>
  <c r="BD140" i="3" s="1"/>
  <c r="AT142" i="3"/>
  <c r="AX142" i="3"/>
  <c r="Y143" i="3"/>
  <c r="Z143" i="3" s="1"/>
  <c r="A145" i="3"/>
  <c r="B144" i="3"/>
  <c r="AR144" i="3"/>
  <c r="AQ144" i="3"/>
  <c r="C144" i="3"/>
  <c r="T144" i="3"/>
  <c r="AK144" i="3"/>
  <c r="AM144" i="3"/>
  <c r="R144" i="3"/>
  <c r="P144" i="3"/>
  <c r="AD144" i="3"/>
  <c r="AF144" i="3"/>
  <c r="O144" i="3"/>
  <c r="M144" i="3"/>
  <c r="AE144" i="3"/>
  <c r="U144" i="3"/>
  <c r="V144" i="3"/>
  <c r="G144" i="3"/>
  <c r="H144" i="3" s="1"/>
  <c r="F144" i="3"/>
  <c r="Q144" i="3"/>
  <c r="D144" i="3"/>
  <c r="S144" i="3"/>
  <c r="BQ140" i="3"/>
  <c r="BF140" i="3"/>
  <c r="BJ139" i="3" s="1"/>
  <c r="BK139" i="3" s="1"/>
  <c r="BB140" i="3"/>
  <c r="AU142" i="3"/>
  <c r="AW142" i="3"/>
  <c r="BN143" i="3"/>
  <c r="AH143" i="3"/>
  <c r="AO143" i="3"/>
  <c r="BA141" i="3"/>
  <c r="AV141" i="3"/>
  <c r="X143" i="3"/>
  <c r="BC141" i="3" l="1"/>
  <c r="BD141" i="3" s="1"/>
  <c r="BG140" i="3"/>
  <c r="BH140" i="3" s="1"/>
  <c r="BI140" i="3" s="1"/>
  <c r="BM144" i="3"/>
  <c r="AT143" i="3"/>
  <c r="AY142" i="3"/>
  <c r="AN144" i="3"/>
  <c r="AG144" i="3"/>
  <c r="AX143" i="3"/>
  <c r="AO144" i="3"/>
  <c r="AU143" i="3"/>
  <c r="AW143" i="3"/>
  <c r="BA142" i="3"/>
  <c r="BB142" i="3" s="1"/>
  <c r="Y144" i="3"/>
  <c r="Z144" i="3" s="1"/>
  <c r="AR145" i="3"/>
  <c r="B145" i="3"/>
  <c r="AQ145" i="3"/>
  <c r="A146" i="3"/>
  <c r="D145" i="3"/>
  <c r="Q145" i="3"/>
  <c r="R145" i="3"/>
  <c r="C145" i="3"/>
  <c r="AK145" i="3"/>
  <c r="AM145" i="3"/>
  <c r="S145" i="3"/>
  <c r="AD145" i="3"/>
  <c r="O145" i="3"/>
  <c r="P145" i="3"/>
  <c r="M145" i="3"/>
  <c r="AF145" i="3"/>
  <c r="AE145" i="3"/>
  <c r="V145" i="3"/>
  <c r="U145" i="3"/>
  <c r="G145" i="3"/>
  <c r="H145" i="3" s="1"/>
  <c r="F145" i="3"/>
  <c r="T145" i="3"/>
  <c r="AH144" i="3"/>
  <c r="AV142" i="3"/>
  <c r="BF141" i="3"/>
  <c r="BJ140" i="3" s="1"/>
  <c r="BK140" i="3" s="1"/>
  <c r="BB141" i="3"/>
  <c r="BQ141" i="3"/>
  <c r="X144" i="3"/>
  <c r="BN144" i="3"/>
  <c r="BG141" i="3" l="1"/>
  <c r="BH141" i="3" s="1"/>
  <c r="BI141" i="3" s="1"/>
  <c r="BC142" i="3"/>
  <c r="BG142" i="3" s="1"/>
  <c r="BH142" i="3" s="1"/>
  <c r="BI142" i="3" s="1"/>
  <c r="AV143" i="3"/>
  <c r="BM145" i="3"/>
  <c r="AX144" i="3"/>
  <c r="AG145" i="3"/>
  <c r="BA143" i="3"/>
  <c r="BQ143" i="3" s="1"/>
  <c r="AO145" i="3"/>
  <c r="BQ142" i="3"/>
  <c r="AY143" i="3"/>
  <c r="BF142" i="3"/>
  <c r="BJ141" i="3" s="1"/>
  <c r="AR146" i="3"/>
  <c r="B146" i="3"/>
  <c r="AQ146" i="3"/>
  <c r="A147" i="3"/>
  <c r="AM146" i="3"/>
  <c r="AK146" i="3"/>
  <c r="T146" i="3"/>
  <c r="AD146" i="3"/>
  <c r="Q146" i="3"/>
  <c r="P146" i="3"/>
  <c r="AE146" i="3"/>
  <c r="AF146" i="3"/>
  <c r="O146" i="3"/>
  <c r="M146" i="3"/>
  <c r="U146" i="3"/>
  <c r="V146" i="3"/>
  <c r="R146" i="3"/>
  <c r="C146" i="3"/>
  <c r="F146" i="3"/>
  <c r="D146" i="3"/>
  <c r="G146" i="3"/>
  <c r="H146" i="3" s="1"/>
  <c r="S146" i="3"/>
  <c r="AU144" i="3"/>
  <c r="AT144" i="3"/>
  <c r="AW144" i="3"/>
  <c r="Y145" i="3"/>
  <c r="Z145" i="3" s="1"/>
  <c r="BN145" i="3"/>
  <c r="AH145" i="3"/>
  <c r="AN145" i="3"/>
  <c r="X145" i="3"/>
  <c r="BK141" i="3" l="1"/>
  <c r="BD142" i="3"/>
  <c r="BC143" i="3"/>
  <c r="BD143" i="3" s="1"/>
  <c r="AY144" i="3"/>
  <c r="BN146" i="3"/>
  <c r="BM146" i="3"/>
  <c r="AT145" i="3"/>
  <c r="BB143" i="3"/>
  <c r="BF143" i="3"/>
  <c r="BJ142" i="3" s="1"/>
  <c r="BK142" i="3" s="1"/>
  <c r="AN146" i="3"/>
  <c r="AW145" i="3"/>
  <c r="AG146" i="3"/>
  <c r="AV144" i="3"/>
  <c r="BA144" i="3"/>
  <c r="Y146" i="3"/>
  <c r="Z146" i="3" s="1"/>
  <c r="AQ147" i="3"/>
  <c r="B147" i="3"/>
  <c r="A148" i="3"/>
  <c r="AR147" i="3"/>
  <c r="D147" i="3"/>
  <c r="AM147" i="3"/>
  <c r="AK147" i="3"/>
  <c r="C147" i="3"/>
  <c r="S147" i="3"/>
  <c r="R147" i="3"/>
  <c r="Q147" i="3"/>
  <c r="AD147" i="3"/>
  <c r="P147" i="3"/>
  <c r="O147" i="3"/>
  <c r="AE147" i="3"/>
  <c r="AF147" i="3"/>
  <c r="M147" i="3"/>
  <c r="V147" i="3"/>
  <c r="U147" i="3"/>
  <c r="G147" i="3"/>
  <c r="H147" i="3" s="1"/>
  <c r="F147" i="3"/>
  <c r="T147" i="3"/>
  <c r="AX145" i="3"/>
  <c r="AU145" i="3"/>
  <c r="X146" i="3"/>
  <c r="AH146" i="3"/>
  <c r="AO146" i="3"/>
  <c r="BG143" i="3" l="1"/>
  <c r="BH143" i="3" s="1"/>
  <c r="BI143" i="3" s="1"/>
  <c r="BC144" i="3"/>
  <c r="BG144" i="3" s="1"/>
  <c r="BH144" i="3" s="1"/>
  <c r="BI144" i="3" s="1"/>
  <c r="AY145" i="3"/>
  <c r="BN147" i="3"/>
  <c r="AU146" i="3"/>
  <c r="AT146" i="3"/>
  <c r="AN147" i="3"/>
  <c r="AH147" i="3"/>
  <c r="Y147" i="3"/>
  <c r="Z147" i="3" s="1"/>
  <c r="AW146" i="3"/>
  <c r="BA145" i="3"/>
  <c r="BQ145" i="3" s="1"/>
  <c r="A149" i="3"/>
  <c r="B148" i="3"/>
  <c r="AR148" i="3"/>
  <c r="AQ148" i="3"/>
  <c r="D148" i="3"/>
  <c r="AM148" i="3"/>
  <c r="S148" i="3"/>
  <c r="R148" i="3"/>
  <c r="AK148" i="3"/>
  <c r="Q148" i="3"/>
  <c r="AD148" i="3"/>
  <c r="P148" i="3"/>
  <c r="O148" i="3"/>
  <c r="AE148" i="3"/>
  <c r="M148" i="3"/>
  <c r="AF148" i="3"/>
  <c r="U148" i="3"/>
  <c r="V148" i="3"/>
  <c r="C148" i="3"/>
  <c r="F148" i="3"/>
  <c r="G148" i="3"/>
  <c r="H148" i="3" s="1"/>
  <c r="T148" i="3"/>
  <c r="AX146" i="3"/>
  <c r="AV145" i="3"/>
  <c r="BM147" i="3"/>
  <c r="AG147" i="3"/>
  <c r="AO147" i="3"/>
  <c r="BF144" i="3"/>
  <c r="BJ143" i="3" s="1"/>
  <c r="BQ144" i="3"/>
  <c r="BB144" i="3"/>
  <c r="X147" i="3"/>
  <c r="BN148" i="3" l="1"/>
  <c r="BK143" i="3"/>
  <c r="BD144" i="3"/>
  <c r="BC145" i="3"/>
  <c r="BD145" i="3" s="1"/>
  <c r="AU147" i="3"/>
  <c r="AV146" i="3"/>
  <c r="BM148" i="3"/>
  <c r="AT147" i="3"/>
  <c r="AX147" i="3"/>
  <c r="BA146" i="3"/>
  <c r="BQ146" i="3" s="1"/>
  <c r="AG148" i="3"/>
  <c r="AN148" i="3"/>
  <c r="BF145" i="3"/>
  <c r="BJ144" i="3" s="1"/>
  <c r="BK144" i="3" s="1"/>
  <c r="Y148" i="3"/>
  <c r="Z148" i="3" s="1"/>
  <c r="BB145" i="3"/>
  <c r="AY146" i="3"/>
  <c r="AR149" i="3"/>
  <c r="B149" i="3"/>
  <c r="AQ149" i="3"/>
  <c r="A150" i="3"/>
  <c r="AK149" i="3"/>
  <c r="T149" i="3"/>
  <c r="S149" i="3"/>
  <c r="AM149" i="3"/>
  <c r="R149" i="3"/>
  <c r="Q149" i="3"/>
  <c r="P149" i="3"/>
  <c r="AD149" i="3"/>
  <c r="O149" i="3"/>
  <c r="M149" i="3"/>
  <c r="AE149" i="3"/>
  <c r="AF149" i="3"/>
  <c r="U149" i="3"/>
  <c r="V149" i="3"/>
  <c r="D149" i="3"/>
  <c r="F149" i="3"/>
  <c r="C149" i="3"/>
  <c r="G149" i="3"/>
  <c r="H149" i="3" s="1"/>
  <c r="AH148" i="3"/>
  <c r="AW147" i="3"/>
  <c r="X148" i="3"/>
  <c r="AO148" i="3"/>
  <c r="BC146" i="3" l="1"/>
  <c r="BD146" i="3" s="1"/>
  <c r="BG145" i="3"/>
  <c r="BH145" i="3" s="1"/>
  <c r="BI145" i="3" s="1"/>
  <c r="AV147" i="3"/>
  <c r="BF146" i="3"/>
  <c r="BJ145" i="3" s="1"/>
  <c r="AY147" i="3"/>
  <c r="BB146" i="3"/>
  <c r="AW148" i="3"/>
  <c r="AX148" i="3"/>
  <c r="AO149" i="3"/>
  <c r="X149" i="3"/>
  <c r="Y149" i="3"/>
  <c r="Z149" i="3" s="1"/>
  <c r="AR150" i="3"/>
  <c r="B150" i="3"/>
  <c r="AQ150" i="3"/>
  <c r="A151" i="3"/>
  <c r="D150" i="3"/>
  <c r="C150" i="3"/>
  <c r="AM150" i="3"/>
  <c r="S150" i="3"/>
  <c r="Q150" i="3"/>
  <c r="AK150" i="3"/>
  <c r="R150" i="3"/>
  <c r="AD150" i="3"/>
  <c r="O150" i="3"/>
  <c r="P150" i="3"/>
  <c r="AE150" i="3"/>
  <c r="AF150" i="3"/>
  <c r="U150" i="3"/>
  <c r="M150" i="3"/>
  <c r="V150" i="3"/>
  <c r="G150" i="3"/>
  <c r="H150" i="3" s="1"/>
  <c r="F150" i="3"/>
  <c r="T150" i="3"/>
  <c r="AU148" i="3"/>
  <c r="AT148" i="3"/>
  <c r="BN149" i="3"/>
  <c r="BM149" i="3"/>
  <c r="AG149" i="3"/>
  <c r="AH149" i="3"/>
  <c r="AN149" i="3"/>
  <c r="BA147" i="3"/>
  <c r="BG146" i="3" l="1"/>
  <c r="BH146" i="3" s="1"/>
  <c r="BI146" i="3" s="1"/>
  <c r="AY148" i="3"/>
  <c r="BK145" i="3"/>
  <c r="BC147" i="3"/>
  <c r="BG147" i="3" s="1"/>
  <c r="BH147" i="3" s="1"/>
  <c r="BI147" i="3" s="1"/>
  <c r="BN150" i="3"/>
  <c r="AT149" i="3"/>
  <c r="AW149" i="3"/>
  <c r="AV148" i="3"/>
  <c r="BF147" i="3"/>
  <c r="BJ146" i="3" s="1"/>
  <c r="BK146" i="3" s="1"/>
  <c r="BB147" i="3"/>
  <c r="BQ147" i="3"/>
  <c r="AO150" i="3"/>
  <c r="AN150" i="3"/>
  <c r="AX149" i="3"/>
  <c r="BA148" i="3"/>
  <c r="BM150" i="3"/>
  <c r="AG150" i="3"/>
  <c r="AQ151" i="3"/>
  <c r="B151" i="3"/>
  <c r="A152" i="3"/>
  <c r="AR151" i="3"/>
  <c r="D151" i="3"/>
  <c r="AM151" i="3"/>
  <c r="AK151" i="3"/>
  <c r="Q151" i="3"/>
  <c r="T151" i="3"/>
  <c r="R151" i="3"/>
  <c r="AD151" i="3"/>
  <c r="P151" i="3"/>
  <c r="O151" i="3"/>
  <c r="AE151" i="3"/>
  <c r="AF151" i="3"/>
  <c r="M151" i="3"/>
  <c r="V151" i="3"/>
  <c r="U151" i="3"/>
  <c r="C151" i="3"/>
  <c r="G151" i="3"/>
  <c r="H151" i="3" s="1"/>
  <c r="F151" i="3"/>
  <c r="S151" i="3"/>
  <c r="AU149" i="3"/>
  <c r="Y150" i="3"/>
  <c r="Z150" i="3" s="1"/>
  <c r="AH150" i="3"/>
  <c r="X150" i="3"/>
  <c r="BC148" i="3" l="1"/>
  <c r="BG148" i="3" s="1"/>
  <c r="BH148" i="3" s="1"/>
  <c r="BI148" i="3" s="1"/>
  <c r="BD147" i="3"/>
  <c r="BM151" i="3"/>
  <c r="BN151" i="3"/>
  <c r="AX150" i="3"/>
  <c r="BA149" i="3"/>
  <c r="BQ149" i="3" s="1"/>
  <c r="AO151" i="3"/>
  <c r="AN151" i="3"/>
  <c r="AY149" i="3"/>
  <c r="AG151" i="3"/>
  <c r="X151" i="3"/>
  <c r="Y151" i="3"/>
  <c r="Z151" i="3" s="1"/>
  <c r="A153" i="3"/>
  <c r="B152" i="3"/>
  <c r="AR152" i="3"/>
  <c r="AQ152" i="3"/>
  <c r="C152" i="3"/>
  <c r="AK152" i="3"/>
  <c r="AM152" i="3"/>
  <c r="Q152" i="3"/>
  <c r="AD152" i="3"/>
  <c r="T152" i="3"/>
  <c r="R152" i="3"/>
  <c r="P152" i="3"/>
  <c r="M152" i="3"/>
  <c r="AE152" i="3"/>
  <c r="AF152" i="3"/>
  <c r="V152" i="3"/>
  <c r="U152" i="3"/>
  <c r="O152" i="3"/>
  <c r="D152" i="3"/>
  <c r="G152" i="3"/>
  <c r="H152" i="3" s="1"/>
  <c r="F152" i="3"/>
  <c r="BM152" i="3" s="1"/>
  <c r="S152" i="3"/>
  <c r="BF148" i="3"/>
  <c r="BJ147" i="3" s="1"/>
  <c r="BK147" i="3" s="1"/>
  <c r="BB148" i="3"/>
  <c r="BQ148" i="3"/>
  <c r="AV149" i="3"/>
  <c r="AH151" i="3"/>
  <c r="AU150" i="3"/>
  <c r="AW150" i="3"/>
  <c r="AT150" i="3"/>
  <c r="AY150" i="3" l="1"/>
  <c r="BD148" i="3"/>
  <c r="AV150" i="3"/>
  <c r="BN152" i="3"/>
  <c r="BC149" i="3"/>
  <c r="BD149" i="3" s="1"/>
  <c r="BB149" i="3"/>
  <c r="AG152" i="3"/>
  <c r="AX151" i="3"/>
  <c r="BF149" i="3"/>
  <c r="BJ148" i="3" s="1"/>
  <c r="BK148" i="3" s="1"/>
  <c r="AO152" i="3"/>
  <c r="X152" i="3"/>
  <c r="Y152" i="3"/>
  <c r="Z152" i="3" s="1"/>
  <c r="AR153" i="3"/>
  <c r="B153" i="3"/>
  <c r="AQ153" i="3"/>
  <c r="A154" i="3"/>
  <c r="D153" i="3"/>
  <c r="C153" i="3"/>
  <c r="S153" i="3"/>
  <c r="T153" i="3"/>
  <c r="AM153" i="3"/>
  <c r="AK153" i="3"/>
  <c r="Q153" i="3"/>
  <c r="P153" i="3"/>
  <c r="AD153" i="3"/>
  <c r="O153" i="3"/>
  <c r="M153" i="3"/>
  <c r="U153" i="3"/>
  <c r="AE153" i="3"/>
  <c r="AF153" i="3"/>
  <c r="V153" i="3"/>
  <c r="R153" i="3"/>
  <c r="F153" i="3"/>
  <c r="G153" i="3"/>
  <c r="H153" i="3" s="1"/>
  <c r="BA150" i="3"/>
  <c r="AW151" i="3"/>
  <c r="AU151" i="3"/>
  <c r="AH152" i="3"/>
  <c r="AN152" i="3"/>
  <c r="AT151" i="3"/>
  <c r="BC150" i="3" l="1"/>
  <c r="BG150" i="3" s="1"/>
  <c r="BH150" i="3" s="1"/>
  <c r="BI150" i="3" s="1"/>
  <c r="BM153" i="3"/>
  <c r="BN153" i="3"/>
  <c r="AU152" i="3"/>
  <c r="BG149" i="3"/>
  <c r="BH149" i="3" s="1"/>
  <c r="BI149" i="3" s="1"/>
  <c r="AY151" i="3"/>
  <c r="AO153" i="3"/>
  <c r="AH153" i="3"/>
  <c r="BQ150" i="3"/>
  <c r="BF150" i="3"/>
  <c r="BJ149" i="3" s="1"/>
  <c r="BB150" i="3"/>
  <c r="Y153" i="3"/>
  <c r="Z153" i="3" s="1"/>
  <c r="AX152" i="3"/>
  <c r="AG153" i="3"/>
  <c r="AN153" i="3"/>
  <c r="AT152" i="3"/>
  <c r="AV151" i="3"/>
  <c r="BA151" i="3"/>
  <c r="AR154" i="3"/>
  <c r="B154" i="3"/>
  <c r="AQ154" i="3"/>
  <c r="A155" i="3"/>
  <c r="D154" i="3"/>
  <c r="AK154" i="3"/>
  <c r="T154" i="3"/>
  <c r="AM154" i="3"/>
  <c r="S154" i="3"/>
  <c r="R154" i="3"/>
  <c r="Q154" i="3"/>
  <c r="P154" i="3"/>
  <c r="AD154" i="3"/>
  <c r="AE154" i="3"/>
  <c r="U154" i="3"/>
  <c r="O154" i="3"/>
  <c r="AF154" i="3"/>
  <c r="M154" i="3"/>
  <c r="V154" i="3"/>
  <c r="C154" i="3"/>
  <c r="F154" i="3"/>
  <c r="G154" i="3"/>
  <c r="H154" i="3" s="1"/>
  <c r="X153" i="3"/>
  <c r="AW152" i="3"/>
  <c r="BD150" i="3" l="1"/>
  <c r="AN154" i="3"/>
  <c r="AT153" i="3"/>
  <c r="BK149" i="3"/>
  <c r="BN154" i="3"/>
  <c r="BC151" i="3"/>
  <c r="BG151" i="3" s="1"/>
  <c r="BH151" i="3" s="1"/>
  <c r="BI151" i="3" s="1"/>
  <c r="BM154" i="3"/>
  <c r="AU153" i="3"/>
  <c r="AY152" i="3"/>
  <c r="AX153" i="3"/>
  <c r="AH154" i="3"/>
  <c r="AQ155" i="3"/>
  <c r="B155" i="3"/>
  <c r="A156" i="3"/>
  <c r="AR155" i="3"/>
  <c r="C155" i="3"/>
  <c r="AM155" i="3"/>
  <c r="AK155" i="3"/>
  <c r="Q155" i="3"/>
  <c r="AD155" i="3"/>
  <c r="P155" i="3"/>
  <c r="R155" i="3"/>
  <c r="O155" i="3"/>
  <c r="AE155" i="3"/>
  <c r="AF155" i="3"/>
  <c r="V155" i="3"/>
  <c r="U155" i="3"/>
  <c r="M155" i="3"/>
  <c r="G155" i="3"/>
  <c r="H155" i="3" s="1"/>
  <c r="F155" i="3"/>
  <c r="D155" i="3"/>
  <c r="T155" i="3"/>
  <c r="S155" i="3"/>
  <c r="BQ151" i="3"/>
  <c r="BB151" i="3"/>
  <c r="BF151" i="3"/>
  <c r="BJ150" i="3" s="1"/>
  <c r="BK150" i="3" s="1"/>
  <c r="BA152" i="3"/>
  <c r="AV152" i="3"/>
  <c r="X154" i="3"/>
  <c r="AG154" i="3"/>
  <c r="AO154" i="3"/>
  <c r="AW153" i="3"/>
  <c r="Y154" i="3"/>
  <c r="Z154" i="3" s="1"/>
  <c r="BM155" i="3" l="1"/>
  <c r="BD151" i="3"/>
  <c r="AV153" i="3"/>
  <c r="AY153" i="3"/>
  <c r="AT154" i="3"/>
  <c r="AU154" i="3"/>
  <c r="BC152" i="3"/>
  <c r="BG152" i="3" s="1"/>
  <c r="BH152" i="3" s="1"/>
  <c r="BI152" i="3" s="1"/>
  <c r="AX154" i="3"/>
  <c r="AN155" i="3"/>
  <c r="BA153" i="3"/>
  <c r="BB153" i="3" s="1"/>
  <c r="X155" i="3"/>
  <c r="A157" i="3"/>
  <c r="B156" i="3"/>
  <c r="AR156" i="3"/>
  <c r="AQ156" i="3"/>
  <c r="C156" i="3"/>
  <c r="AM156" i="3"/>
  <c r="AK156" i="3"/>
  <c r="S156" i="3"/>
  <c r="T156" i="3"/>
  <c r="AD156" i="3"/>
  <c r="Q156" i="3"/>
  <c r="P156" i="3"/>
  <c r="O156" i="3"/>
  <c r="AE156" i="3"/>
  <c r="V156" i="3"/>
  <c r="U156" i="3"/>
  <c r="M156" i="3"/>
  <c r="AF156" i="3"/>
  <c r="R156" i="3"/>
  <c r="F156" i="3"/>
  <c r="D156" i="3"/>
  <c r="G156" i="3"/>
  <c r="H156" i="3" s="1"/>
  <c r="AW154" i="3"/>
  <c r="Y155" i="3"/>
  <c r="Z155" i="3" s="1"/>
  <c r="AG155" i="3"/>
  <c r="AH155" i="3"/>
  <c r="AO155" i="3"/>
  <c r="BF152" i="3"/>
  <c r="BJ151" i="3" s="1"/>
  <c r="BK151" i="3" s="1"/>
  <c r="BB152" i="3"/>
  <c r="BQ152" i="3"/>
  <c r="BN155" i="3"/>
  <c r="AY154" i="3" l="1"/>
  <c r="BC153" i="3"/>
  <c r="BG153" i="3" s="1"/>
  <c r="BH153" i="3" s="1"/>
  <c r="BI153" i="3" s="1"/>
  <c r="AV154" i="3"/>
  <c r="BN156" i="3"/>
  <c r="BM156" i="3"/>
  <c r="AH156" i="3"/>
  <c r="BD152" i="3"/>
  <c r="AO156" i="3"/>
  <c r="BF153" i="3"/>
  <c r="BJ152" i="3" s="1"/>
  <c r="BK152" i="3" s="1"/>
  <c r="BQ153" i="3"/>
  <c r="AW155" i="3"/>
  <c r="AG156" i="3"/>
  <c r="AN156" i="3"/>
  <c r="Y156" i="3"/>
  <c r="Z156" i="3" s="1"/>
  <c r="AR157" i="3"/>
  <c r="B157" i="3"/>
  <c r="AQ157" i="3"/>
  <c r="A158" i="3"/>
  <c r="C157" i="3"/>
  <c r="AK157" i="3"/>
  <c r="AM157" i="3"/>
  <c r="R157" i="3"/>
  <c r="AD157" i="3"/>
  <c r="P157" i="3"/>
  <c r="O157" i="3"/>
  <c r="M157" i="3"/>
  <c r="AE157" i="3"/>
  <c r="V157" i="3"/>
  <c r="U157" i="3"/>
  <c r="AF157" i="3"/>
  <c r="Q157" i="3"/>
  <c r="D157" i="3"/>
  <c r="G157" i="3"/>
  <c r="H157" i="3" s="1"/>
  <c r="F157" i="3"/>
  <c r="S157" i="3"/>
  <c r="T157" i="3"/>
  <c r="AT155" i="3"/>
  <c r="AU155" i="3"/>
  <c r="AX155" i="3"/>
  <c r="X156" i="3"/>
  <c r="BA154" i="3"/>
  <c r="BD153" i="3" l="1"/>
  <c r="BC154" i="3"/>
  <c r="BD154" i="3" s="1"/>
  <c r="BM157" i="3"/>
  <c r="BN157" i="3"/>
  <c r="AW156" i="3"/>
  <c r="AT156" i="3"/>
  <c r="AG157" i="3"/>
  <c r="AU156" i="3"/>
  <c r="AN157" i="3"/>
  <c r="AX156" i="3"/>
  <c r="X157" i="3"/>
  <c r="AV155" i="3"/>
  <c r="BA155" i="3"/>
  <c r="AH157" i="3"/>
  <c r="AY155" i="3"/>
  <c r="BQ154" i="3"/>
  <c r="BF154" i="3"/>
  <c r="BJ153" i="3" s="1"/>
  <c r="BK153" i="3" s="1"/>
  <c r="BB154" i="3"/>
  <c r="AR158" i="3"/>
  <c r="B158" i="3"/>
  <c r="AQ158" i="3"/>
  <c r="A159" i="3"/>
  <c r="AM158" i="3"/>
  <c r="R158" i="3"/>
  <c r="AK158" i="3"/>
  <c r="S158" i="3"/>
  <c r="Q158" i="3"/>
  <c r="AD158" i="3"/>
  <c r="O158" i="3"/>
  <c r="P158" i="3"/>
  <c r="M158" i="3"/>
  <c r="AF158" i="3"/>
  <c r="AE158" i="3"/>
  <c r="V158" i="3"/>
  <c r="U158" i="3"/>
  <c r="C158" i="3"/>
  <c r="D158" i="3"/>
  <c r="G158" i="3"/>
  <c r="H158" i="3" s="1"/>
  <c r="F158" i="3"/>
  <c r="T158" i="3"/>
  <c r="Y157" i="3"/>
  <c r="Z157" i="3" s="1"/>
  <c r="AO157" i="3"/>
  <c r="BG154" i="3" l="1"/>
  <c r="BH154" i="3" s="1"/>
  <c r="BI154" i="3" s="1"/>
  <c r="AV156" i="3"/>
  <c r="AO158" i="3"/>
  <c r="BM158" i="3"/>
  <c r="AY156" i="3"/>
  <c r="AG158" i="3"/>
  <c r="AT157" i="3"/>
  <c r="BA156" i="3"/>
  <c r="BF156" i="3" s="1"/>
  <c r="AW157" i="3"/>
  <c r="AQ159" i="3"/>
  <c r="B159" i="3"/>
  <c r="A160" i="3"/>
  <c r="AR159" i="3"/>
  <c r="D159" i="3"/>
  <c r="C159" i="3"/>
  <c r="AK159" i="3"/>
  <c r="AM159" i="3"/>
  <c r="S159" i="3"/>
  <c r="Q159" i="3"/>
  <c r="AD159" i="3"/>
  <c r="M159" i="3"/>
  <c r="AE159" i="3"/>
  <c r="O159" i="3"/>
  <c r="AF159" i="3"/>
  <c r="U159" i="3"/>
  <c r="V159" i="3"/>
  <c r="P159" i="3"/>
  <c r="R159" i="3"/>
  <c r="G159" i="3"/>
  <c r="H159" i="3" s="1"/>
  <c r="F159" i="3"/>
  <c r="T159" i="3"/>
  <c r="AN158" i="3"/>
  <c r="Y158" i="3"/>
  <c r="Z158" i="3" s="1"/>
  <c r="BN158" i="3"/>
  <c r="X158" i="3"/>
  <c r="AH158" i="3"/>
  <c r="AU157" i="3"/>
  <c r="BC155" i="3"/>
  <c r="BB155" i="3"/>
  <c r="BQ155" i="3"/>
  <c r="BF155" i="3"/>
  <c r="BJ154" i="3" s="1"/>
  <c r="BK154" i="3" s="1"/>
  <c r="AX157" i="3"/>
  <c r="BC156" i="3" l="1"/>
  <c r="BD156" i="3" s="1"/>
  <c r="BB156" i="3"/>
  <c r="AU158" i="3"/>
  <c r="BQ156" i="3"/>
  <c r="BM159" i="3"/>
  <c r="AY157" i="3"/>
  <c r="AV157" i="3"/>
  <c r="AG159" i="3"/>
  <c r="AO159" i="3"/>
  <c r="AW158" i="3"/>
  <c r="BD155" i="3"/>
  <c r="BG155" i="3"/>
  <c r="BH155" i="3" s="1"/>
  <c r="BI155" i="3" s="1"/>
  <c r="AX158" i="3"/>
  <c r="AT158" i="3"/>
  <c r="BJ155" i="3"/>
  <c r="Y159" i="3"/>
  <c r="Z159" i="3" s="1"/>
  <c r="BN159" i="3"/>
  <c r="AN159" i="3"/>
  <c r="X159" i="3"/>
  <c r="BA157" i="3"/>
  <c r="A161" i="3"/>
  <c r="B160" i="3"/>
  <c r="AR160" i="3"/>
  <c r="AQ160" i="3"/>
  <c r="AM160" i="3"/>
  <c r="S160" i="3"/>
  <c r="C160" i="3"/>
  <c r="AK160" i="3"/>
  <c r="Q160" i="3"/>
  <c r="R160" i="3"/>
  <c r="AD160" i="3"/>
  <c r="P160" i="3"/>
  <c r="O160" i="3"/>
  <c r="M160" i="3"/>
  <c r="AE160" i="3"/>
  <c r="AF160" i="3"/>
  <c r="V160" i="3"/>
  <c r="U160" i="3"/>
  <c r="D160" i="3"/>
  <c r="G160" i="3"/>
  <c r="H160" i="3" s="1"/>
  <c r="F160" i="3"/>
  <c r="T160" i="3"/>
  <c r="AH159" i="3"/>
  <c r="BM160" i="3" l="1"/>
  <c r="BG156" i="3"/>
  <c r="BH156" i="3" s="1"/>
  <c r="BI156" i="3" s="1"/>
  <c r="BK155" i="3"/>
  <c r="AO160" i="3"/>
  <c r="BC157" i="3"/>
  <c r="BG157" i="3" s="1"/>
  <c r="BH157" i="3" s="1"/>
  <c r="BI157" i="3" s="1"/>
  <c r="BN160" i="3"/>
  <c r="AX159" i="3"/>
  <c r="AY158" i="3"/>
  <c r="AU159" i="3"/>
  <c r="Y160" i="3"/>
  <c r="Z160" i="3" s="1"/>
  <c r="AR161" i="3"/>
  <c r="B161" i="3"/>
  <c r="AQ161" i="3"/>
  <c r="A162" i="3"/>
  <c r="D161" i="3"/>
  <c r="S161" i="3"/>
  <c r="AM161" i="3"/>
  <c r="AK161" i="3"/>
  <c r="T161" i="3"/>
  <c r="Q161" i="3"/>
  <c r="R161" i="3"/>
  <c r="AD161" i="3"/>
  <c r="P161" i="3"/>
  <c r="V161" i="3"/>
  <c r="O161" i="3"/>
  <c r="AE161" i="3"/>
  <c r="M161" i="3"/>
  <c r="AF161" i="3"/>
  <c r="U161" i="3"/>
  <c r="C161" i="3"/>
  <c r="G161" i="3"/>
  <c r="H161" i="3" s="1"/>
  <c r="F161" i="3"/>
  <c r="AV158" i="3"/>
  <c r="BA158" i="3"/>
  <c r="AG160" i="3"/>
  <c r="AH160" i="3"/>
  <c r="X160" i="3"/>
  <c r="AN160" i="3"/>
  <c r="AT159" i="3"/>
  <c r="AW159" i="3"/>
  <c r="BF157" i="3"/>
  <c r="BJ156" i="3" s="1"/>
  <c r="BQ157" i="3"/>
  <c r="BB157" i="3"/>
  <c r="BN161" i="3" l="1"/>
  <c r="BK156" i="3"/>
  <c r="BM161" i="3"/>
  <c r="BD157" i="3"/>
  <c r="AY159" i="3"/>
  <c r="BC158" i="3"/>
  <c r="BD158" i="3" s="1"/>
  <c r="AN161" i="3"/>
  <c r="AT160" i="3"/>
  <c r="BB158" i="3"/>
  <c r="BF158" i="3"/>
  <c r="BJ157" i="3" s="1"/>
  <c r="BK157" i="3" s="1"/>
  <c r="BQ158" i="3"/>
  <c r="AR162" i="3"/>
  <c r="B162" i="3"/>
  <c r="AQ162" i="3"/>
  <c r="A163" i="3"/>
  <c r="C162" i="3"/>
  <c r="AK162" i="3"/>
  <c r="S162" i="3"/>
  <c r="R162" i="3"/>
  <c r="Q162" i="3"/>
  <c r="AM162" i="3"/>
  <c r="D162" i="3"/>
  <c r="AD162" i="3"/>
  <c r="O162" i="3"/>
  <c r="M162" i="3"/>
  <c r="AE162" i="3"/>
  <c r="V162" i="3"/>
  <c r="AF162" i="3"/>
  <c r="U162" i="3"/>
  <c r="G162" i="3"/>
  <c r="H162" i="3" s="1"/>
  <c r="BN162" i="3" s="1"/>
  <c r="F162" i="3"/>
  <c r="P162" i="3"/>
  <c r="T162" i="3"/>
  <c r="AU160" i="3"/>
  <c r="AW160" i="3"/>
  <c r="X161" i="3"/>
  <c r="AG161" i="3"/>
  <c r="AH161" i="3"/>
  <c r="AO161" i="3"/>
  <c r="BA159" i="3"/>
  <c r="AV159" i="3"/>
  <c r="Y161" i="3"/>
  <c r="Z161" i="3" s="1"/>
  <c r="AX160" i="3"/>
  <c r="AN162" i="3" l="1"/>
  <c r="BC159" i="3"/>
  <c r="BD159" i="3" s="1"/>
  <c r="AV160" i="3"/>
  <c r="BG158" i="3"/>
  <c r="BH158" i="3" s="1"/>
  <c r="BI158" i="3" s="1"/>
  <c r="AT161" i="3"/>
  <c r="AX161" i="3"/>
  <c r="AG162" i="3"/>
  <c r="Y162" i="3"/>
  <c r="Z162" i="3" s="1"/>
  <c r="AQ163" i="3"/>
  <c r="B163" i="3"/>
  <c r="A164" i="3"/>
  <c r="AR163" i="3"/>
  <c r="C163" i="3"/>
  <c r="AM163" i="3"/>
  <c r="T163" i="3"/>
  <c r="Q163" i="3"/>
  <c r="AK163" i="3"/>
  <c r="R163" i="3"/>
  <c r="P163" i="3"/>
  <c r="AD163" i="3"/>
  <c r="M163" i="3"/>
  <c r="AF163" i="3"/>
  <c r="V163" i="3"/>
  <c r="O163" i="3"/>
  <c r="AE163" i="3"/>
  <c r="U163" i="3"/>
  <c r="F163" i="3"/>
  <c r="D163" i="3"/>
  <c r="G163" i="3"/>
  <c r="H163" i="3" s="1"/>
  <c r="S163" i="3"/>
  <c r="X162" i="3"/>
  <c r="AU161" i="3"/>
  <c r="AW161" i="3"/>
  <c r="AY160" i="3"/>
  <c r="BM162" i="3"/>
  <c r="AH162" i="3"/>
  <c r="AO162" i="3"/>
  <c r="BA160" i="3"/>
  <c r="BQ159" i="3"/>
  <c r="BF159" i="3"/>
  <c r="BJ158" i="3" s="1"/>
  <c r="BK158" i="3" s="1"/>
  <c r="BB159" i="3"/>
  <c r="BM163" i="3" l="1"/>
  <c r="BG159" i="3"/>
  <c r="BH159" i="3" s="1"/>
  <c r="BI159" i="3" s="1"/>
  <c r="AT162" i="3"/>
  <c r="BC160" i="3"/>
  <c r="BG160" i="3" s="1"/>
  <c r="BH160" i="3" s="1"/>
  <c r="BI160" i="3" s="1"/>
  <c r="AV161" i="3"/>
  <c r="BN163" i="3"/>
  <c r="AG163" i="3"/>
  <c r="BA161" i="3"/>
  <c r="BF161" i="3" s="1"/>
  <c r="AY161" i="3"/>
  <c r="AO163" i="3"/>
  <c r="AX162" i="3"/>
  <c r="BQ160" i="3"/>
  <c r="BB160" i="3"/>
  <c r="BF160" i="3"/>
  <c r="BJ159" i="3" s="1"/>
  <c r="BK159" i="3" s="1"/>
  <c r="Y163" i="3"/>
  <c r="Z163" i="3" s="1"/>
  <c r="AU162" i="3"/>
  <c r="X163" i="3"/>
  <c r="AH163" i="3"/>
  <c r="AN163" i="3"/>
  <c r="A165" i="3"/>
  <c r="B164" i="3"/>
  <c r="AR164" i="3"/>
  <c r="AQ164" i="3"/>
  <c r="C164" i="3"/>
  <c r="AM164" i="3"/>
  <c r="T164" i="3"/>
  <c r="AK164" i="3"/>
  <c r="R164" i="3"/>
  <c r="Q164" i="3"/>
  <c r="AD164" i="3"/>
  <c r="P164" i="3"/>
  <c r="M164" i="3"/>
  <c r="U164" i="3"/>
  <c r="V164" i="3"/>
  <c r="O164" i="3"/>
  <c r="AF164" i="3"/>
  <c r="AE164" i="3"/>
  <c r="D164" i="3"/>
  <c r="G164" i="3"/>
  <c r="H164" i="3" s="1"/>
  <c r="F164" i="3"/>
  <c r="BM164" i="3" s="1"/>
  <c r="S164" i="3"/>
  <c r="AW162" i="3"/>
  <c r="BD160" i="3" l="1"/>
  <c r="AV162" i="3"/>
  <c r="BC161" i="3"/>
  <c r="BG161" i="3" s="1"/>
  <c r="BH161" i="3" s="1"/>
  <c r="BI161" i="3" s="1"/>
  <c r="AO164" i="3"/>
  <c r="AY162" i="3"/>
  <c r="BN164" i="3"/>
  <c r="AX163" i="3"/>
  <c r="BB161" i="3"/>
  <c r="AU163" i="3"/>
  <c r="AT163" i="3"/>
  <c r="AG164" i="3"/>
  <c r="BQ161" i="3"/>
  <c r="X164" i="3"/>
  <c r="Y164" i="3"/>
  <c r="Z164" i="3" s="1"/>
  <c r="AR165" i="3"/>
  <c r="B165" i="3"/>
  <c r="AQ165" i="3"/>
  <c r="A166" i="3"/>
  <c r="AM165" i="3"/>
  <c r="R165" i="3"/>
  <c r="C165" i="3"/>
  <c r="AK165" i="3"/>
  <c r="Q165" i="3"/>
  <c r="AD165" i="3"/>
  <c r="S165" i="3"/>
  <c r="P165" i="3"/>
  <c r="O165" i="3"/>
  <c r="AE165" i="3"/>
  <c r="U165" i="3"/>
  <c r="V165" i="3"/>
  <c r="M165" i="3"/>
  <c r="AF165" i="3"/>
  <c r="D165" i="3"/>
  <c r="G165" i="3"/>
  <c r="H165" i="3" s="1"/>
  <c r="F165" i="3"/>
  <c r="T165" i="3"/>
  <c r="AH164" i="3"/>
  <c r="BA162" i="3"/>
  <c r="AN164" i="3"/>
  <c r="AW163" i="3"/>
  <c r="BJ160" i="3"/>
  <c r="BK160" i="3" s="1"/>
  <c r="BD161" i="3" l="1"/>
  <c r="BM165" i="3"/>
  <c r="BC162" i="3"/>
  <c r="BG162" i="3" s="1"/>
  <c r="BH162" i="3" s="1"/>
  <c r="BI162" i="3" s="1"/>
  <c r="BN165" i="3"/>
  <c r="AT164" i="3"/>
  <c r="AY163" i="3"/>
  <c r="AV163" i="3"/>
  <c r="AW164" i="3"/>
  <c r="AU164" i="3"/>
  <c r="Y165" i="3"/>
  <c r="Z165" i="3" s="1"/>
  <c r="AO165" i="3"/>
  <c r="BQ162" i="3"/>
  <c r="BF162" i="3"/>
  <c r="BB162" i="3"/>
  <c r="BA163" i="3"/>
  <c r="AX164" i="3"/>
  <c r="X165" i="3"/>
  <c r="AN165" i="3"/>
  <c r="AR166" i="3"/>
  <c r="B166" i="3"/>
  <c r="AQ166" i="3"/>
  <c r="A167" i="3"/>
  <c r="C166" i="3"/>
  <c r="D166" i="3"/>
  <c r="AK166" i="3"/>
  <c r="Q166" i="3"/>
  <c r="AM166" i="3"/>
  <c r="AD166" i="3"/>
  <c r="T166" i="3"/>
  <c r="R166" i="3"/>
  <c r="P166" i="3"/>
  <c r="M166" i="3"/>
  <c r="AE166" i="3"/>
  <c r="V166" i="3"/>
  <c r="U166" i="3"/>
  <c r="O166" i="3"/>
  <c r="AF166" i="3"/>
  <c r="G166" i="3"/>
  <c r="H166" i="3" s="1"/>
  <c r="F166" i="3"/>
  <c r="BM166" i="3" s="1"/>
  <c r="S166" i="3"/>
  <c r="AG165" i="3"/>
  <c r="AH165" i="3"/>
  <c r="BN166" i="3" l="1"/>
  <c r="BD162" i="3"/>
  <c r="AV164" i="3"/>
  <c r="AN166" i="3"/>
  <c r="AY164" i="3"/>
  <c r="BC163" i="3"/>
  <c r="BG163" i="3" s="1"/>
  <c r="BH163" i="3" s="1"/>
  <c r="BI163" i="3" s="1"/>
  <c r="BA164" i="3"/>
  <c r="BQ164" i="3" s="1"/>
  <c r="AX165" i="3"/>
  <c r="Y166" i="3"/>
  <c r="Z166" i="3" s="1"/>
  <c r="AQ167" i="3"/>
  <c r="B167" i="3"/>
  <c r="A168" i="3"/>
  <c r="AR167" i="3"/>
  <c r="D167" i="3"/>
  <c r="AK167" i="3"/>
  <c r="AM167" i="3"/>
  <c r="R167" i="3"/>
  <c r="P167" i="3"/>
  <c r="Q167" i="3"/>
  <c r="AD167" i="3"/>
  <c r="U167" i="3"/>
  <c r="O167" i="3"/>
  <c r="M167" i="3"/>
  <c r="AF167" i="3"/>
  <c r="AE167" i="3"/>
  <c r="V167" i="3"/>
  <c r="C167" i="3"/>
  <c r="G167" i="3"/>
  <c r="H167" i="3" s="1"/>
  <c r="F167" i="3"/>
  <c r="T167" i="3"/>
  <c r="S167" i="3"/>
  <c r="BF163" i="3"/>
  <c r="BJ162" i="3" s="1"/>
  <c r="BK162" i="3" s="1"/>
  <c r="BQ163" i="3"/>
  <c r="BB163" i="3"/>
  <c r="BJ161" i="3"/>
  <c r="BK161" i="3" s="1"/>
  <c r="AW165" i="3"/>
  <c r="X166" i="3"/>
  <c r="AH166" i="3"/>
  <c r="AT165" i="3"/>
  <c r="AG166" i="3"/>
  <c r="AO166" i="3"/>
  <c r="AU165" i="3"/>
  <c r="BM167" i="3" l="1"/>
  <c r="BN167" i="3"/>
  <c r="BC164" i="3"/>
  <c r="BD164" i="3" s="1"/>
  <c r="BD163" i="3"/>
  <c r="AY165" i="3"/>
  <c r="BB164" i="3"/>
  <c r="BF164" i="3"/>
  <c r="BJ163" i="3" s="1"/>
  <c r="BK163" i="3" s="1"/>
  <c r="AU166" i="3"/>
  <c r="X167" i="3"/>
  <c r="AG167" i="3"/>
  <c r="AO167" i="3"/>
  <c r="AT166" i="3"/>
  <c r="AV165" i="3"/>
  <c r="BA165" i="3"/>
  <c r="A169" i="3"/>
  <c r="B168" i="3"/>
  <c r="AR168" i="3"/>
  <c r="AQ168" i="3"/>
  <c r="D168" i="3"/>
  <c r="C168" i="3"/>
  <c r="AK168" i="3"/>
  <c r="AM168" i="3"/>
  <c r="S168" i="3"/>
  <c r="R168" i="3"/>
  <c r="AD168" i="3"/>
  <c r="P168" i="3"/>
  <c r="Q168" i="3"/>
  <c r="AF168" i="3"/>
  <c r="AE168" i="3"/>
  <c r="M168" i="3"/>
  <c r="U168" i="3"/>
  <c r="O168" i="3"/>
  <c r="V168" i="3"/>
  <c r="F168" i="3"/>
  <c r="G168" i="3"/>
  <c r="H168" i="3" s="1"/>
  <c r="T168" i="3"/>
  <c r="AW166" i="3"/>
  <c r="AX166" i="3"/>
  <c r="Y167" i="3"/>
  <c r="Z167" i="3" s="1"/>
  <c r="AH167" i="3"/>
  <c r="AN167" i="3"/>
  <c r="BG164" i="3" l="1"/>
  <c r="BH164" i="3" s="1"/>
  <c r="BI164" i="3" s="1"/>
  <c r="BM168" i="3"/>
  <c r="BC165" i="3"/>
  <c r="BG165" i="3" s="1"/>
  <c r="BH165" i="3" s="1"/>
  <c r="BI165" i="3" s="1"/>
  <c r="AV166" i="3"/>
  <c r="AN168" i="3"/>
  <c r="BN168" i="3"/>
  <c r="AX167" i="3"/>
  <c r="Y168" i="3"/>
  <c r="Z168" i="3" s="1"/>
  <c r="BA166" i="3"/>
  <c r="AY166" i="3"/>
  <c r="AR169" i="3"/>
  <c r="B169" i="3"/>
  <c r="AQ169" i="3"/>
  <c r="A170" i="3"/>
  <c r="C169" i="3"/>
  <c r="AM169" i="3"/>
  <c r="AK169" i="3"/>
  <c r="R169" i="3"/>
  <c r="Q169" i="3"/>
  <c r="AD169" i="3"/>
  <c r="S169" i="3"/>
  <c r="P169" i="3"/>
  <c r="O169" i="3"/>
  <c r="V169" i="3"/>
  <c r="U169" i="3"/>
  <c r="M169" i="3"/>
  <c r="AE169" i="3"/>
  <c r="AF169" i="3"/>
  <c r="F169" i="3"/>
  <c r="D169" i="3"/>
  <c r="G169" i="3"/>
  <c r="H169" i="3" s="1"/>
  <c r="T169" i="3"/>
  <c r="AW167" i="3"/>
  <c r="AT167" i="3"/>
  <c r="AU167" i="3"/>
  <c r="AG168" i="3"/>
  <c r="AH168" i="3"/>
  <c r="AO168" i="3"/>
  <c r="BF165" i="3"/>
  <c r="BJ164" i="3" s="1"/>
  <c r="BK164" i="3" s="1"/>
  <c r="BB165" i="3"/>
  <c r="BQ165" i="3"/>
  <c r="X168" i="3"/>
  <c r="BM169" i="3" l="1"/>
  <c r="BD165" i="3"/>
  <c r="BC166" i="3"/>
  <c r="BG166" i="3" s="1"/>
  <c r="BH166" i="3" s="1"/>
  <c r="BI166" i="3" s="1"/>
  <c r="BN169" i="3"/>
  <c r="AY167" i="3"/>
  <c r="AU168" i="3"/>
  <c r="AN169" i="3"/>
  <c r="Y169" i="3"/>
  <c r="Z169" i="3" s="1"/>
  <c r="AT168" i="3"/>
  <c r="AX168" i="3"/>
  <c r="BQ166" i="3"/>
  <c r="BB166" i="3"/>
  <c r="BF166" i="3"/>
  <c r="BJ165" i="3" s="1"/>
  <c r="BK165" i="3" s="1"/>
  <c r="AG169" i="3"/>
  <c r="AO169" i="3"/>
  <c r="X169" i="3"/>
  <c r="AV167" i="3"/>
  <c r="BA167" i="3"/>
  <c r="AR170" i="3"/>
  <c r="B170" i="3"/>
  <c r="AQ170" i="3"/>
  <c r="A171" i="3"/>
  <c r="D170" i="3"/>
  <c r="R170" i="3"/>
  <c r="AM170" i="3"/>
  <c r="AK170" i="3"/>
  <c r="O170" i="3"/>
  <c r="Q170" i="3"/>
  <c r="AD170" i="3"/>
  <c r="P170" i="3"/>
  <c r="AE170" i="3"/>
  <c r="AF170" i="3"/>
  <c r="U170" i="3"/>
  <c r="V170" i="3"/>
  <c r="M170" i="3"/>
  <c r="C170" i="3"/>
  <c r="F170" i="3"/>
  <c r="G170" i="3"/>
  <c r="H170" i="3" s="1"/>
  <c r="T170" i="3"/>
  <c r="S170" i="3"/>
  <c r="AW168" i="3"/>
  <c r="AH169" i="3"/>
  <c r="BC167" i="3" l="1"/>
  <c r="BD167" i="3" s="1"/>
  <c r="BD166" i="3"/>
  <c r="AX169" i="3"/>
  <c r="BM170" i="3"/>
  <c r="BN170" i="3"/>
  <c r="AV168" i="3"/>
  <c r="AO170" i="3"/>
  <c r="X170" i="3"/>
  <c r="AY168" i="3"/>
  <c r="Y170" i="3"/>
  <c r="Z170" i="3" s="1"/>
  <c r="AG170" i="3"/>
  <c r="AH170" i="3"/>
  <c r="AN170" i="3"/>
  <c r="AU169" i="3"/>
  <c r="AQ171" i="3"/>
  <c r="B171" i="3"/>
  <c r="A172" i="3"/>
  <c r="AR171" i="3"/>
  <c r="S171" i="3"/>
  <c r="R171" i="3"/>
  <c r="AM171" i="3"/>
  <c r="AK171" i="3"/>
  <c r="Q171" i="3"/>
  <c r="AD171" i="3"/>
  <c r="O171" i="3"/>
  <c r="M171" i="3"/>
  <c r="AE171" i="3"/>
  <c r="AF171" i="3"/>
  <c r="U171" i="3"/>
  <c r="V171" i="3"/>
  <c r="C171" i="3"/>
  <c r="D171" i="3"/>
  <c r="F171" i="3"/>
  <c r="G171" i="3"/>
  <c r="H171" i="3" s="1"/>
  <c r="T171" i="3"/>
  <c r="P171" i="3"/>
  <c r="BF167" i="3"/>
  <c r="BJ166" i="3" s="1"/>
  <c r="BK166" i="3" s="1"/>
  <c r="BB167" i="3"/>
  <c r="BQ167" i="3"/>
  <c r="AT169" i="3"/>
  <c r="AW169" i="3"/>
  <c r="BA168" i="3"/>
  <c r="AY169" i="3" l="1"/>
  <c r="BG167" i="3"/>
  <c r="BH167" i="3" s="1"/>
  <c r="BI167" i="3" s="1"/>
  <c r="BN171" i="3"/>
  <c r="BM171" i="3"/>
  <c r="AT170" i="3"/>
  <c r="BC168" i="3"/>
  <c r="AG171" i="3"/>
  <c r="AN171" i="3"/>
  <c r="AX170" i="3"/>
  <c r="BF168" i="3"/>
  <c r="BJ167" i="3" s="1"/>
  <c r="BK167" i="3" s="1"/>
  <c r="BB168" i="3"/>
  <c r="BQ168" i="3"/>
  <c r="BA169" i="3"/>
  <c r="AV169" i="3"/>
  <c r="Y171" i="3"/>
  <c r="Z171" i="3" s="1"/>
  <c r="AH171" i="3"/>
  <c r="AO171" i="3"/>
  <c r="AU170" i="3"/>
  <c r="AW170" i="3"/>
  <c r="A173" i="3"/>
  <c r="B172" i="3"/>
  <c r="AR172" i="3"/>
  <c r="AQ172" i="3"/>
  <c r="C172" i="3"/>
  <c r="AK172" i="3"/>
  <c r="AM172" i="3"/>
  <c r="S172" i="3"/>
  <c r="R172" i="3"/>
  <c r="D172" i="3"/>
  <c r="Q172" i="3"/>
  <c r="AD172" i="3"/>
  <c r="O172" i="3"/>
  <c r="AF172" i="3"/>
  <c r="M172" i="3"/>
  <c r="U172" i="3"/>
  <c r="P172" i="3"/>
  <c r="AE172" i="3"/>
  <c r="V172" i="3"/>
  <c r="G172" i="3"/>
  <c r="H172" i="3" s="1"/>
  <c r="F172" i="3"/>
  <c r="BM172" i="3" s="1"/>
  <c r="T172" i="3"/>
  <c r="X171" i="3"/>
  <c r="BC169" i="3" l="1"/>
  <c r="BD169" i="3" s="1"/>
  <c r="BN172" i="3"/>
  <c r="AV170" i="3"/>
  <c r="AT171" i="3"/>
  <c r="BG168" i="3"/>
  <c r="BH168" i="3" s="1"/>
  <c r="BI168" i="3" s="1"/>
  <c r="BD168" i="3"/>
  <c r="BA170" i="3"/>
  <c r="BF170" i="3" s="1"/>
  <c r="AW171" i="3"/>
  <c r="AY170" i="3"/>
  <c r="AO172" i="3"/>
  <c r="AX171" i="3"/>
  <c r="AU171" i="3"/>
  <c r="Y172" i="3"/>
  <c r="Z172" i="3" s="1"/>
  <c r="AR173" i="3"/>
  <c r="B173" i="3"/>
  <c r="AQ173" i="3"/>
  <c r="A174" i="3"/>
  <c r="AK173" i="3"/>
  <c r="AM173" i="3"/>
  <c r="T173" i="3"/>
  <c r="AD173" i="3"/>
  <c r="P173" i="3"/>
  <c r="R173" i="3"/>
  <c r="O173" i="3"/>
  <c r="AE173" i="3"/>
  <c r="AF173" i="3"/>
  <c r="M173" i="3"/>
  <c r="U173" i="3"/>
  <c r="V173" i="3"/>
  <c r="Q173" i="3"/>
  <c r="C173" i="3"/>
  <c r="D173" i="3"/>
  <c r="G173" i="3"/>
  <c r="H173" i="3" s="1"/>
  <c r="F173" i="3"/>
  <c r="S173" i="3"/>
  <c r="AN172" i="3"/>
  <c r="X172" i="3"/>
  <c r="AH172" i="3"/>
  <c r="AG172" i="3"/>
  <c r="BQ169" i="3"/>
  <c r="BF169" i="3"/>
  <c r="BJ168" i="3" s="1"/>
  <c r="BK168" i="3" s="1"/>
  <c r="BB169" i="3"/>
  <c r="BG169" i="3" l="1"/>
  <c r="BH169" i="3" s="1"/>
  <c r="BI169" i="3" s="1"/>
  <c r="BC170" i="3"/>
  <c r="BD170" i="3" s="1"/>
  <c r="BB170" i="3"/>
  <c r="BQ170" i="3"/>
  <c r="BM173" i="3"/>
  <c r="AO173" i="3"/>
  <c r="BA171" i="3"/>
  <c r="BF171" i="3" s="1"/>
  <c r="BJ170" i="3" s="1"/>
  <c r="AV171" i="3"/>
  <c r="AY171" i="3"/>
  <c r="AX172" i="3"/>
  <c r="Y173" i="3"/>
  <c r="Z173" i="3" s="1"/>
  <c r="BN173" i="3"/>
  <c r="AR174" i="3"/>
  <c r="B174" i="3"/>
  <c r="AQ174" i="3"/>
  <c r="A175" i="3"/>
  <c r="D174" i="3"/>
  <c r="T174" i="3"/>
  <c r="C174" i="3"/>
  <c r="AK174" i="3"/>
  <c r="AM174" i="3"/>
  <c r="Q174" i="3"/>
  <c r="S174" i="3"/>
  <c r="R174" i="3"/>
  <c r="AD174" i="3"/>
  <c r="O174" i="3"/>
  <c r="P174" i="3"/>
  <c r="AE174" i="3"/>
  <c r="M174" i="3"/>
  <c r="V174" i="3"/>
  <c r="U174" i="3"/>
  <c r="AF174" i="3"/>
  <c r="G174" i="3"/>
  <c r="H174" i="3" s="1"/>
  <c r="BN174" i="3" s="1"/>
  <c r="F174" i="3"/>
  <c r="AU172" i="3"/>
  <c r="AW172" i="3"/>
  <c r="AT172" i="3"/>
  <c r="X173" i="3"/>
  <c r="AG173" i="3"/>
  <c r="AH173" i="3"/>
  <c r="AN173" i="3"/>
  <c r="BJ169" i="3"/>
  <c r="BK169" i="3" l="1"/>
  <c r="BG170" i="3"/>
  <c r="BH170" i="3" s="1"/>
  <c r="BI170" i="3" s="1"/>
  <c r="AY172" i="3"/>
  <c r="BK170" i="3"/>
  <c r="BB171" i="3"/>
  <c r="BM174" i="3"/>
  <c r="BQ171" i="3"/>
  <c r="BC171" i="3"/>
  <c r="BD171" i="3" s="1"/>
  <c r="AU173" i="3"/>
  <c r="AT173" i="3"/>
  <c r="AH174" i="3"/>
  <c r="AN174" i="3"/>
  <c r="BA172" i="3"/>
  <c r="BQ172" i="3" s="1"/>
  <c r="Y174" i="3"/>
  <c r="Z174" i="3" s="1"/>
  <c r="AX173" i="3"/>
  <c r="X174" i="3"/>
  <c r="AQ175" i="3"/>
  <c r="B175" i="3"/>
  <c r="A176" i="3"/>
  <c r="AR175" i="3"/>
  <c r="D175" i="3"/>
  <c r="AK175" i="3"/>
  <c r="AM175" i="3"/>
  <c r="S175" i="3"/>
  <c r="R175" i="3"/>
  <c r="T175" i="3"/>
  <c r="AD175" i="3"/>
  <c r="P175" i="3"/>
  <c r="O175" i="3"/>
  <c r="AE175" i="3"/>
  <c r="M175" i="3"/>
  <c r="AF175" i="3"/>
  <c r="U175" i="3"/>
  <c r="V175" i="3"/>
  <c r="F175" i="3"/>
  <c r="Q175" i="3"/>
  <c r="C175" i="3"/>
  <c r="G175" i="3"/>
  <c r="H175" i="3" s="1"/>
  <c r="AW173" i="3"/>
  <c r="AV172" i="3"/>
  <c r="AG174" i="3"/>
  <c r="AO174" i="3"/>
  <c r="BC172" i="3" l="1"/>
  <c r="BG172" i="3" s="1"/>
  <c r="BH172" i="3" s="1"/>
  <c r="BI172" i="3" s="1"/>
  <c r="BB172" i="3"/>
  <c r="BN175" i="3"/>
  <c r="AV173" i="3"/>
  <c r="BG171" i="3"/>
  <c r="BH171" i="3" s="1"/>
  <c r="BI171" i="3" s="1"/>
  <c r="AG175" i="3"/>
  <c r="AY173" i="3"/>
  <c r="AO175" i="3"/>
  <c r="BF172" i="3"/>
  <c r="BJ171" i="3" s="1"/>
  <c r="BK171" i="3" s="1"/>
  <c r="AX174" i="3"/>
  <c r="Y175" i="3"/>
  <c r="Z175" i="3" s="1"/>
  <c r="A177" i="3"/>
  <c r="B176" i="3"/>
  <c r="AR176" i="3"/>
  <c r="AQ176" i="3"/>
  <c r="D176" i="3"/>
  <c r="AM176" i="3"/>
  <c r="AK176" i="3"/>
  <c r="T176" i="3"/>
  <c r="Q176" i="3"/>
  <c r="P176" i="3"/>
  <c r="R176" i="3"/>
  <c r="AD176" i="3"/>
  <c r="O176" i="3"/>
  <c r="AE176" i="3"/>
  <c r="M176" i="3"/>
  <c r="AF176" i="3"/>
  <c r="U176" i="3"/>
  <c r="V176" i="3"/>
  <c r="C176" i="3"/>
  <c r="F176" i="3"/>
  <c r="G176" i="3"/>
  <c r="H176" i="3" s="1"/>
  <c r="BN176" i="3" s="1"/>
  <c r="S176" i="3"/>
  <c r="AW174" i="3"/>
  <c r="X175" i="3"/>
  <c r="BM175" i="3"/>
  <c r="AH175" i="3"/>
  <c r="AN175" i="3"/>
  <c r="AT174" i="3"/>
  <c r="BA173" i="3"/>
  <c r="AU174" i="3"/>
  <c r="BD172" i="3" l="1"/>
  <c r="AX175" i="3"/>
  <c r="BC173" i="3"/>
  <c r="BG173" i="3" s="1"/>
  <c r="BH173" i="3" s="1"/>
  <c r="BI173" i="3" s="1"/>
  <c r="BM176" i="3"/>
  <c r="AN176" i="3"/>
  <c r="BQ173" i="3"/>
  <c r="BB173" i="3"/>
  <c r="BF173" i="3"/>
  <c r="BJ172" i="3" s="1"/>
  <c r="BK172" i="3" s="1"/>
  <c r="BA174" i="3"/>
  <c r="AY174" i="3"/>
  <c r="Y176" i="3"/>
  <c r="Z176" i="3" s="1"/>
  <c r="AR177" i="3"/>
  <c r="B177" i="3"/>
  <c r="AQ177" i="3"/>
  <c r="A178" i="3"/>
  <c r="R177" i="3"/>
  <c r="AM177" i="3"/>
  <c r="AK177" i="3"/>
  <c r="Q177" i="3"/>
  <c r="AD177" i="3"/>
  <c r="O177" i="3"/>
  <c r="AF177" i="3"/>
  <c r="AE177" i="3"/>
  <c r="P177" i="3"/>
  <c r="M177" i="3"/>
  <c r="V177" i="3"/>
  <c r="U177" i="3"/>
  <c r="D177" i="3"/>
  <c r="G177" i="3"/>
  <c r="H177" i="3" s="1"/>
  <c r="C177" i="3"/>
  <c r="F177" i="3"/>
  <c r="S177" i="3"/>
  <c r="T177" i="3"/>
  <c r="AU175" i="3"/>
  <c r="X176" i="3"/>
  <c r="AH176" i="3"/>
  <c r="AT175" i="3"/>
  <c r="AV174" i="3"/>
  <c r="AW175" i="3"/>
  <c r="AO176" i="3"/>
  <c r="AG176" i="3"/>
  <c r="AY175" i="3" l="1"/>
  <c r="BD173" i="3"/>
  <c r="BC174" i="3"/>
  <c r="BD174" i="3" s="1"/>
  <c r="AO177" i="3"/>
  <c r="AW176" i="3"/>
  <c r="AT176" i="3"/>
  <c r="X177" i="3"/>
  <c r="BA175" i="3"/>
  <c r="AV175" i="3"/>
  <c r="AR178" i="3"/>
  <c r="B178" i="3"/>
  <c r="AQ178" i="3"/>
  <c r="A179" i="3"/>
  <c r="AM178" i="3"/>
  <c r="AK178" i="3"/>
  <c r="S178" i="3"/>
  <c r="T178" i="3"/>
  <c r="C178" i="3"/>
  <c r="Q178" i="3"/>
  <c r="AD178" i="3"/>
  <c r="P178" i="3"/>
  <c r="O178" i="3"/>
  <c r="AE178" i="3"/>
  <c r="AF178" i="3"/>
  <c r="M178" i="3"/>
  <c r="U178" i="3"/>
  <c r="V178" i="3"/>
  <c r="D178" i="3"/>
  <c r="F178" i="3"/>
  <c r="R178" i="3"/>
  <c r="G178" i="3"/>
  <c r="H178" i="3" s="1"/>
  <c r="AH177" i="3"/>
  <c r="AU176" i="3"/>
  <c r="Y177" i="3"/>
  <c r="Z177" i="3" s="1"/>
  <c r="BM177" i="3"/>
  <c r="BN177" i="3"/>
  <c r="AG177" i="3"/>
  <c r="AN177" i="3"/>
  <c r="BF174" i="3"/>
  <c r="BJ173" i="3" s="1"/>
  <c r="BK173" i="3" s="1"/>
  <c r="BQ174" i="3"/>
  <c r="BB174" i="3"/>
  <c r="AX176" i="3"/>
  <c r="BC175" i="3" l="1"/>
  <c r="BG175" i="3" s="1"/>
  <c r="BH175" i="3" s="1"/>
  <c r="BI175" i="3" s="1"/>
  <c r="BN178" i="3"/>
  <c r="BM178" i="3"/>
  <c r="BG174" i="3"/>
  <c r="BH174" i="3" s="1"/>
  <c r="BI174" i="3" s="1"/>
  <c r="AT177" i="3"/>
  <c r="AG178" i="3"/>
  <c r="AY176" i="3"/>
  <c r="AW177" i="3"/>
  <c r="AO178" i="3"/>
  <c r="BA176" i="3"/>
  <c r="BB176" i="3" s="1"/>
  <c r="AU177" i="3"/>
  <c r="AX177" i="3"/>
  <c r="Y178" i="3"/>
  <c r="Z178" i="3" s="1"/>
  <c r="BB175" i="3"/>
  <c r="BF175" i="3"/>
  <c r="BJ174" i="3" s="1"/>
  <c r="BQ175" i="3"/>
  <c r="AH178" i="3"/>
  <c r="X178" i="3"/>
  <c r="AN178" i="3"/>
  <c r="AV176" i="3"/>
  <c r="AQ179" i="3"/>
  <c r="B179" i="3"/>
  <c r="A180" i="3"/>
  <c r="AR179" i="3"/>
  <c r="D179" i="3"/>
  <c r="AM179" i="3"/>
  <c r="AK179" i="3"/>
  <c r="S179" i="3"/>
  <c r="Q179" i="3"/>
  <c r="C179" i="3"/>
  <c r="AD179" i="3"/>
  <c r="R179" i="3"/>
  <c r="P179" i="3"/>
  <c r="O179" i="3"/>
  <c r="M179" i="3"/>
  <c r="AE179" i="3"/>
  <c r="AF179" i="3"/>
  <c r="V179" i="3"/>
  <c r="U179" i="3"/>
  <c r="G179" i="3"/>
  <c r="H179" i="3" s="1"/>
  <c r="F179" i="3"/>
  <c r="T179" i="3"/>
  <c r="BD175" i="3" l="1"/>
  <c r="AV177" i="3"/>
  <c r="AY177" i="3"/>
  <c r="BK174" i="3"/>
  <c r="BM179" i="3"/>
  <c r="BC176" i="3"/>
  <c r="BG176" i="3" s="1"/>
  <c r="BH176" i="3" s="1"/>
  <c r="BI176" i="3" s="1"/>
  <c r="AW178" i="3"/>
  <c r="AO179" i="3"/>
  <c r="AT178" i="3"/>
  <c r="BQ176" i="3"/>
  <c r="BF176" i="3"/>
  <c r="BJ175" i="3" s="1"/>
  <c r="BK175" i="3" s="1"/>
  <c r="BA177" i="3"/>
  <c r="BF177" i="3" s="1"/>
  <c r="Y179" i="3"/>
  <c r="Z179" i="3" s="1"/>
  <c r="BN179" i="3"/>
  <c r="AG179" i="3"/>
  <c r="X179" i="3"/>
  <c r="AN179" i="3"/>
  <c r="AU178" i="3"/>
  <c r="A181" i="3"/>
  <c r="B180" i="3"/>
  <c r="AR180" i="3"/>
  <c r="AQ180" i="3"/>
  <c r="D180" i="3"/>
  <c r="S180" i="3"/>
  <c r="R180" i="3"/>
  <c r="AM180" i="3"/>
  <c r="AK180" i="3"/>
  <c r="Q180" i="3"/>
  <c r="P180" i="3"/>
  <c r="AD180" i="3"/>
  <c r="O180" i="3"/>
  <c r="AE180" i="3"/>
  <c r="AF180" i="3"/>
  <c r="M180" i="3"/>
  <c r="U180" i="3"/>
  <c r="V180" i="3"/>
  <c r="G180" i="3"/>
  <c r="H180" i="3" s="1"/>
  <c r="C180" i="3"/>
  <c r="F180" i="3"/>
  <c r="T180" i="3"/>
  <c r="AH179" i="3"/>
  <c r="AX178" i="3"/>
  <c r="BD176" i="3" l="1"/>
  <c r="BN180" i="3"/>
  <c r="BC177" i="3"/>
  <c r="BG177" i="3" s="1"/>
  <c r="BH177" i="3" s="1"/>
  <c r="BI177" i="3" s="1"/>
  <c r="AU179" i="3"/>
  <c r="AV178" i="3"/>
  <c r="AG180" i="3"/>
  <c r="AY178" i="3"/>
  <c r="AN180" i="3"/>
  <c r="BB177" i="3"/>
  <c r="BQ177" i="3"/>
  <c r="BJ176" i="3"/>
  <c r="BK176" i="3" s="1"/>
  <c r="Y180" i="3"/>
  <c r="Z180" i="3" s="1"/>
  <c r="AW179" i="3"/>
  <c r="AX179" i="3"/>
  <c r="X180" i="3"/>
  <c r="BM180" i="3"/>
  <c r="AR181" i="3"/>
  <c r="B181" i="3"/>
  <c r="AQ181" i="3"/>
  <c r="A182" i="3"/>
  <c r="D181" i="3"/>
  <c r="AM181" i="3"/>
  <c r="AK181" i="3"/>
  <c r="T181" i="3"/>
  <c r="P181" i="3"/>
  <c r="R181" i="3"/>
  <c r="Q181" i="3"/>
  <c r="AD181" i="3"/>
  <c r="O181" i="3"/>
  <c r="AE181" i="3"/>
  <c r="AF181" i="3"/>
  <c r="M181" i="3"/>
  <c r="U181" i="3"/>
  <c r="V181" i="3"/>
  <c r="C181" i="3"/>
  <c r="G181" i="3"/>
  <c r="H181" i="3" s="1"/>
  <c r="F181" i="3"/>
  <c r="S181" i="3"/>
  <c r="BA178" i="3"/>
  <c r="AO180" i="3"/>
  <c r="AH180" i="3"/>
  <c r="AT179" i="3"/>
  <c r="BD177" i="3" l="1"/>
  <c r="BM181" i="3"/>
  <c r="BC178" i="3"/>
  <c r="BD178" i="3" s="1"/>
  <c r="AT180" i="3"/>
  <c r="BN181" i="3"/>
  <c r="AG181" i="3"/>
  <c r="AN181" i="3"/>
  <c r="AX180" i="3"/>
  <c r="AW180" i="3"/>
  <c r="AU180" i="3"/>
  <c r="X181" i="3"/>
  <c r="AV179" i="3"/>
  <c r="BA179" i="3"/>
  <c r="Y181" i="3"/>
  <c r="Z181" i="3" s="1"/>
  <c r="AH181" i="3"/>
  <c r="AO181" i="3"/>
  <c r="AY179" i="3"/>
  <c r="BB178" i="3"/>
  <c r="BF178" i="3"/>
  <c r="BJ177" i="3" s="1"/>
  <c r="BK177" i="3" s="1"/>
  <c r="BQ178" i="3"/>
  <c r="AR182" i="3"/>
  <c r="B182" i="3"/>
  <c r="AQ182" i="3"/>
  <c r="A183" i="3"/>
  <c r="C182" i="3"/>
  <c r="AK182" i="3"/>
  <c r="AM182" i="3"/>
  <c r="Q182" i="3"/>
  <c r="R182" i="3"/>
  <c r="AD182" i="3"/>
  <c r="O182" i="3"/>
  <c r="M182" i="3"/>
  <c r="AE182" i="3"/>
  <c r="U182" i="3"/>
  <c r="P182" i="3"/>
  <c r="AF182" i="3"/>
  <c r="V182" i="3"/>
  <c r="D182" i="3"/>
  <c r="G182" i="3"/>
  <c r="H182" i="3" s="1"/>
  <c r="F182" i="3"/>
  <c r="T182" i="3"/>
  <c r="S182" i="3"/>
  <c r="BG178" i="3" l="1"/>
  <c r="BH178" i="3" s="1"/>
  <c r="BI178" i="3" s="1"/>
  <c r="AV180" i="3"/>
  <c r="AU181" i="3"/>
  <c r="BN182" i="3"/>
  <c r="BM182" i="3"/>
  <c r="BA180" i="3"/>
  <c r="BQ180" i="3" s="1"/>
  <c r="AY180" i="3"/>
  <c r="AX181" i="3"/>
  <c r="AN182" i="3"/>
  <c r="AW181" i="3"/>
  <c r="AG182" i="3"/>
  <c r="Y182" i="3"/>
  <c r="Z182" i="3" s="1"/>
  <c r="AQ183" i="3"/>
  <c r="B183" i="3"/>
  <c r="A184" i="3"/>
  <c r="AR183" i="3"/>
  <c r="D183" i="3"/>
  <c r="AM183" i="3"/>
  <c r="T183" i="3"/>
  <c r="AK183" i="3"/>
  <c r="R183" i="3"/>
  <c r="AD183" i="3"/>
  <c r="P183" i="3"/>
  <c r="O183" i="3"/>
  <c r="AE183" i="3"/>
  <c r="U183" i="3"/>
  <c r="V183" i="3"/>
  <c r="M183" i="3"/>
  <c r="AF183" i="3"/>
  <c r="C183" i="3"/>
  <c r="Q183" i="3"/>
  <c r="G183" i="3"/>
  <c r="H183" i="3" s="1"/>
  <c r="F183" i="3"/>
  <c r="S183" i="3"/>
  <c r="X182" i="3"/>
  <c r="AH182" i="3"/>
  <c r="AO182" i="3"/>
  <c r="AT181" i="3"/>
  <c r="BC179" i="3"/>
  <c r="BQ179" i="3"/>
  <c r="BF179" i="3"/>
  <c r="BJ178" i="3" s="1"/>
  <c r="BK178" i="3" s="1"/>
  <c r="BB179" i="3"/>
  <c r="BC180" i="3" l="1"/>
  <c r="BD180" i="3" s="1"/>
  <c r="AY181" i="3"/>
  <c r="AO183" i="3"/>
  <c r="BB180" i="3"/>
  <c r="BN183" i="3"/>
  <c r="BF180" i="3"/>
  <c r="BJ179" i="3" s="1"/>
  <c r="AT182" i="3"/>
  <c r="AX182" i="3"/>
  <c r="X183" i="3"/>
  <c r="AV181" i="3"/>
  <c r="BA181" i="3"/>
  <c r="BD179" i="3"/>
  <c r="BG179" i="3"/>
  <c r="BH179" i="3" s="1"/>
  <c r="BI179" i="3" s="1"/>
  <c r="Y183" i="3"/>
  <c r="Z183" i="3" s="1"/>
  <c r="A185" i="3"/>
  <c r="B184" i="3"/>
  <c r="AR184" i="3"/>
  <c r="AQ184" i="3"/>
  <c r="AM184" i="3"/>
  <c r="T184" i="3"/>
  <c r="AK184" i="3"/>
  <c r="S184" i="3"/>
  <c r="R184" i="3"/>
  <c r="Q184" i="3"/>
  <c r="AD184" i="3"/>
  <c r="P184" i="3"/>
  <c r="O184" i="3"/>
  <c r="AE184" i="3"/>
  <c r="AF184" i="3"/>
  <c r="V184" i="3"/>
  <c r="M184" i="3"/>
  <c r="U184" i="3"/>
  <c r="D184" i="3"/>
  <c r="G184" i="3"/>
  <c r="H184" i="3" s="1"/>
  <c r="C184" i="3"/>
  <c r="F184" i="3"/>
  <c r="AU182" i="3"/>
  <c r="AW182" i="3"/>
  <c r="BM183" i="3"/>
  <c r="AH183" i="3"/>
  <c r="AG183" i="3"/>
  <c r="AN183" i="3"/>
  <c r="BG180" i="3" l="1"/>
  <c r="BH180" i="3" s="1"/>
  <c r="BI180" i="3" s="1"/>
  <c r="AO184" i="3"/>
  <c r="BC181" i="3"/>
  <c r="BG181" i="3" s="1"/>
  <c r="BH181" i="3" s="1"/>
  <c r="BI181" i="3" s="1"/>
  <c r="BK179" i="3"/>
  <c r="BM184" i="3"/>
  <c r="BN184" i="3"/>
  <c r="AT183" i="3"/>
  <c r="AG184" i="3"/>
  <c r="AY182" i="3"/>
  <c r="AH184" i="3"/>
  <c r="BA182" i="3"/>
  <c r="BF182" i="3" s="1"/>
  <c r="Y184" i="3"/>
  <c r="Z184" i="3" s="1"/>
  <c r="AR185" i="3"/>
  <c r="B185" i="3"/>
  <c r="AQ185" i="3"/>
  <c r="A186" i="3"/>
  <c r="C185" i="3"/>
  <c r="D185" i="3"/>
  <c r="AK185" i="3"/>
  <c r="AM185" i="3"/>
  <c r="Q185" i="3"/>
  <c r="AD185" i="3"/>
  <c r="P185" i="3"/>
  <c r="T185" i="3"/>
  <c r="O185" i="3"/>
  <c r="M185" i="3"/>
  <c r="AE185" i="3"/>
  <c r="AF185" i="3"/>
  <c r="U185" i="3"/>
  <c r="V185" i="3"/>
  <c r="G185" i="3"/>
  <c r="H185" i="3" s="1"/>
  <c r="R185" i="3"/>
  <c r="F185" i="3"/>
  <c r="BM185" i="3" s="1"/>
  <c r="S185" i="3"/>
  <c r="AW183" i="3"/>
  <c r="X184" i="3"/>
  <c r="AN184" i="3"/>
  <c r="AV182" i="3"/>
  <c r="AU183" i="3"/>
  <c r="AX183" i="3"/>
  <c r="BB181" i="3"/>
  <c r="BQ181" i="3"/>
  <c r="BF181" i="3"/>
  <c r="BJ180" i="3" s="1"/>
  <c r="BD181" i="3" l="1"/>
  <c r="BK180" i="3"/>
  <c r="BC182" i="3"/>
  <c r="BD182" i="3" s="1"/>
  <c r="AT184" i="3"/>
  <c r="BN185" i="3"/>
  <c r="AW184" i="3"/>
  <c r="AU184" i="3"/>
  <c r="AO185" i="3"/>
  <c r="AX184" i="3"/>
  <c r="AG185" i="3"/>
  <c r="BB182" i="3"/>
  <c r="BQ182" i="3"/>
  <c r="BA183" i="3"/>
  <c r="BQ183" i="3" s="1"/>
  <c r="Y185" i="3"/>
  <c r="Z185" i="3" s="1"/>
  <c r="AR186" i="3"/>
  <c r="B186" i="3"/>
  <c r="AQ186" i="3"/>
  <c r="A187" i="3"/>
  <c r="AM186" i="3"/>
  <c r="S186" i="3"/>
  <c r="AK186" i="3"/>
  <c r="T186" i="3"/>
  <c r="Q186" i="3"/>
  <c r="R186" i="3"/>
  <c r="AD186" i="3"/>
  <c r="P186" i="3"/>
  <c r="O186" i="3"/>
  <c r="AE186" i="3"/>
  <c r="U186" i="3"/>
  <c r="AF186" i="3"/>
  <c r="M186" i="3"/>
  <c r="V186" i="3"/>
  <c r="D186" i="3"/>
  <c r="G186" i="3"/>
  <c r="H186" i="3" s="1"/>
  <c r="C186" i="3"/>
  <c r="F186" i="3"/>
  <c r="AY183" i="3"/>
  <c r="X185" i="3"/>
  <c r="AH185" i="3"/>
  <c r="AN185" i="3"/>
  <c r="BJ181" i="3"/>
  <c r="BK181" i="3" s="1"/>
  <c r="AV183" i="3"/>
  <c r="AO186" i="3" l="1"/>
  <c r="BG182" i="3"/>
  <c r="BH182" i="3" s="1"/>
  <c r="BI182" i="3" s="1"/>
  <c r="AV184" i="3"/>
  <c r="BA184" i="3"/>
  <c r="BQ184" i="3" s="1"/>
  <c r="AY184" i="3"/>
  <c r="AT185" i="3"/>
  <c r="AW185" i="3"/>
  <c r="BB183" i="3"/>
  <c r="BF183" i="3"/>
  <c r="BJ182" i="3" s="1"/>
  <c r="X186" i="3"/>
  <c r="AU185" i="3"/>
  <c r="AX185" i="3"/>
  <c r="AH186" i="3"/>
  <c r="AG186" i="3"/>
  <c r="AQ187" i="3"/>
  <c r="B187" i="3"/>
  <c r="A188" i="3"/>
  <c r="AR187" i="3"/>
  <c r="D187" i="3"/>
  <c r="AK187" i="3"/>
  <c r="AM187" i="3"/>
  <c r="R187" i="3"/>
  <c r="Q187" i="3"/>
  <c r="AD187" i="3"/>
  <c r="P187" i="3"/>
  <c r="O187" i="3"/>
  <c r="M187" i="3"/>
  <c r="V187" i="3"/>
  <c r="U187" i="3"/>
  <c r="AE187" i="3"/>
  <c r="AF187" i="3"/>
  <c r="C187" i="3"/>
  <c r="G187" i="3"/>
  <c r="H187" i="3" s="1"/>
  <c r="F187" i="3"/>
  <c r="T187" i="3"/>
  <c r="S187" i="3"/>
  <c r="BC183" i="3"/>
  <c r="BM186" i="3"/>
  <c r="BN186" i="3"/>
  <c r="Y186" i="3"/>
  <c r="Z186" i="3" s="1"/>
  <c r="AN186" i="3"/>
  <c r="BK182" i="3" l="1"/>
  <c r="BM187" i="3"/>
  <c r="BN187" i="3"/>
  <c r="BC184" i="3"/>
  <c r="BD184" i="3" s="1"/>
  <c r="BF184" i="3"/>
  <c r="BJ183" i="3" s="1"/>
  <c r="BB184" i="3"/>
  <c r="AN187" i="3"/>
  <c r="AV185" i="3"/>
  <c r="AY185" i="3"/>
  <c r="AU186" i="3"/>
  <c r="AT186" i="3"/>
  <c r="BD183" i="3"/>
  <c r="BG183" i="3"/>
  <c r="BH183" i="3" s="1"/>
  <c r="BI183" i="3" s="1"/>
  <c r="X187" i="3"/>
  <c r="AG187" i="3"/>
  <c r="AH187" i="3"/>
  <c r="AO187" i="3"/>
  <c r="AW186" i="3"/>
  <c r="BA185" i="3"/>
  <c r="Y187" i="3"/>
  <c r="Z187" i="3" s="1"/>
  <c r="A189" i="3"/>
  <c r="B188" i="3"/>
  <c r="AR188" i="3"/>
  <c r="AQ188" i="3"/>
  <c r="D188" i="3"/>
  <c r="AK188" i="3"/>
  <c r="T188" i="3"/>
  <c r="Q188" i="3"/>
  <c r="AM188" i="3"/>
  <c r="S188" i="3"/>
  <c r="AD188" i="3"/>
  <c r="O188" i="3"/>
  <c r="P188" i="3"/>
  <c r="AE188" i="3"/>
  <c r="AF188" i="3"/>
  <c r="V188" i="3"/>
  <c r="U188" i="3"/>
  <c r="M188" i="3"/>
  <c r="C188" i="3"/>
  <c r="F188" i="3"/>
  <c r="R188" i="3"/>
  <c r="G188" i="3"/>
  <c r="H188" i="3" s="1"/>
  <c r="AX186" i="3"/>
  <c r="BG184" i="3" l="1"/>
  <c r="BH184" i="3" s="1"/>
  <c r="BI184" i="3" s="1"/>
  <c r="BK183" i="3"/>
  <c r="AN188" i="3"/>
  <c r="BC185" i="3"/>
  <c r="BD185" i="3" s="1"/>
  <c r="AV186" i="3"/>
  <c r="AU187" i="3"/>
  <c r="AT187" i="3"/>
  <c r="X188" i="3"/>
  <c r="AR189" i="3"/>
  <c r="B189" i="3"/>
  <c r="AQ189" i="3"/>
  <c r="A190" i="3"/>
  <c r="Q189" i="3"/>
  <c r="D189" i="3"/>
  <c r="AK189" i="3"/>
  <c r="AM189" i="3"/>
  <c r="R189" i="3"/>
  <c r="AD189" i="3"/>
  <c r="P189" i="3"/>
  <c r="M189" i="3"/>
  <c r="V189" i="3"/>
  <c r="O189" i="3"/>
  <c r="AE189" i="3"/>
  <c r="AF189" i="3"/>
  <c r="U189" i="3"/>
  <c r="F189" i="3"/>
  <c r="C189" i="3"/>
  <c r="G189" i="3"/>
  <c r="H189" i="3" s="1"/>
  <c r="T189" i="3"/>
  <c r="S189" i="3"/>
  <c r="BQ185" i="3"/>
  <c r="BB185" i="3"/>
  <c r="BF185" i="3"/>
  <c r="BJ184" i="3" s="1"/>
  <c r="BK184" i="3" s="1"/>
  <c r="AH188" i="3"/>
  <c r="BN188" i="3"/>
  <c r="BM188" i="3"/>
  <c r="AG188" i="3"/>
  <c r="AO188" i="3"/>
  <c r="AX187" i="3"/>
  <c r="Y188" i="3"/>
  <c r="Z188" i="3" s="1"/>
  <c r="AY186" i="3"/>
  <c r="AW187" i="3"/>
  <c r="BA186" i="3"/>
  <c r="BN189" i="3" l="1"/>
  <c r="BG185" i="3"/>
  <c r="BH185" i="3" s="1"/>
  <c r="BI185" i="3" s="1"/>
  <c r="BC186" i="3"/>
  <c r="BD186" i="3" s="1"/>
  <c r="AO189" i="3"/>
  <c r="AV187" i="3"/>
  <c r="AU188" i="3"/>
  <c r="AW188" i="3"/>
  <c r="AG189" i="3"/>
  <c r="AT188" i="3"/>
  <c r="X189" i="3"/>
  <c r="BA187" i="3"/>
  <c r="BF187" i="3" s="1"/>
  <c r="BQ186" i="3"/>
  <c r="BB186" i="3"/>
  <c r="BF186" i="3"/>
  <c r="AY187" i="3"/>
  <c r="Y189" i="3"/>
  <c r="Z189" i="3" s="1"/>
  <c r="AR190" i="3"/>
  <c r="B190" i="3"/>
  <c r="AQ190" i="3"/>
  <c r="A191" i="3"/>
  <c r="D190" i="3"/>
  <c r="C190" i="3"/>
  <c r="AM190" i="3"/>
  <c r="S190" i="3"/>
  <c r="R190" i="3"/>
  <c r="AK190" i="3"/>
  <c r="Q190" i="3"/>
  <c r="P190" i="3"/>
  <c r="AD190" i="3"/>
  <c r="O190" i="3"/>
  <c r="AE190" i="3"/>
  <c r="M190" i="3"/>
  <c r="AF190" i="3"/>
  <c r="U190" i="3"/>
  <c r="V190" i="3"/>
  <c r="G190" i="3"/>
  <c r="H190" i="3" s="1"/>
  <c r="F190" i="3"/>
  <c r="T190" i="3"/>
  <c r="AX188" i="3"/>
  <c r="BM189" i="3"/>
  <c r="AH189" i="3"/>
  <c r="AN189" i="3"/>
  <c r="BC187" i="3" l="1"/>
  <c r="BD187" i="3" s="1"/>
  <c r="BG186" i="3"/>
  <c r="BH186" i="3" s="1"/>
  <c r="BI186" i="3" s="1"/>
  <c r="BN190" i="3"/>
  <c r="AV188" i="3"/>
  <c r="BA188" i="3"/>
  <c r="BQ188" i="3" s="1"/>
  <c r="BB187" i="3"/>
  <c r="AO190" i="3"/>
  <c r="BQ187" i="3"/>
  <c r="AX189" i="3"/>
  <c r="AY188" i="3"/>
  <c r="BM190" i="3"/>
  <c r="AG190" i="3"/>
  <c r="AH190" i="3"/>
  <c r="AN190" i="3"/>
  <c r="AU189" i="3"/>
  <c r="AQ191" i="3"/>
  <c r="B191" i="3"/>
  <c r="A192" i="3"/>
  <c r="AR191" i="3"/>
  <c r="AM191" i="3"/>
  <c r="Q191" i="3"/>
  <c r="C191" i="3"/>
  <c r="AK191" i="3"/>
  <c r="AD191" i="3"/>
  <c r="O191" i="3"/>
  <c r="S191" i="3"/>
  <c r="P191" i="3"/>
  <c r="AE191" i="3"/>
  <c r="AF191" i="3"/>
  <c r="V191" i="3"/>
  <c r="M191" i="3"/>
  <c r="U191" i="3"/>
  <c r="F191" i="3"/>
  <c r="R191" i="3"/>
  <c r="D191" i="3"/>
  <c r="G191" i="3"/>
  <c r="H191" i="3" s="1"/>
  <c r="T191" i="3"/>
  <c r="BJ186" i="3"/>
  <c r="BK186" i="3" s="1"/>
  <c r="BJ185" i="3"/>
  <c r="BK185" i="3" s="1"/>
  <c r="Y190" i="3"/>
  <c r="Z190" i="3" s="1"/>
  <c r="X190" i="3"/>
  <c r="AT189" i="3"/>
  <c r="AW189" i="3"/>
  <c r="BG187" i="3" l="1"/>
  <c r="BH187" i="3" s="1"/>
  <c r="BI187" i="3" s="1"/>
  <c r="AO191" i="3"/>
  <c r="BM191" i="3"/>
  <c r="BB188" i="3"/>
  <c r="BF188" i="3"/>
  <c r="BJ187" i="3" s="1"/>
  <c r="BK187" i="3" s="1"/>
  <c r="BC188" i="3"/>
  <c r="BG188" i="3" s="1"/>
  <c r="BH188" i="3" s="1"/>
  <c r="BI188" i="3" s="1"/>
  <c r="AY189" i="3"/>
  <c r="AT190" i="3"/>
  <c r="AU190" i="3"/>
  <c r="Y191" i="3"/>
  <c r="Z191" i="3" s="1"/>
  <c r="A193" i="3"/>
  <c r="B192" i="3"/>
  <c r="AR192" i="3"/>
  <c r="AQ192" i="3"/>
  <c r="D192" i="3"/>
  <c r="C192" i="3"/>
  <c r="AM192" i="3"/>
  <c r="AK192" i="3"/>
  <c r="R192" i="3"/>
  <c r="AD192" i="3"/>
  <c r="Q192" i="3"/>
  <c r="P192" i="3"/>
  <c r="O192" i="3"/>
  <c r="V192" i="3"/>
  <c r="AE192" i="3"/>
  <c r="M192" i="3"/>
  <c r="AF192" i="3"/>
  <c r="U192" i="3"/>
  <c r="G192" i="3"/>
  <c r="H192" i="3" s="1"/>
  <c r="F192" i="3"/>
  <c r="S192" i="3"/>
  <c r="T192" i="3"/>
  <c r="BN191" i="3"/>
  <c r="AG191" i="3"/>
  <c r="AH191" i="3"/>
  <c r="X191" i="3"/>
  <c r="AN191" i="3"/>
  <c r="AX190" i="3"/>
  <c r="BA189" i="3"/>
  <c r="AV189" i="3"/>
  <c r="AW190" i="3"/>
  <c r="BM192" i="3" l="1"/>
  <c r="BN192" i="3"/>
  <c r="BC189" i="3"/>
  <c r="BG189" i="3" s="1"/>
  <c r="BH189" i="3" s="1"/>
  <c r="BI189" i="3" s="1"/>
  <c r="BD188" i="3"/>
  <c r="AV190" i="3"/>
  <c r="AW191" i="3"/>
  <c r="AO192" i="3"/>
  <c r="AH192" i="3"/>
  <c r="AY190" i="3"/>
  <c r="Y192" i="3"/>
  <c r="Z192" i="3" s="1"/>
  <c r="AR193" i="3"/>
  <c r="B193" i="3"/>
  <c r="AQ193" i="3"/>
  <c r="A194" i="3"/>
  <c r="AK193" i="3"/>
  <c r="T193" i="3"/>
  <c r="Q193" i="3"/>
  <c r="AM193" i="3"/>
  <c r="C193" i="3"/>
  <c r="S193" i="3"/>
  <c r="R193" i="3"/>
  <c r="AD193" i="3"/>
  <c r="P193" i="3"/>
  <c r="M193" i="3"/>
  <c r="O193" i="3"/>
  <c r="AF193" i="3"/>
  <c r="AE193" i="3"/>
  <c r="V193" i="3"/>
  <c r="U193" i="3"/>
  <c r="D193" i="3"/>
  <c r="F193" i="3"/>
  <c r="G193" i="3"/>
  <c r="H193" i="3" s="1"/>
  <c r="AT191" i="3"/>
  <c r="AX191" i="3"/>
  <c r="X192" i="3"/>
  <c r="AG192" i="3"/>
  <c r="AN192" i="3"/>
  <c r="BA190" i="3"/>
  <c r="BB189" i="3"/>
  <c r="BQ189" i="3"/>
  <c r="BF189" i="3"/>
  <c r="BJ188" i="3" s="1"/>
  <c r="BK188" i="3" s="1"/>
  <c r="AU191" i="3"/>
  <c r="BM193" i="3" l="1"/>
  <c r="BD189" i="3"/>
  <c r="BN193" i="3"/>
  <c r="AT192" i="3"/>
  <c r="AY191" i="3"/>
  <c r="BC190" i="3"/>
  <c r="BD190" i="3" s="1"/>
  <c r="AN193" i="3"/>
  <c r="AX192" i="3"/>
  <c r="AU192" i="3"/>
  <c r="BA191" i="3"/>
  <c r="AV191" i="3"/>
  <c r="Y193" i="3"/>
  <c r="Z193" i="3" s="1"/>
  <c r="AR194" i="3"/>
  <c r="B194" i="3"/>
  <c r="AQ194" i="3"/>
  <c r="A195" i="3"/>
  <c r="C194" i="3"/>
  <c r="AK194" i="3"/>
  <c r="S194" i="3"/>
  <c r="AM194" i="3"/>
  <c r="R194" i="3"/>
  <c r="Q194" i="3"/>
  <c r="AD194" i="3"/>
  <c r="P194" i="3"/>
  <c r="AE194" i="3"/>
  <c r="V194" i="3"/>
  <c r="O194" i="3"/>
  <c r="M194" i="3"/>
  <c r="AF194" i="3"/>
  <c r="U194" i="3"/>
  <c r="G194" i="3"/>
  <c r="H194" i="3" s="1"/>
  <c r="F194" i="3"/>
  <c r="D194" i="3"/>
  <c r="T194" i="3"/>
  <c r="BB190" i="3"/>
  <c r="BQ190" i="3"/>
  <c r="BF190" i="3"/>
  <c r="BJ189" i="3" s="1"/>
  <c r="BK189" i="3" s="1"/>
  <c r="AH193" i="3"/>
  <c r="AW192" i="3"/>
  <c r="AG193" i="3"/>
  <c r="X193" i="3"/>
  <c r="AO193" i="3"/>
  <c r="AN194" i="3" l="1"/>
  <c r="BC191" i="3"/>
  <c r="BG191" i="3" s="1"/>
  <c r="BH191" i="3" s="1"/>
  <c r="BI191" i="3" s="1"/>
  <c r="AY192" i="3"/>
  <c r="BG190" i="3"/>
  <c r="BH190" i="3" s="1"/>
  <c r="BI190" i="3" s="1"/>
  <c r="AV192" i="3"/>
  <c r="BN194" i="3"/>
  <c r="AU193" i="3"/>
  <c r="AT193" i="3"/>
  <c r="BQ191" i="3"/>
  <c r="BF191" i="3"/>
  <c r="BJ190" i="3" s="1"/>
  <c r="BB191" i="3"/>
  <c r="AH194" i="3"/>
  <c r="X194" i="3"/>
  <c r="AQ195" i="3"/>
  <c r="B195" i="3"/>
  <c r="A196" i="3"/>
  <c r="AR195" i="3"/>
  <c r="AM195" i="3"/>
  <c r="D195" i="3"/>
  <c r="AK195" i="3"/>
  <c r="R195" i="3"/>
  <c r="T195" i="3"/>
  <c r="P195" i="3"/>
  <c r="S195" i="3"/>
  <c r="Q195" i="3"/>
  <c r="AD195" i="3"/>
  <c r="AE195" i="3"/>
  <c r="O195" i="3"/>
  <c r="M195" i="3"/>
  <c r="AF195" i="3"/>
  <c r="V195" i="3"/>
  <c r="U195" i="3"/>
  <c r="G195" i="3"/>
  <c r="H195" i="3" s="1"/>
  <c r="C195" i="3"/>
  <c r="F195" i="3"/>
  <c r="AG194" i="3"/>
  <c r="AW193" i="3"/>
  <c r="AX193" i="3"/>
  <c r="BA192" i="3"/>
  <c r="Y194" i="3"/>
  <c r="Z194" i="3" s="1"/>
  <c r="BM194" i="3"/>
  <c r="AO194" i="3"/>
  <c r="BK190" i="3" l="1"/>
  <c r="BN195" i="3"/>
  <c r="BD191" i="3"/>
  <c r="BC192" i="3"/>
  <c r="BD192" i="3" s="1"/>
  <c r="AO195" i="3"/>
  <c r="AV193" i="3"/>
  <c r="BM195" i="3"/>
  <c r="AU194" i="3"/>
  <c r="AX194" i="3"/>
  <c r="AG195" i="3"/>
  <c r="AY193" i="3"/>
  <c r="BQ192" i="3"/>
  <c r="BF192" i="3"/>
  <c r="BJ191" i="3" s="1"/>
  <c r="BK191" i="3" s="1"/>
  <c r="BB192" i="3"/>
  <c r="Y195" i="3"/>
  <c r="Z195" i="3" s="1"/>
  <c r="AT194" i="3"/>
  <c r="AW194" i="3"/>
  <c r="A197" i="3"/>
  <c r="B196" i="3"/>
  <c r="AR196" i="3"/>
  <c r="AQ196" i="3"/>
  <c r="S196" i="3"/>
  <c r="AM196" i="3"/>
  <c r="AK196" i="3"/>
  <c r="T196" i="3"/>
  <c r="R196" i="3"/>
  <c r="AD196" i="3"/>
  <c r="Q196" i="3"/>
  <c r="P196" i="3"/>
  <c r="M196" i="3"/>
  <c r="V196" i="3"/>
  <c r="U196" i="3"/>
  <c r="O196" i="3"/>
  <c r="AF196" i="3"/>
  <c r="AE196" i="3"/>
  <c r="C196" i="3"/>
  <c r="D196" i="3"/>
  <c r="G196" i="3"/>
  <c r="H196" i="3" s="1"/>
  <c r="F196" i="3"/>
  <c r="BA193" i="3"/>
  <c r="X195" i="3"/>
  <c r="AH195" i="3"/>
  <c r="AN195" i="3"/>
  <c r="BG192" i="3" l="1"/>
  <c r="BH192" i="3" s="1"/>
  <c r="BI192" i="3" s="1"/>
  <c r="AG196" i="3"/>
  <c r="BC193" i="3"/>
  <c r="BD193" i="3" s="1"/>
  <c r="BM196" i="3"/>
  <c r="AY194" i="3"/>
  <c r="AN196" i="3"/>
  <c r="Y196" i="3"/>
  <c r="Z196" i="3" s="1"/>
  <c r="AH196" i="3"/>
  <c r="AU195" i="3"/>
  <c r="AX195" i="3"/>
  <c r="BF193" i="3"/>
  <c r="BJ192" i="3" s="1"/>
  <c r="BB193" i="3"/>
  <c r="BQ193" i="3"/>
  <c r="AR197" i="3"/>
  <c r="B197" i="3"/>
  <c r="AQ197" i="3"/>
  <c r="A198" i="3"/>
  <c r="C197" i="3"/>
  <c r="D197" i="3"/>
  <c r="AM197" i="3"/>
  <c r="R197" i="3"/>
  <c r="AK197" i="3"/>
  <c r="Q197" i="3"/>
  <c r="AD197" i="3"/>
  <c r="P197" i="3"/>
  <c r="AE197" i="3"/>
  <c r="V197" i="3"/>
  <c r="O197" i="3"/>
  <c r="M197" i="3"/>
  <c r="AF197" i="3"/>
  <c r="U197" i="3"/>
  <c r="G197" i="3"/>
  <c r="H197" i="3" s="1"/>
  <c r="F197" i="3"/>
  <c r="T197" i="3"/>
  <c r="S197" i="3"/>
  <c r="AV194" i="3"/>
  <c r="BA194" i="3"/>
  <c r="AT195" i="3"/>
  <c r="AW195" i="3"/>
  <c r="BN196" i="3"/>
  <c r="X196" i="3"/>
  <c r="AO196" i="3"/>
  <c r="BK192" i="3" l="1"/>
  <c r="AO197" i="3"/>
  <c r="BC194" i="3"/>
  <c r="BD194" i="3" s="1"/>
  <c r="BG193" i="3"/>
  <c r="BH193" i="3" s="1"/>
  <c r="BI193" i="3" s="1"/>
  <c r="AU196" i="3"/>
  <c r="BN197" i="3"/>
  <c r="AT196" i="3"/>
  <c r="AW196" i="3"/>
  <c r="Y197" i="3"/>
  <c r="Z197" i="3" s="1"/>
  <c r="AV195" i="3"/>
  <c r="BA195" i="3"/>
  <c r="BB194" i="3"/>
  <c r="BQ194" i="3"/>
  <c r="BF194" i="3"/>
  <c r="BJ193" i="3" s="1"/>
  <c r="AR198" i="3"/>
  <c r="B198" i="3"/>
  <c r="AQ198" i="3"/>
  <c r="A199" i="3"/>
  <c r="C198" i="3"/>
  <c r="AK198" i="3"/>
  <c r="AM198" i="3"/>
  <c r="T198" i="3"/>
  <c r="Q198" i="3"/>
  <c r="R198" i="3"/>
  <c r="AD198" i="3"/>
  <c r="P198" i="3"/>
  <c r="O198" i="3"/>
  <c r="M198" i="3"/>
  <c r="AE198" i="3"/>
  <c r="AF198" i="3"/>
  <c r="V198" i="3"/>
  <c r="U198" i="3"/>
  <c r="D198" i="3"/>
  <c r="G198" i="3"/>
  <c r="H198" i="3" s="1"/>
  <c r="F198" i="3"/>
  <c r="S198" i="3"/>
  <c r="AG197" i="3"/>
  <c r="AH197" i="3"/>
  <c r="AN197" i="3"/>
  <c r="AY195" i="3"/>
  <c r="X197" i="3"/>
  <c r="BM197" i="3"/>
  <c r="AX196" i="3"/>
  <c r="BK193" i="3" l="1"/>
  <c r="BM198" i="3"/>
  <c r="BG194" i="3"/>
  <c r="BH194" i="3" s="1"/>
  <c r="BI194" i="3" s="1"/>
  <c r="AV196" i="3"/>
  <c r="BN198" i="3"/>
  <c r="BA196" i="3"/>
  <c r="BF196" i="3" s="1"/>
  <c r="AX197" i="3"/>
  <c r="AH198" i="3"/>
  <c r="X198" i="3"/>
  <c r="Y198" i="3"/>
  <c r="Z198" i="3" s="1"/>
  <c r="BF195" i="3"/>
  <c r="BJ194" i="3" s="1"/>
  <c r="BK194" i="3" s="1"/>
  <c r="BB195" i="3"/>
  <c r="BQ195" i="3"/>
  <c r="AU197" i="3"/>
  <c r="AT197" i="3"/>
  <c r="AW197" i="3"/>
  <c r="AG198" i="3"/>
  <c r="AY196" i="3"/>
  <c r="AN198" i="3"/>
  <c r="AO198" i="3"/>
  <c r="AQ199" i="3"/>
  <c r="B199" i="3"/>
  <c r="A200" i="3"/>
  <c r="AR199" i="3"/>
  <c r="D199" i="3"/>
  <c r="AM199" i="3"/>
  <c r="C199" i="3"/>
  <c r="AK199" i="3"/>
  <c r="R199" i="3"/>
  <c r="P199" i="3"/>
  <c r="S199" i="3"/>
  <c r="AD199" i="3"/>
  <c r="O199" i="3"/>
  <c r="AF199" i="3"/>
  <c r="M199" i="3"/>
  <c r="AE199" i="3"/>
  <c r="V199" i="3"/>
  <c r="U199" i="3"/>
  <c r="Q199" i="3"/>
  <c r="G199" i="3"/>
  <c r="H199" i="3" s="1"/>
  <c r="F199" i="3"/>
  <c r="T199" i="3"/>
  <c r="BC195" i="3"/>
  <c r="BM199" i="3" l="1"/>
  <c r="BC196" i="3"/>
  <c r="BD196" i="3" s="1"/>
  <c r="AG199" i="3"/>
  <c r="AO199" i="3"/>
  <c r="BN199" i="3"/>
  <c r="AY197" i="3"/>
  <c r="BQ196" i="3"/>
  <c r="AU198" i="3"/>
  <c r="BB196" i="3"/>
  <c r="AT198" i="3"/>
  <c r="AX198" i="3"/>
  <c r="Y199" i="3"/>
  <c r="Z199" i="3" s="1"/>
  <c r="BD195" i="3"/>
  <c r="BG195" i="3"/>
  <c r="BH195" i="3" s="1"/>
  <c r="BI195" i="3" s="1"/>
  <c r="A201" i="3"/>
  <c r="B200" i="3"/>
  <c r="AR200" i="3"/>
  <c r="AQ200" i="3"/>
  <c r="AM200" i="3"/>
  <c r="S200" i="3"/>
  <c r="R200" i="3"/>
  <c r="AK200" i="3"/>
  <c r="Q200" i="3"/>
  <c r="P200" i="3"/>
  <c r="AD200" i="3"/>
  <c r="O200" i="3"/>
  <c r="M200" i="3"/>
  <c r="AE200" i="3"/>
  <c r="U200" i="3"/>
  <c r="AF200" i="3"/>
  <c r="V200" i="3"/>
  <c r="C200" i="3"/>
  <c r="D200" i="3"/>
  <c r="F200" i="3"/>
  <c r="G200" i="3"/>
  <c r="H200" i="3" s="1"/>
  <c r="T200" i="3"/>
  <c r="BA197" i="3"/>
  <c r="AV197" i="3"/>
  <c r="X199" i="3"/>
  <c r="AW198" i="3"/>
  <c r="AH199" i="3"/>
  <c r="AN199" i="3"/>
  <c r="BJ195" i="3"/>
  <c r="BC197" i="3" l="1"/>
  <c r="BD197" i="3" s="1"/>
  <c r="BM200" i="3"/>
  <c r="BG196" i="3"/>
  <c r="BH196" i="3" s="1"/>
  <c r="BI196" i="3" s="1"/>
  <c r="AU199" i="3"/>
  <c r="BK195" i="3"/>
  <c r="AV198" i="3"/>
  <c r="BN200" i="3"/>
  <c r="AO200" i="3"/>
  <c r="AY198" i="3"/>
  <c r="AG200" i="3"/>
  <c r="AW199" i="3"/>
  <c r="Y200" i="3"/>
  <c r="Z200" i="3" s="1"/>
  <c r="BQ197" i="3"/>
  <c r="BF197" i="3"/>
  <c r="BJ196" i="3" s="1"/>
  <c r="BB197" i="3"/>
  <c r="AR201" i="3"/>
  <c r="B201" i="3"/>
  <c r="AQ201" i="3"/>
  <c r="A202" i="3"/>
  <c r="D201" i="3"/>
  <c r="AM201" i="3"/>
  <c r="AK201" i="3"/>
  <c r="S201" i="3"/>
  <c r="Q201" i="3"/>
  <c r="AD201" i="3"/>
  <c r="R201" i="3"/>
  <c r="P201" i="3"/>
  <c r="O201" i="3"/>
  <c r="AE201" i="3"/>
  <c r="M201" i="3"/>
  <c r="V201" i="3"/>
  <c r="U201" i="3"/>
  <c r="AF201" i="3"/>
  <c r="C201" i="3"/>
  <c r="F201" i="3"/>
  <c r="G201" i="3"/>
  <c r="H201" i="3" s="1"/>
  <c r="T201" i="3"/>
  <c r="AX199" i="3"/>
  <c r="AT199" i="3"/>
  <c r="BA198" i="3"/>
  <c r="AH200" i="3"/>
  <c r="AN200" i="3"/>
  <c r="X200" i="3"/>
  <c r="BN201" i="3" l="1"/>
  <c r="BG197" i="3"/>
  <c r="BH197" i="3" s="1"/>
  <c r="BI197" i="3" s="1"/>
  <c r="BK196" i="3"/>
  <c r="AY199" i="3"/>
  <c r="BC198" i="3"/>
  <c r="BD198" i="3" s="1"/>
  <c r="AX200" i="3"/>
  <c r="BM201" i="3"/>
  <c r="AN201" i="3"/>
  <c r="AU200" i="3"/>
  <c r="Y201" i="3"/>
  <c r="Z201" i="3" s="1"/>
  <c r="BQ198" i="3"/>
  <c r="BF198" i="3"/>
  <c r="BJ197" i="3" s="1"/>
  <c r="BK197" i="3" s="1"/>
  <c r="BB198" i="3"/>
  <c r="AV199" i="3"/>
  <c r="BA199" i="3"/>
  <c r="AT200" i="3"/>
  <c r="AG201" i="3"/>
  <c r="AW200" i="3"/>
  <c r="X201" i="3"/>
  <c r="AO201" i="3"/>
  <c r="AR202" i="3"/>
  <c r="B202" i="3"/>
  <c r="AQ202" i="3"/>
  <c r="A203" i="3"/>
  <c r="AM202" i="3"/>
  <c r="R202" i="3"/>
  <c r="D202" i="3"/>
  <c r="AK202" i="3"/>
  <c r="AD202" i="3"/>
  <c r="Q202" i="3"/>
  <c r="P202" i="3"/>
  <c r="M202" i="3"/>
  <c r="AF202" i="3"/>
  <c r="AE202" i="3"/>
  <c r="V202" i="3"/>
  <c r="O202" i="3"/>
  <c r="U202" i="3"/>
  <c r="C202" i="3"/>
  <c r="G202" i="3"/>
  <c r="H202" i="3" s="1"/>
  <c r="F202" i="3"/>
  <c r="S202" i="3"/>
  <c r="T202" i="3"/>
  <c r="AH201" i="3"/>
  <c r="BN202" i="3" l="1"/>
  <c r="BM202" i="3"/>
  <c r="BC199" i="3"/>
  <c r="BD199" i="3" s="1"/>
  <c r="AV200" i="3"/>
  <c r="BG198" i="3"/>
  <c r="BH198" i="3" s="1"/>
  <c r="BI198" i="3" s="1"/>
  <c r="AU201" i="3"/>
  <c r="AY200" i="3"/>
  <c r="AN202" i="3"/>
  <c r="X202" i="3"/>
  <c r="AQ203" i="3"/>
  <c r="B203" i="3"/>
  <c r="A204" i="3"/>
  <c r="AR203" i="3"/>
  <c r="AK203" i="3"/>
  <c r="T203" i="3"/>
  <c r="S203" i="3"/>
  <c r="R203" i="3"/>
  <c r="AM203" i="3"/>
  <c r="Q203" i="3"/>
  <c r="O203" i="3"/>
  <c r="AD203" i="3"/>
  <c r="AE203" i="3"/>
  <c r="AF203" i="3"/>
  <c r="U203" i="3"/>
  <c r="M203" i="3"/>
  <c r="V203" i="3"/>
  <c r="G203" i="3"/>
  <c r="H203" i="3" s="1"/>
  <c r="D203" i="3"/>
  <c r="C203" i="3"/>
  <c r="F203" i="3"/>
  <c r="P203" i="3"/>
  <c r="BB199" i="3"/>
  <c r="BQ199" i="3"/>
  <c r="BF199" i="3"/>
  <c r="BJ198" i="3" s="1"/>
  <c r="AH202" i="3"/>
  <c r="AX201" i="3"/>
  <c r="Y202" i="3"/>
  <c r="Z202" i="3" s="1"/>
  <c r="AG202" i="3"/>
  <c r="AO202" i="3"/>
  <c r="AT201" i="3"/>
  <c r="AW201" i="3"/>
  <c r="BA200" i="3"/>
  <c r="BG199" i="3" l="1"/>
  <c r="BH199" i="3" s="1"/>
  <c r="BI199" i="3" s="1"/>
  <c r="BK198" i="3"/>
  <c r="BC200" i="3"/>
  <c r="BG200" i="3" s="1"/>
  <c r="BH200" i="3" s="1"/>
  <c r="BI200" i="3" s="1"/>
  <c r="AN203" i="3"/>
  <c r="BN203" i="3"/>
  <c r="AT202" i="3"/>
  <c r="AU202" i="3"/>
  <c r="AW202" i="3"/>
  <c r="Y203" i="3"/>
  <c r="Z203" i="3" s="1"/>
  <c r="X203" i="3"/>
  <c r="AY201" i="3"/>
  <c r="BB200" i="3"/>
  <c r="BF200" i="3"/>
  <c r="BJ199" i="3" s="1"/>
  <c r="BK199" i="3" s="1"/>
  <c r="BQ200" i="3"/>
  <c r="AV201" i="3"/>
  <c r="BA201" i="3"/>
  <c r="A205" i="3"/>
  <c r="B204" i="3"/>
  <c r="AR204" i="3"/>
  <c r="AQ204" i="3"/>
  <c r="C204" i="3"/>
  <c r="D204" i="3"/>
  <c r="AK204" i="3"/>
  <c r="AM204" i="3"/>
  <c r="S204" i="3"/>
  <c r="R204" i="3"/>
  <c r="AD204" i="3"/>
  <c r="O204" i="3"/>
  <c r="P204" i="3"/>
  <c r="M204" i="3"/>
  <c r="AF204" i="3"/>
  <c r="AE204" i="3"/>
  <c r="V204" i="3"/>
  <c r="U204" i="3"/>
  <c r="Q204" i="3"/>
  <c r="F204" i="3"/>
  <c r="G204" i="3"/>
  <c r="H204" i="3" s="1"/>
  <c r="T204" i="3"/>
  <c r="BM203" i="3"/>
  <c r="AG203" i="3"/>
  <c r="AO203" i="3"/>
  <c r="AX202" i="3"/>
  <c r="AH203" i="3"/>
  <c r="BD200" i="3" l="1"/>
  <c r="BM204" i="3"/>
  <c r="AN204" i="3"/>
  <c r="AV202" i="3"/>
  <c r="BN204" i="3"/>
  <c r="AY202" i="3"/>
  <c r="AG204" i="3"/>
  <c r="BC201" i="3"/>
  <c r="BG201" i="3" s="1"/>
  <c r="BH201" i="3" s="1"/>
  <c r="BI201" i="3" s="1"/>
  <c r="AX203" i="3"/>
  <c r="Y204" i="3"/>
  <c r="Z204" i="3" s="1"/>
  <c r="BB201" i="3"/>
  <c r="BF201" i="3"/>
  <c r="BJ200" i="3" s="1"/>
  <c r="BK200" i="3" s="1"/>
  <c r="BQ201" i="3"/>
  <c r="AW203" i="3"/>
  <c r="BA202" i="3"/>
  <c r="AR205" i="3"/>
  <c r="B205" i="3"/>
  <c r="AQ205" i="3"/>
  <c r="A206" i="3"/>
  <c r="D205" i="3"/>
  <c r="AK205" i="3"/>
  <c r="AM205" i="3"/>
  <c r="T205" i="3"/>
  <c r="Q205" i="3"/>
  <c r="R205" i="3"/>
  <c r="P205" i="3"/>
  <c r="AD205" i="3"/>
  <c r="O205" i="3"/>
  <c r="AE205" i="3"/>
  <c r="M205" i="3"/>
  <c r="U205" i="3"/>
  <c r="AF205" i="3"/>
  <c r="V205" i="3"/>
  <c r="F205" i="3"/>
  <c r="C205" i="3"/>
  <c r="G205" i="3"/>
  <c r="H205" i="3" s="1"/>
  <c r="S205" i="3"/>
  <c r="AU203" i="3"/>
  <c r="AT203" i="3"/>
  <c r="AH204" i="3"/>
  <c r="AO204" i="3"/>
  <c r="X204" i="3"/>
  <c r="BN205" i="3" l="1"/>
  <c r="BC202" i="3"/>
  <c r="BG202" i="3" s="1"/>
  <c r="BH202" i="3" s="1"/>
  <c r="BI202" i="3" s="1"/>
  <c r="AO205" i="3"/>
  <c r="BD201" i="3"/>
  <c r="AG205" i="3"/>
  <c r="AT204" i="3"/>
  <c r="AY203" i="3"/>
  <c r="X205" i="3"/>
  <c r="AV203" i="3"/>
  <c r="BA203" i="3"/>
  <c r="Y205" i="3"/>
  <c r="Z205" i="3" s="1"/>
  <c r="AH205" i="3"/>
  <c r="AX204" i="3"/>
  <c r="BM205" i="3"/>
  <c r="AN205" i="3"/>
  <c r="AU204" i="3"/>
  <c r="AW204" i="3"/>
  <c r="AR206" i="3"/>
  <c r="B206" i="3"/>
  <c r="AQ206" i="3"/>
  <c r="A207" i="3"/>
  <c r="D206" i="3"/>
  <c r="AM206" i="3"/>
  <c r="S206" i="3"/>
  <c r="C206" i="3"/>
  <c r="AK206" i="3"/>
  <c r="R206" i="3"/>
  <c r="AD206" i="3"/>
  <c r="T206" i="3"/>
  <c r="O206" i="3"/>
  <c r="P206" i="3"/>
  <c r="M206" i="3"/>
  <c r="AE206" i="3"/>
  <c r="AF206" i="3"/>
  <c r="V206" i="3"/>
  <c r="U206" i="3"/>
  <c r="G206" i="3"/>
  <c r="H206" i="3" s="1"/>
  <c r="F206" i="3"/>
  <c r="Q206" i="3"/>
  <c r="BF202" i="3"/>
  <c r="BB202" i="3"/>
  <c r="BQ202" i="3"/>
  <c r="BC203" i="3" l="1"/>
  <c r="BD203" i="3" s="1"/>
  <c r="BD202" i="3"/>
  <c r="BM206" i="3"/>
  <c r="AU205" i="3"/>
  <c r="BN206" i="3"/>
  <c r="AW205" i="3"/>
  <c r="AV204" i="3"/>
  <c r="AX205" i="3"/>
  <c r="AO206" i="3"/>
  <c r="AH206" i="3"/>
  <c r="BJ201" i="3"/>
  <c r="BK201" i="3" s="1"/>
  <c r="AQ207" i="3"/>
  <c r="B207" i="3"/>
  <c r="A208" i="3"/>
  <c r="AR207" i="3"/>
  <c r="AK207" i="3"/>
  <c r="T207" i="3"/>
  <c r="AM207" i="3"/>
  <c r="Q207" i="3"/>
  <c r="R207" i="3"/>
  <c r="AD207" i="3"/>
  <c r="P207" i="3"/>
  <c r="O207" i="3"/>
  <c r="M207" i="3"/>
  <c r="AE207" i="3"/>
  <c r="U207" i="3"/>
  <c r="AF207" i="3"/>
  <c r="V207" i="3"/>
  <c r="D207" i="3"/>
  <c r="C207" i="3"/>
  <c r="G207" i="3"/>
  <c r="H207" i="3" s="1"/>
  <c r="F207" i="3"/>
  <c r="S207" i="3"/>
  <c r="BA204" i="3"/>
  <c r="AY204" i="3"/>
  <c r="AG206" i="3"/>
  <c r="X206" i="3"/>
  <c r="AN206" i="3"/>
  <c r="AT205" i="3"/>
  <c r="Y206" i="3"/>
  <c r="Z206" i="3" s="1"/>
  <c r="BQ203" i="3"/>
  <c r="BF203" i="3"/>
  <c r="BJ202" i="3" s="1"/>
  <c r="BK202" i="3" s="1"/>
  <c r="BB203" i="3"/>
  <c r="BM207" i="3" l="1"/>
  <c r="BN207" i="3"/>
  <c r="BG203" i="3"/>
  <c r="BH203" i="3" s="1"/>
  <c r="BI203" i="3" s="1"/>
  <c r="BC204" i="3"/>
  <c r="BG204" i="3" s="1"/>
  <c r="BH204" i="3" s="1"/>
  <c r="BI204" i="3" s="1"/>
  <c r="AU206" i="3"/>
  <c r="AN207" i="3"/>
  <c r="AY205" i="3"/>
  <c r="AX206" i="3"/>
  <c r="AG207" i="3"/>
  <c r="AW206" i="3"/>
  <c r="X207" i="3"/>
  <c r="AV205" i="3"/>
  <c r="BA205" i="3"/>
  <c r="BF204" i="3"/>
  <c r="BJ203" i="3" s="1"/>
  <c r="BK203" i="3" s="1"/>
  <c r="BQ204" i="3"/>
  <c r="BB204" i="3"/>
  <c r="A209" i="3"/>
  <c r="B208" i="3"/>
  <c r="AR208" i="3"/>
  <c r="AQ208" i="3"/>
  <c r="AM208" i="3"/>
  <c r="T208" i="3"/>
  <c r="AK208" i="3"/>
  <c r="C208" i="3"/>
  <c r="Q208" i="3"/>
  <c r="R208" i="3"/>
  <c r="AD208" i="3"/>
  <c r="P208" i="3"/>
  <c r="S208" i="3"/>
  <c r="O208" i="3"/>
  <c r="M208" i="3"/>
  <c r="AE208" i="3"/>
  <c r="AF208" i="3"/>
  <c r="U208" i="3"/>
  <c r="V208" i="3"/>
  <c r="D208" i="3"/>
  <c r="G208" i="3"/>
  <c r="H208" i="3" s="1"/>
  <c r="F208" i="3"/>
  <c r="AH207" i="3"/>
  <c r="AT206" i="3"/>
  <c r="AO207" i="3"/>
  <c r="Y207" i="3"/>
  <c r="Z207" i="3" s="1"/>
  <c r="BD204" i="3" l="1"/>
  <c r="BM208" i="3"/>
  <c r="AU207" i="3"/>
  <c r="BC205" i="3"/>
  <c r="BD205" i="3" s="1"/>
  <c r="AY206" i="3"/>
  <c r="AO208" i="3"/>
  <c r="BN208" i="3"/>
  <c r="AT207" i="3"/>
  <c r="AW207" i="3"/>
  <c r="AR209" i="3"/>
  <c r="B209" i="3"/>
  <c r="AQ209" i="3"/>
  <c r="A210" i="3"/>
  <c r="D209" i="3"/>
  <c r="C209" i="3"/>
  <c r="R209" i="3"/>
  <c r="AK209" i="3"/>
  <c r="AM209" i="3"/>
  <c r="Q209" i="3"/>
  <c r="S209" i="3"/>
  <c r="AD209" i="3"/>
  <c r="P209" i="3"/>
  <c r="AF209" i="3"/>
  <c r="O209" i="3"/>
  <c r="AE209" i="3"/>
  <c r="M209" i="3"/>
  <c r="V209" i="3"/>
  <c r="U209" i="3"/>
  <c r="G209" i="3"/>
  <c r="H209" i="3" s="1"/>
  <c r="F209" i="3"/>
  <c r="T209" i="3"/>
  <c r="BA206" i="3"/>
  <c r="AV206" i="3"/>
  <c r="Y208" i="3"/>
  <c r="Z208" i="3" s="1"/>
  <c r="AN208" i="3"/>
  <c r="AG208" i="3"/>
  <c r="X208" i="3"/>
  <c r="BQ205" i="3"/>
  <c r="BF205" i="3"/>
  <c r="BJ204" i="3" s="1"/>
  <c r="BK204" i="3" s="1"/>
  <c r="BB205" i="3"/>
  <c r="AX207" i="3"/>
  <c r="AH208" i="3"/>
  <c r="AV207" i="3" l="1"/>
  <c r="BC206" i="3"/>
  <c r="BG206" i="3" s="1"/>
  <c r="BH206" i="3" s="1"/>
  <c r="BI206" i="3" s="1"/>
  <c r="BG205" i="3"/>
  <c r="BH205" i="3" s="1"/>
  <c r="BI205" i="3" s="1"/>
  <c r="AG209" i="3"/>
  <c r="AT208" i="3"/>
  <c r="AO209" i="3"/>
  <c r="BN209" i="3"/>
  <c r="BA207" i="3"/>
  <c r="BB207" i="3" s="1"/>
  <c r="BQ206" i="3"/>
  <c r="BB206" i="3"/>
  <c r="BF206" i="3"/>
  <c r="BJ205" i="3" s="1"/>
  <c r="BK205" i="3" s="1"/>
  <c r="AX208" i="3"/>
  <c r="AY207" i="3"/>
  <c r="AU208" i="3"/>
  <c r="AW208" i="3"/>
  <c r="BM209" i="3"/>
  <c r="AN209" i="3"/>
  <c r="AR210" i="3"/>
  <c r="B210" i="3"/>
  <c r="AQ210" i="3"/>
  <c r="A211" i="3"/>
  <c r="AK210" i="3"/>
  <c r="Q210" i="3"/>
  <c r="AM210" i="3"/>
  <c r="T210" i="3"/>
  <c r="AD210" i="3"/>
  <c r="P210" i="3"/>
  <c r="O210" i="3"/>
  <c r="U210" i="3"/>
  <c r="AE210" i="3"/>
  <c r="M210" i="3"/>
  <c r="AF210" i="3"/>
  <c r="V210" i="3"/>
  <c r="R210" i="3"/>
  <c r="C210" i="3"/>
  <c r="F210" i="3"/>
  <c r="D210" i="3"/>
  <c r="G210" i="3"/>
  <c r="H210" i="3" s="1"/>
  <c r="S210" i="3"/>
  <c r="Y209" i="3"/>
  <c r="Z209" i="3" s="1"/>
  <c r="AH209" i="3"/>
  <c r="X209" i="3"/>
  <c r="BD206" i="3" l="1"/>
  <c r="BC207" i="3"/>
  <c r="BG207" i="3" s="1"/>
  <c r="BH207" i="3" s="1"/>
  <c r="BI207" i="3" s="1"/>
  <c r="AN210" i="3"/>
  <c r="AV208" i="3"/>
  <c r="BN210" i="3"/>
  <c r="BM210" i="3"/>
  <c r="BQ207" i="3"/>
  <c r="BF207" i="3"/>
  <c r="BJ206" i="3" s="1"/>
  <c r="BK206" i="3" s="1"/>
  <c r="AX209" i="3"/>
  <c r="BA208" i="3"/>
  <c r="BQ208" i="3" s="1"/>
  <c r="AY208" i="3"/>
  <c r="AG210" i="3"/>
  <c r="AH210" i="3"/>
  <c r="AO210" i="3"/>
  <c r="AT209" i="3"/>
  <c r="Y210" i="3"/>
  <c r="Z210" i="3" s="1"/>
  <c r="AQ211" i="3"/>
  <c r="B211" i="3"/>
  <c r="A212" i="3"/>
  <c r="AR211" i="3"/>
  <c r="AK211" i="3"/>
  <c r="AM211" i="3"/>
  <c r="C211" i="3"/>
  <c r="R211" i="3"/>
  <c r="Q211" i="3"/>
  <c r="AD211" i="3"/>
  <c r="P211" i="3"/>
  <c r="M211" i="3"/>
  <c r="AF211" i="3"/>
  <c r="U211" i="3"/>
  <c r="O211" i="3"/>
  <c r="AE211" i="3"/>
  <c r="V211" i="3"/>
  <c r="D211" i="3"/>
  <c r="G211" i="3"/>
  <c r="H211" i="3" s="1"/>
  <c r="F211" i="3"/>
  <c r="S211" i="3"/>
  <c r="T211" i="3"/>
  <c r="X210" i="3"/>
  <c r="AW209" i="3"/>
  <c r="AU209" i="3"/>
  <c r="BD207" i="3" l="1"/>
  <c r="BB208" i="3"/>
  <c r="AY209" i="3"/>
  <c r="BC208" i="3"/>
  <c r="BN211" i="3"/>
  <c r="AO211" i="3"/>
  <c r="BM211" i="3"/>
  <c r="AG211" i="3"/>
  <c r="BF208" i="3"/>
  <c r="BJ207" i="3" s="1"/>
  <c r="BK207" i="3" s="1"/>
  <c r="Y211" i="3"/>
  <c r="Z211" i="3" s="1"/>
  <c r="A213" i="3"/>
  <c r="B212" i="3"/>
  <c r="AR212" i="3"/>
  <c r="AQ212" i="3"/>
  <c r="D212" i="3"/>
  <c r="AM212" i="3"/>
  <c r="Q212" i="3"/>
  <c r="R212" i="3"/>
  <c r="C212" i="3"/>
  <c r="AK212" i="3"/>
  <c r="P212" i="3"/>
  <c r="AD212" i="3"/>
  <c r="AF212" i="3"/>
  <c r="U212" i="3"/>
  <c r="O212" i="3"/>
  <c r="AE212" i="3"/>
  <c r="M212" i="3"/>
  <c r="V212" i="3"/>
  <c r="F212" i="3"/>
  <c r="G212" i="3"/>
  <c r="H212" i="3" s="1"/>
  <c r="S212" i="3"/>
  <c r="T212" i="3"/>
  <c r="BA209" i="3"/>
  <c r="AV209" i="3"/>
  <c r="X211" i="3"/>
  <c r="AW210" i="3"/>
  <c r="AU210" i="3"/>
  <c r="AX210" i="3"/>
  <c r="AH211" i="3"/>
  <c r="AN211" i="3"/>
  <c r="AT210" i="3"/>
  <c r="AO212" i="3" l="1"/>
  <c r="BM212" i="3"/>
  <c r="BC209" i="3"/>
  <c r="BG209" i="3" s="1"/>
  <c r="BH209" i="3" s="1"/>
  <c r="BI209" i="3" s="1"/>
  <c r="BG208" i="3"/>
  <c r="BH208" i="3" s="1"/>
  <c r="BI208" i="3" s="1"/>
  <c r="BD208" i="3"/>
  <c r="BN212" i="3"/>
  <c r="AG212" i="3"/>
  <c r="AX211" i="3"/>
  <c r="Y212" i="3"/>
  <c r="Z212" i="3" s="1"/>
  <c r="X212" i="3"/>
  <c r="AV210" i="3"/>
  <c r="BA210" i="3"/>
  <c r="BQ209" i="3"/>
  <c r="BF209" i="3"/>
  <c r="BJ208" i="3" s="1"/>
  <c r="BK208" i="3" s="1"/>
  <c r="BB209" i="3"/>
  <c r="AR213" i="3"/>
  <c r="B213" i="3"/>
  <c r="AQ213" i="3"/>
  <c r="A214" i="3"/>
  <c r="AK213" i="3"/>
  <c r="T213" i="3"/>
  <c r="AM213" i="3"/>
  <c r="S213" i="3"/>
  <c r="R213" i="3"/>
  <c r="AD213" i="3"/>
  <c r="P213" i="3"/>
  <c r="M213" i="3"/>
  <c r="AF213" i="3"/>
  <c r="U213" i="3"/>
  <c r="O213" i="3"/>
  <c r="AE213" i="3"/>
  <c r="V213" i="3"/>
  <c r="Q213" i="3"/>
  <c r="C213" i="3"/>
  <c r="D213" i="3"/>
  <c r="G213" i="3"/>
  <c r="H213" i="3" s="1"/>
  <c r="F213" i="3"/>
  <c r="AT211" i="3"/>
  <c r="AW211" i="3"/>
  <c r="AY210" i="3"/>
  <c r="AU211" i="3"/>
  <c r="AH212" i="3"/>
  <c r="AN212" i="3"/>
  <c r="BD209" i="3" l="1"/>
  <c r="AN213" i="3"/>
  <c r="AT212" i="3"/>
  <c r="BN213" i="3"/>
  <c r="BC210" i="3"/>
  <c r="BG210" i="3" s="1"/>
  <c r="BH210" i="3" s="1"/>
  <c r="BI210" i="3" s="1"/>
  <c r="AY211" i="3"/>
  <c r="AW212" i="3"/>
  <c r="AU212" i="3"/>
  <c r="X213" i="3"/>
  <c r="Y213" i="3"/>
  <c r="Z213" i="3" s="1"/>
  <c r="AR214" i="3"/>
  <c r="B214" i="3"/>
  <c r="AQ214" i="3"/>
  <c r="A215" i="3"/>
  <c r="D214" i="3"/>
  <c r="AM214" i="3"/>
  <c r="AK214" i="3"/>
  <c r="S214" i="3"/>
  <c r="Q214" i="3"/>
  <c r="R214" i="3"/>
  <c r="AD214" i="3"/>
  <c r="P214" i="3"/>
  <c r="O214" i="3"/>
  <c r="AE214" i="3"/>
  <c r="M214" i="3"/>
  <c r="AF214" i="3"/>
  <c r="V214" i="3"/>
  <c r="U214" i="3"/>
  <c r="F214" i="3"/>
  <c r="C214" i="3"/>
  <c r="G214" i="3"/>
  <c r="H214" i="3" s="1"/>
  <c r="T214" i="3"/>
  <c r="AX212" i="3"/>
  <c r="BM213" i="3"/>
  <c r="AG213" i="3"/>
  <c r="AH213" i="3"/>
  <c r="AV211" i="3"/>
  <c r="BA211" i="3"/>
  <c r="BB210" i="3"/>
  <c r="BF210" i="3"/>
  <c r="BJ209" i="3" s="1"/>
  <c r="BK209" i="3" s="1"/>
  <c r="BQ210" i="3"/>
  <c r="AO213" i="3"/>
  <c r="BN214" i="3" l="1"/>
  <c r="BD210" i="3"/>
  <c r="AY212" i="3"/>
  <c r="AO214" i="3"/>
  <c r="AV212" i="3"/>
  <c r="BM214" i="3"/>
  <c r="BC211" i="3"/>
  <c r="BG211" i="3" s="1"/>
  <c r="BH211" i="3" s="1"/>
  <c r="BI211" i="3" s="1"/>
  <c r="AT213" i="3"/>
  <c r="AH214" i="3"/>
  <c r="BA212" i="3"/>
  <c r="BB212" i="3" s="1"/>
  <c r="BB211" i="3"/>
  <c r="BF211" i="3"/>
  <c r="BJ210" i="3" s="1"/>
  <c r="BK210" i="3" s="1"/>
  <c r="BQ211" i="3"/>
  <c r="AQ215" i="3"/>
  <c r="B215" i="3"/>
  <c r="A216" i="3"/>
  <c r="AR215" i="3"/>
  <c r="C215" i="3"/>
  <c r="S215" i="3"/>
  <c r="AK215" i="3"/>
  <c r="AM215" i="3"/>
  <c r="T215" i="3"/>
  <c r="Q215" i="3"/>
  <c r="R215" i="3"/>
  <c r="AD215" i="3"/>
  <c r="P215" i="3"/>
  <c r="M215" i="3"/>
  <c r="AE215" i="3"/>
  <c r="O215" i="3"/>
  <c r="V215" i="3"/>
  <c r="AF215" i="3"/>
  <c r="U215" i="3"/>
  <c r="G215" i="3"/>
  <c r="H215" i="3" s="1"/>
  <c r="D215" i="3"/>
  <c r="F215" i="3"/>
  <c r="AX213" i="3"/>
  <c r="AU213" i="3"/>
  <c r="AW213" i="3"/>
  <c r="Y214" i="3"/>
  <c r="Z214" i="3" s="1"/>
  <c r="X214" i="3"/>
  <c r="AG214" i="3"/>
  <c r="AN214" i="3"/>
  <c r="BC212" i="3" l="1"/>
  <c r="BD212" i="3" s="1"/>
  <c r="BD211" i="3"/>
  <c r="BM215" i="3"/>
  <c r="AO215" i="3"/>
  <c r="BQ212" i="3"/>
  <c r="BF212" i="3"/>
  <c r="BJ211" i="3" s="1"/>
  <c r="BK211" i="3" s="1"/>
  <c r="AT214" i="3"/>
  <c r="AX214" i="3"/>
  <c r="AY213" i="3"/>
  <c r="AG215" i="3"/>
  <c r="BA213" i="3"/>
  <c r="BQ213" i="3" s="1"/>
  <c r="AW214" i="3"/>
  <c r="AU214" i="3"/>
  <c r="BN215" i="3"/>
  <c r="AH215" i="3"/>
  <c r="AN215" i="3"/>
  <c r="AV213" i="3"/>
  <c r="Y215" i="3"/>
  <c r="Z215" i="3" s="1"/>
  <c r="A217" i="3"/>
  <c r="B216" i="3"/>
  <c r="AR216" i="3"/>
  <c r="AQ216" i="3"/>
  <c r="AK216" i="3"/>
  <c r="Q216" i="3"/>
  <c r="AM216" i="3"/>
  <c r="T216" i="3"/>
  <c r="R216" i="3"/>
  <c r="AD216" i="3"/>
  <c r="P216" i="3"/>
  <c r="O216" i="3"/>
  <c r="M216" i="3"/>
  <c r="AE216" i="3"/>
  <c r="V216" i="3"/>
  <c r="AF216" i="3"/>
  <c r="U216" i="3"/>
  <c r="D216" i="3"/>
  <c r="F216" i="3"/>
  <c r="C216" i="3"/>
  <c r="G216" i="3"/>
  <c r="H216" i="3" s="1"/>
  <c r="S216" i="3"/>
  <c r="X215" i="3"/>
  <c r="BC213" i="3" l="1"/>
  <c r="BG213" i="3" s="1"/>
  <c r="BH213" i="3" s="1"/>
  <c r="BI213" i="3" s="1"/>
  <c r="BG212" i="3"/>
  <c r="BH212" i="3" s="1"/>
  <c r="BI212" i="3" s="1"/>
  <c r="AN216" i="3"/>
  <c r="AY214" i="3"/>
  <c r="AV214" i="3"/>
  <c r="AT215" i="3"/>
  <c r="AU215" i="3"/>
  <c r="AW215" i="3"/>
  <c r="AH216" i="3"/>
  <c r="BB213" i="3"/>
  <c r="BF213" i="3"/>
  <c r="BJ212" i="3" s="1"/>
  <c r="X216" i="3"/>
  <c r="Y216" i="3"/>
  <c r="Z216" i="3" s="1"/>
  <c r="BN216" i="3"/>
  <c r="AR217" i="3"/>
  <c r="B217" i="3"/>
  <c r="AQ217" i="3"/>
  <c r="A218" i="3"/>
  <c r="D217" i="3"/>
  <c r="AM217" i="3"/>
  <c r="AK217" i="3"/>
  <c r="T217" i="3"/>
  <c r="P217" i="3"/>
  <c r="Q217" i="3"/>
  <c r="AD217" i="3"/>
  <c r="O217" i="3"/>
  <c r="M217" i="3"/>
  <c r="AE217" i="3"/>
  <c r="AF217" i="3"/>
  <c r="V217" i="3"/>
  <c r="U217" i="3"/>
  <c r="R217" i="3"/>
  <c r="C217" i="3"/>
  <c r="G217" i="3"/>
  <c r="H217" i="3" s="1"/>
  <c r="F217" i="3"/>
  <c r="S217" i="3"/>
  <c r="BM216" i="3"/>
  <c r="AO216" i="3"/>
  <c r="BA214" i="3"/>
  <c r="AX215" i="3"/>
  <c r="AG216" i="3"/>
  <c r="BD213" i="3" l="1"/>
  <c r="BM217" i="3"/>
  <c r="BK212" i="3"/>
  <c r="BC214" i="3"/>
  <c r="BG214" i="3" s="1"/>
  <c r="BH214" i="3" s="1"/>
  <c r="BI214" i="3" s="1"/>
  <c r="AW216" i="3"/>
  <c r="BN217" i="3"/>
  <c r="AV215" i="3"/>
  <c r="BA215" i="3"/>
  <c r="BQ215" i="3" s="1"/>
  <c r="AN217" i="3"/>
  <c r="AG217" i="3"/>
  <c r="X217" i="3"/>
  <c r="BQ214" i="3"/>
  <c r="BB214" i="3"/>
  <c r="BF214" i="3"/>
  <c r="BJ213" i="3" s="1"/>
  <c r="BK213" i="3" s="1"/>
  <c r="Y217" i="3"/>
  <c r="Z217" i="3" s="1"/>
  <c r="AY215" i="3"/>
  <c r="AU216" i="3"/>
  <c r="AT216" i="3"/>
  <c r="AX216" i="3"/>
  <c r="AH217" i="3"/>
  <c r="AO217" i="3"/>
  <c r="AR218" i="3"/>
  <c r="B218" i="3"/>
  <c r="AQ218" i="3"/>
  <c r="A219" i="3"/>
  <c r="D218" i="3"/>
  <c r="C218" i="3"/>
  <c r="AM218" i="3"/>
  <c r="T218" i="3"/>
  <c r="AK218" i="3"/>
  <c r="R218" i="3"/>
  <c r="S218" i="3"/>
  <c r="Q218" i="3"/>
  <c r="P218" i="3"/>
  <c r="AD218" i="3"/>
  <c r="O218" i="3"/>
  <c r="M218" i="3"/>
  <c r="AF218" i="3"/>
  <c r="AE218" i="3"/>
  <c r="U218" i="3"/>
  <c r="V218" i="3"/>
  <c r="G218" i="3"/>
  <c r="H218" i="3" s="1"/>
  <c r="F218" i="3"/>
  <c r="BM218" i="3" s="1"/>
  <c r="BN218" i="3" l="1"/>
  <c r="BF215" i="3"/>
  <c r="BJ214" i="3" s="1"/>
  <c r="BK214" i="3" s="1"/>
  <c r="AO218" i="3"/>
  <c r="AT217" i="3"/>
  <c r="BD214" i="3"/>
  <c r="AY216" i="3"/>
  <c r="AW217" i="3"/>
  <c r="BC215" i="3"/>
  <c r="BD215" i="3" s="1"/>
  <c r="AU217" i="3"/>
  <c r="BB215" i="3"/>
  <c r="AG218" i="3"/>
  <c r="AX217" i="3"/>
  <c r="Y218" i="3"/>
  <c r="Z218" i="3" s="1"/>
  <c r="AH218" i="3"/>
  <c r="AN218" i="3"/>
  <c r="AQ219" i="3"/>
  <c r="B219" i="3"/>
  <c r="A220" i="3"/>
  <c r="AR219" i="3"/>
  <c r="AK219" i="3"/>
  <c r="AM219" i="3"/>
  <c r="R219" i="3"/>
  <c r="AD219" i="3"/>
  <c r="P219" i="3"/>
  <c r="S219" i="3"/>
  <c r="O219" i="3"/>
  <c r="M219" i="3"/>
  <c r="AE219" i="3"/>
  <c r="AF219" i="3"/>
  <c r="V219" i="3"/>
  <c r="U219" i="3"/>
  <c r="Q219" i="3"/>
  <c r="D219" i="3"/>
  <c r="F219" i="3"/>
  <c r="C219" i="3"/>
  <c r="G219" i="3"/>
  <c r="H219" i="3" s="1"/>
  <c r="T219" i="3"/>
  <c r="BA216" i="3"/>
  <c r="AV216" i="3"/>
  <c r="X218" i="3"/>
  <c r="BC216" i="3" l="1"/>
  <c r="BD216" i="3" s="1"/>
  <c r="AV217" i="3"/>
  <c r="AY217" i="3"/>
  <c r="BN219" i="3"/>
  <c r="BM219" i="3"/>
  <c r="BG215" i="3"/>
  <c r="BH215" i="3" s="1"/>
  <c r="BI215" i="3" s="1"/>
  <c r="BA217" i="3"/>
  <c r="BQ217" i="3" s="1"/>
  <c r="AO219" i="3"/>
  <c r="AX218" i="3"/>
  <c r="AG219" i="3"/>
  <c r="A221" i="3"/>
  <c r="B220" i="3"/>
  <c r="AR220" i="3"/>
  <c r="AQ220" i="3"/>
  <c r="AK220" i="3"/>
  <c r="AM220" i="3"/>
  <c r="D220" i="3"/>
  <c r="S220" i="3"/>
  <c r="T220" i="3"/>
  <c r="Q220" i="3"/>
  <c r="AD220" i="3"/>
  <c r="O220" i="3"/>
  <c r="P220" i="3"/>
  <c r="AE220" i="3"/>
  <c r="M220" i="3"/>
  <c r="V220" i="3"/>
  <c r="U220" i="3"/>
  <c r="AF220" i="3"/>
  <c r="R220" i="3"/>
  <c r="F220" i="3"/>
  <c r="C220" i="3"/>
  <c r="G220" i="3"/>
  <c r="H220" i="3" s="1"/>
  <c r="Y219" i="3"/>
  <c r="Z219" i="3" s="1"/>
  <c r="AU218" i="3"/>
  <c r="X219" i="3"/>
  <c r="AH219" i="3"/>
  <c r="AN219" i="3"/>
  <c r="AT218" i="3"/>
  <c r="AW218" i="3"/>
  <c r="BQ216" i="3"/>
  <c r="BF216" i="3"/>
  <c r="BJ215" i="3" s="1"/>
  <c r="BB216" i="3"/>
  <c r="BK215" i="3" l="1"/>
  <c r="BC217" i="3"/>
  <c r="BG217" i="3" s="1"/>
  <c r="BH217" i="3" s="1"/>
  <c r="BI217" i="3" s="1"/>
  <c r="AU219" i="3"/>
  <c r="BB217" i="3"/>
  <c r="BG216" i="3"/>
  <c r="BH216" i="3" s="1"/>
  <c r="BI216" i="3" s="1"/>
  <c r="BN220" i="3"/>
  <c r="BF217" i="3"/>
  <c r="BJ216" i="3" s="1"/>
  <c r="BK216" i="3" s="1"/>
  <c r="BM220" i="3"/>
  <c r="AN220" i="3"/>
  <c r="AT219" i="3"/>
  <c r="AH220" i="3"/>
  <c r="AY218" i="3"/>
  <c r="Y220" i="3"/>
  <c r="Z220" i="3" s="1"/>
  <c r="AR221" i="3"/>
  <c r="B221" i="3"/>
  <c r="AQ221" i="3"/>
  <c r="A222" i="3"/>
  <c r="AM221" i="3"/>
  <c r="D221" i="3"/>
  <c r="AK221" i="3"/>
  <c r="Q221" i="3"/>
  <c r="R221" i="3"/>
  <c r="AD221" i="3"/>
  <c r="P221" i="3"/>
  <c r="M221" i="3"/>
  <c r="O221" i="3"/>
  <c r="V221" i="3"/>
  <c r="AF221" i="3"/>
  <c r="AE221" i="3"/>
  <c r="U221" i="3"/>
  <c r="C221" i="3"/>
  <c r="G221" i="3"/>
  <c r="H221" i="3" s="1"/>
  <c r="F221" i="3"/>
  <c r="S221" i="3"/>
  <c r="T221" i="3"/>
  <c r="AX219" i="3"/>
  <c r="AW219" i="3"/>
  <c r="X220" i="3"/>
  <c r="AO220" i="3"/>
  <c r="AV218" i="3"/>
  <c r="BA218" i="3"/>
  <c r="AG220" i="3"/>
  <c r="AO221" i="3" l="1"/>
  <c r="BM221" i="3"/>
  <c r="AV219" i="3"/>
  <c r="BD217" i="3"/>
  <c r="BC218" i="3"/>
  <c r="BG218" i="3" s="1"/>
  <c r="BH218" i="3" s="1"/>
  <c r="BI218" i="3" s="1"/>
  <c r="BN221" i="3"/>
  <c r="AX220" i="3"/>
  <c r="AU220" i="3"/>
  <c r="X221" i="3"/>
  <c r="AY219" i="3"/>
  <c r="AN221" i="3"/>
  <c r="BF218" i="3"/>
  <c r="BJ217" i="3" s="1"/>
  <c r="BK217" i="3" s="1"/>
  <c r="BQ218" i="3"/>
  <c r="BB218" i="3"/>
  <c r="AR222" i="3"/>
  <c r="B222" i="3"/>
  <c r="AQ222" i="3"/>
  <c r="A223" i="3"/>
  <c r="C222" i="3"/>
  <c r="D222" i="3"/>
  <c r="R222" i="3"/>
  <c r="AK222" i="3"/>
  <c r="AM222" i="3"/>
  <c r="Q222" i="3"/>
  <c r="S222" i="3"/>
  <c r="P222" i="3"/>
  <c r="AD222" i="3"/>
  <c r="O222" i="3"/>
  <c r="M222" i="3"/>
  <c r="AE222" i="3"/>
  <c r="AF222" i="3"/>
  <c r="U222" i="3"/>
  <c r="V222" i="3"/>
  <c r="F222" i="3"/>
  <c r="G222" i="3"/>
  <c r="H222" i="3" s="1"/>
  <c r="T222" i="3"/>
  <c r="AW220" i="3"/>
  <c r="AT220" i="3"/>
  <c r="BA219" i="3"/>
  <c r="Y221" i="3"/>
  <c r="Z221" i="3" s="1"/>
  <c r="AG221" i="3"/>
  <c r="AH221" i="3"/>
  <c r="BD218" i="3" l="1"/>
  <c r="BC219" i="3"/>
  <c r="BD219" i="3" s="1"/>
  <c r="AY220" i="3"/>
  <c r="BM222" i="3"/>
  <c r="AX221" i="3"/>
  <c r="AG222" i="3"/>
  <c r="AO222" i="3"/>
  <c r="Y222" i="3"/>
  <c r="Z222" i="3" s="1"/>
  <c r="AV220" i="3"/>
  <c r="BA220" i="3"/>
  <c r="BQ219" i="3"/>
  <c r="BF219" i="3"/>
  <c r="BJ218" i="3" s="1"/>
  <c r="BK218" i="3" s="1"/>
  <c r="BB219" i="3"/>
  <c r="AW221" i="3"/>
  <c r="BN222" i="3"/>
  <c r="AH222" i="3"/>
  <c r="AN222" i="3"/>
  <c r="X222" i="3"/>
  <c r="AT221" i="3"/>
  <c r="AQ223" i="3"/>
  <c r="B223" i="3"/>
  <c r="A224" i="3"/>
  <c r="AR223" i="3"/>
  <c r="AM223" i="3"/>
  <c r="Q223" i="3"/>
  <c r="AK223" i="3"/>
  <c r="AD223" i="3"/>
  <c r="O223" i="3"/>
  <c r="M223" i="3"/>
  <c r="U223" i="3"/>
  <c r="V223" i="3"/>
  <c r="P223" i="3"/>
  <c r="AF223" i="3"/>
  <c r="AE223" i="3"/>
  <c r="R223" i="3"/>
  <c r="F223" i="3"/>
  <c r="C223" i="3"/>
  <c r="D223" i="3"/>
  <c r="G223" i="3"/>
  <c r="H223" i="3" s="1"/>
  <c r="S223" i="3"/>
  <c r="T223" i="3"/>
  <c r="AU221" i="3"/>
  <c r="AY221" i="3" l="1"/>
  <c r="BG219" i="3"/>
  <c r="BH219" i="3" s="1"/>
  <c r="BI219" i="3" s="1"/>
  <c r="BC220" i="3"/>
  <c r="BG220" i="3" s="1"/>
  <c r="BH220" i="3" s="1"/>
  <c r="BI220" i="3" s="1"/>
  <c r="AO223" i="3"/>
  <c r="BM223" i="3"/>
  <c r="AW222" i="3"/>
  <c r="AG223" i="3"/>
  <c r="AT222" i="3"/>
  <c r="AX222" i="3"/>
  <c r="X223" i="3"/>
  <c r="AV221" i="3"/>
  <c r="BA221" i="3"/>
  <c r="Y223" i="3"/>
  <c r="Z223" i="3" s="1"/>
  <c r="BN223" i="3"/>
  <c r="AH223" i="3"/>
  <c r="AU222" i="3"/>
  <c r="A225" i="3"/>
  <c r="B224" i="3"/>
  <c r="AR224" i="3"/>
  <c r="AQ224" i="3"/>
  <c r="C224" i="3"/>
  <c r="D224" i="3"/>
  <c r="AM224" i="3"/>
  <c r="AK224" i="3"/>
  <c r="S224" i="3"/>
  <c r="R224" i="3"/>
  <c r="AD224" i="3"/>
  <c r="Q224" i="3"/>
  <c r="P224" i="3"/>
  <c r="O224" i="3"/>
  <c r="AF224" i="3"/>
  <c r="U224" i="3"/>
  <c r="V224" i="3"/>
  <c r="M224" i="3"/>
  <c r="AE224" i="3"/>
  <c r="F224" i="3"/>
  <c r="G224" i="3"/>
  <c r="H224" i="3" s="1"/>
  <c r="T224" i="3"/>
  <c r="BB220" i="3"/>
  <c r="BQ220" i="3"/>
  <c r="BF220" i="3"/>
  <c r="AN223" i="3"/>
  <c r="BD220" i="3" l="1"/>
  <c r="BC221" i="3"/>
  <c r="BD221" i="3" s="1"/>
  <c r="AU223" i="3"/>
  <c r="AV222" i="3"/>
  <c r="AG224" i="3"/>
  <c r="BM224" i="3"/>
  <c r="BN224" i="3"/>
  <c r="AY222" i="3"/>
  <c r="AW223" i="3"/>
  <c r="AN224" i="3"/>
  <c r="AT223" i="3"/>
  <c r="BJ219" i="3"/>
  <c r="BK219" i="3" s="1"/>
  <c r="Y224" i="3"/>
  <c r="Z224" i="3" s="1"/>
  <c r="AO224" i="3"/>
  <c r="AX223" i="3"/>
  <c r="BA222" i="3"/>
  <c r="AR225" i="3"/>
  <c r="B225" i="3"/>
  <c r="AQ225" i="3"/>
  <c r="A226" i="3"/>
  <c r="D225" i="3"/>
  <c r="AK225" i="3"/>
  <c r="AM225" i="3"/>
  <c r="Q225" i="3"/>
  <c r="R225" i="3"/>
  <c r="AD225" i="3"/>
  <c r="T225" i="3"/>
  <c r="P225" i="3"/>
  <c r="O225" i="3"/>
  <c r="V225" i="3"/>
  <c r="M225" i="3"/>
  <c r="AF225" i="3"/>
  <c r="AE225" i="3"/>
  <c r="U225" i="3"/>
  <c r="F225" i="3"/>
  <c r="G225" i="3"/>
  <c r="H225" i="3" s="1"/>
  <c r="C225" i="3"/>
  <c r="S225" i="3"/>
  <c r="BB221" i="3"/>
  <c r="BQ221" i="3"/>
  <c r="BF221" i="3"/>
  <c r="BJ220" i="3" s="1"/>
  <c r="BK220" i="3" s="1"/>
  <c r="AH224" i="3"/>
  <c r="X224" i="3"/>
  <c r="AV223" i="3" l="1"/>
  <c r="BG221" i="3"/>
  <c r="BH221" i="3" s="1"/>
  <c r="BI221" i="3" s="1"/>
  <c r="BC222" i="3"/>
  <c r="BD222" i="3" s="1"/>
  <c r="AX224" i="3"/>
  <c r="BN225" i="3"/>
  <c r="BM225" i="3"/>
  <c r="AN225" i="3"/>
  <c r="AY223" i="3"/>
  <c r="AG225" i="3"/>
  <c r="BA223" i="3"/>
  <c r="BQ223" i="3" s="1"/>
  <c r="AR226" i="3"/>
  <c r="B226" i="3"/>
  <c r="AQ226" i="3"/>
  <c r="A227" i="3"/>
  <c r="S226" i="3"/>
  <c r="R226" i="3"/>
  <c r="AK226" i="3"/>
  <c r="AM226" i="3"/>
  <c r="Q226" i="3"/>
  <c r="AD226" i="3"/>
  <c r="P226" i="3"/>
  <c r="O226" i="3"/>
  <c r="M226" i="3"/>
  <c r="AF226" i="3"/>
  <c r="V226" i="3"/>
  <c r="U226" i="3"/>
  <c r="AE226" i="3"/>
  <c r="C226" i="3"/>
  <c r="D226" i="3"/>
  <c r="F226" i="3"/>
  <c r="G226" i="3"/>
  <c r="H226" i="3" s="1"/>
  <c r="T226" i="3"/>
  <c r="BF222" i="3"/>
  <c r="BJ221" i="3" s="1"/>
  <c r="BK221" i="3" s="1"/>
  <c r="BB222" i="3"/>
  <c r="BQ222" i="3"/>
  <c r="AT224" i="3"/>
  <c r="AW224" i="3"/>
  <c r="X225" i="3"/>
  <c r="AH225" i="3"/>
  <c r="AO225" i="3"/>
  <c r="AU224" i="3"/>
  <c r="Y225" i="3"/>
  <c r="Z225" i="3" s="1"/>
  <c r="BC223" i="3" l="1"/>
  <c r="BG223" i="3" s="1"/>
  <c r="BH223" i="3" s="1"/>
  <c r="BI223" i="3" s="1"/>
  <c r="BN226" i="3"/>
  <c r="BG222" i="3"/>
  <c r="BH222" i="3" s="1"/>
  <c r="BI222" i="3" s="1"/>
  <c r="AY224" i="3"/>
  <c r="BM226" i="3"/>
  <c r="AO226" i="3"/>
  <c r="BB223" i="3"/>
  <c r="BF223" i="3"/>
  <c r="BJ222" i="3" s="1"/>
  <c r="BK222" i="3" s="1"/>
  <c r="AX225" i="3"/>
  <c r="AU225" i="3"/>
  <c r="AV224" i="3"/>
  <c r="AG226" i="3"/>
  <c r="AQ227" i="3"/>
  <c r="B227" i="3"/>
  <c r="A228" i="3"/>
  <c r="AR227" i="3"/>
  <c r="D227" i="3"/>
  <c r="C227" i="3"/>
  <c r="AM227" i="3"/>
  <c r="AK227" i="3"/>
  <c r="T227" i="3"/>
  <c r="S227" i="3"/>
  <c r="R227" i="3"/>
  <c r="Q227" i="3"/>
  <c r="AD227" i="3"/>
  <c r="P227" i="3"/>
  <c r="O227" i="3"/>
  <c r="AE227" i="3"/>
  <c r="M227" i="3"/>
  <c r="V227" i="3"/>
  <c r="U227" i="3"/>
  <c r="AF227" i="3"/>
  <c r="G227" i="3"/>
  <c r="H227" i="3" s="1"/>
  <c r="F227" i="3"/>
  <c r="BM227" i="3" s="1"/>
  <c r="AT225" i="3"/>
  <c r="AW225" i="3"/>
  <c r="BA224" i="3"/>
  <c r="Y226" i="3"/>
  <c r="Z226" i="3" s="1"/>
  <c r="X226" i="3"/>
  <c r="AH226" i="3"/>
  <c r="AN226" i="3"/>
  <c r="BD223" i="3" l="1"/>
  <c r="BN227" i="3"/>
  <c r="BC224" i="3"/>
  <c r="BD224" i="3" s="1"/>
  <c r="AX226" i="3"/>
  <c r="AO227" i="3"/>
  <c r="AY225" i="3"/>
  <c r="AV225" i="3"/>
  <c r="AG227" i="3"/>
  <c r="AT226" i="3"/>
  <c r="BQ224" i="3"/>
  <c r="BF224" i="3"/>
  <c r="BJ223" i="3" s="1"/>
  <c r="BK223" i="3" s="1"/>
  <c r="BB224" i="3"/>
  <c r="Y227" i="3"/>
  <c r="Z227" i="3" s="1"/>
  <c r="A229" i="3"/>
  <c r="B228" i="3"/>
  <c r="AR228" i="3"/>
  <c r="AQ228" i="3"/>
  <c r="AK228" i="3"/>
  <c r="T228" i="3"/>
  <c r="AM228" i="3"/>
  <c r="R228" i="3"/>
  <c r="Q228" i="3"/>
  <c r="AD228" i="3"/>
  <c r="P228" i="3"/>
  <c r="O228" i="3"/>
  <c r="M228" i="3"/>
  <c r="AF228" i="3"/>
  <c r="V228" i="3"/>
  <c r="AE228" i="3"/>
  <c r="U228" i="3"/>
  <c r="D228" i="3"/>
  <c r="C228" i="3"/>
  <c r="G228" i="3"/>
  <c r="H228" i="3" s="1"/>
  <c r="F228" i="3"/>
  <c r="S228" i="3"/>
  <c r="AW226" i="3"/>
  <c r="BA225" i="3"/>
  <c r="AH227" i="3"/>
  <c r="AN227" i="3"/>
  <c r="AU226" i="3"/>
  <c r="X227" i="3"/>
  <c r="BM228" i="3" l="1"/>
  <c r="BN228" i="3"/>
  <c r="AN228" i="3"/>
  <c r="AY226" i="3"/>
  <c r="BG224" i="3"/>
  <c r="BH224" i="3" s="1"/>
  <c r="BI224" i="3" s="1"/>
  <c r="AG228" i="3"/>
  <c r="BC225" i="3"/>
  <c r="BD225" i="3" s="1"/>
  <c r="AV226" i="3"/>
  <c r="AX227" i="3"/>
  <c r="AT227" i="3"/>
  <c r="AW227" i="3"/>
  <c r="BB225" i="3"/>
  <c r="BF225" i="3"/>
  <c r="BJ224" i="3" s="1"/>
  <c r="BK224" i="3" s="1"/>
  <c r="BQ225" i="3"/>
  <c r="Y228" i="3"/>
  <c r="Z228" i="3" s="1"/>
  <c r="AU227" i="3"/>
  <c r="AO228" i="3"/>
  <c r="X228" i="3"/>
  <c r="AH228" i="3"/>
  <c r="BA226" i="3"/>
  <c r="AR229" i="3"/>
  <c r="B229" i="3"/>
  <c r="AQ229" i="3"/>
  <c r="A230" i="3"/>
  <c r="C229" i="3"/>
  <c r="AM229" i="3"/>
  <c r="AK229" i="3"/>
  <c r="S229" i="3"/>
  <c r="R229" i="3"/>
  <c r="Q229" i="3"/>
  <c r="AD229" i="3"/>
  <c r="P229" i="3"/>
  <c r="O229" i="3"/>
  <c r="AE229" i="3"/>
  <c r="AF229" i="3"/>
  <c r="M229" i="3"/>
  <c r="V229" i="3"/>
  <c r="U229" i="3"/>
  <c r="D229" i="3"/>
  <c r="F229" i="3"/>
  <c r="G229" i="3"/>
  <c r="H229" i="3" s="1"/>
  <c r="T229" i="3"/>
  <c r="BN229" i="3" l="1"/>
  <c r="BC226" i="3"/>
  <c r="BG226" i="3" s="1"/>
  <c r="BH226" i="3" s="1"/>
  <c r="BI226" i="3" s="1"/>
  <c r="AY227" i="3"/>
  <c r="AT228" i="3"/>
  <c r="AU228" i="3"/>
  <c r="AO229" i="3"/>
  <c r="BG225" i="3"/>
  <c r="BH225" i="3" s="1"/>
  <c r="BI225" i="3" s="1"/>
  <c r="AV227" i="3"/>
  <c r="BA227" i="3"/>
  <c r="BB227" i="3" s="1"/>
  <c r="AW228" i="3"/>
  <c r="AR230" i="3"/>
  <c r="B230" i="3"/>
  <c r="AQ230" i="3"/>
  <c r="A231" i="3"/>
  <c r="AK230" i="3"/>
  <c r="S230" i="3"/>
  <c r="C230" i="3"/>
  <c r="AM230" i="3"/>
  <c r="T230" i="3"/>
  <c r="Q230" i="3"/>
  <c r="AD230" i="3"/>
  <c r="O230" i="3"/>
  <c r="R230" i="3"/>
  <c r="P230" i="3"/>
  <c r="AF230" i="3"/>
  <c r="M230" i="3"/>
  <c r="V230" i="3"/>
  <c r="AE230" i="3"/>
  <c r="U230" i="3"/>
  <c r="F230" i="3"/>
  <c r="D230" i="3"/>
  <c r="G230" i="3"/>
  <c r="H230" i="3" s="1"/>
  <c r="BF226" i="3"/>
  <c r="BJ225" i="3" s="1"/>
  <c r="BK225" i="3" s="1"/>
  <c r="BQ226" i="3"/>
  <c r="BB226" i="3"/>
  <c r="Y229" i="3"/>
  <c r="Z229" i="3" s="1"/>
  <c r="BM229" i="3"/>
  <c r="AG229" i="3"/>
  <c r="AN229" i="3"/>
  <c r="AX228" i="3"/>
  <c r="AH229" i="3"/>
  <c r="X229" i="3"/>
  <c r="BD226" i="3" l="1"/>
  <c r="BC227" i="3"/>
  <c r="BD227" i="3" s="1"/>
  <c r="BQ227" i="3"/>
  <c r="AV228" i="3"/>
  <c r="BA228" i="3"/>
  <c r="BF228" i="3" s="1"/>
  <c r="BF227" i="3"/>
  <c r="BJ226" i="3" s="1"/>
  <c r="BK226" i="3" s="1"/>
  <c r="AO230" i="3"/>
  <c r="AX229" i="3"/>
  <c r="AW229" i="3"/>
  <c r="AH230" i="3"/>
  <c r="X230" i="3"/>
  <c r="AY228" i="3"/>
  <c r="Y230" i="3"/>
  <c r="Z230" i="3" s="1"/>
  <c r="AQ231" i="3"/>
  <c r="B231" i="3"/>
  <c r="A232" i="3"/>
  <c r="AR231" i="3"/>
  <c r="C231" i="3"/>
  <c r="AK231" i="3"/>
  <c r="S231" i="3"/>
  <c r="AM231" i="3"/>
  <c r="R231" i="3"/>
  <c r="Q231" i="3"/>
  <c r="P231" i="3"/>
  <c r="AD231" i="3"/>
  <c r="AE231" i="3"/>
  <c r="M231" i="3"/>
  <c r="O231" i="3"/>
  <c r="AF231" i="3"/>
  <c r="U231" i="3"/>
  <c r="V231" i="3"/>
  <c r="G231" i="3"/>
  <c r="H231" i="3" s="1"/>
  <c r="F231" i="3"/>
  <c r="D231" i="3"/>
  <c r="T231" i="3"/>
  <c r="AT229" i="3"/>
  <c r="AU229" i="3"/>
  <c r="BN230" i="3"/>
  <c r="BM230" i="3"/>
  <c r="AG230" i="3"/>
  <c r="AN230" i="3"/>
  <c r="BG227" i="3" l="1"/>
  <c r="BH227" i="3" s="1"/>
  <c r="BI227" i="3" s="1"/>
  <c r="BC228" i="3"/>
  <c r="BG228" i="3" s="1"/>
  <c r="BH228" i="3" s="1"/>
  <c r="BI228" i="3" s="1"/>
  <c r="AN231" i="3"/>
  <c r="AY229" i="3"/>
  <c r="BB228" i="3"/>
  <c r="BQ228" i="3"/>
  <c r="BM231" i="3"/>
  <c r="AO231" i="3"/>
  <c r="AH231" i="3"/>
  <c r="AT230" i="3"/>
  <c r="Y231" i="3"/>
  <c r="Z231" i="3" s="1"/>
  <c r="AV229" i="3"/>
  <c r="BA229" i="3"/>
  <c r="A233" i="3"/>
  <c r="B232" i="3"/>
  <c r="AR232" i="3"/>
  <c r="AQ232" i="3"/>
  <c r="C232" i="3"/>
  <c r="AK232" i="3"/>
  <c r="AM232" i="3"/>
  <c r="R232" i="3"/>
  <c r="D232" i="3"/>
  <c r="S232" i="3"/>
  <c r="P232" i="3"/>
  <c r="AD232" i="3"/>
  <c r="AE232" i="3"/>
  <c r="M232" i="3"/>
  <c r="O232" i="3"/>
  <c r="AF232" i="3"/>
  <c r="V232" i="3"/>
  <c r="U232" i="3"/>
  <c r="G232" i="3"/>
  <c r="H232" i="3" s="1"/>
  <c r="Q232" i="3"/>
  <c r="F232" i="3"/>
  <c r="BM232" i="3" s="1"/>
  <c r="T232" i="3"/>
  <c r="BJ227" i="3"/>
  <c r="BK227" i="3" s="1"/>
  <c r="AW230" i="3"/>
  <c r="BN231" i="3"/>
  <c r="AG231" i="3"/>
  <c r="X231" i="3"/>
  <c r="AU230" i="3"/>
  <c r="AX230" i="3"/>
  <c r="BN232" i="3" l="1"/>
  <c r="BD228" i="3"/>
  <c r="BC229" i="3"/>
  <c r="BG229" i="3" s="1"/>
  <c r="BH229" i="3" s="1"/>
  <c r="BI229" i="3" s="1"/>
  <c r="AW231" i="3"/>
  <c r="AV230" i="3"/>
  <c r="AO232" i="3"/>
  <c r="AT231" i="3"/>
  <c r="AU231" i="3"/>
  <c r="AH232" i="3"/>
  <c r="AY230" i="3"/>
  <c r="Y232" i="3"/>
  <c r="Z232" i="3" s="1"/>
  <c r="AR233" i="3"/>
  <c r="B233" i="3"/>
  <c r="AQ233" i="3"/>
  <c r="A234" i="3"/>
  <c r="D233" i="3"/>
  <c r="R233" i="3"/>
  <c r="AM233" i="3"/>
  <c r="AK233" i="3"/>
  <c r="AD233" i="3"/>
  <c r="P233" i="3"/>
  <c r="V233" i="3"/>
  <c r="O233" i="3"/>
  <c r="AE233" i="3"/>
  <c r="M233" i="3"/>
  <c r="AF233" i="3"/>
  <c r="U233" i="3"/>
  <c r="F233" i="3"/>
  <c r="Q233" i="3"/>
  <c r="C233" i="3"/>
  <c r="G233" i="3"/>
  <c r="H233" i="3" s="1"/>
  <c r="S233" i="3"/>
  <c r="T233" i="3"/>
  <c r="AX231" i="3"/>
  <c r="AG232" i="3"/>
  <c r="AN232" i="3"/>
  <c r="X232" i="3"/>
  <c r="BA230" i="3"/>
  <c r="BF229" i="3"/>
  <c r="BJ228" i="3" s="1"/>
  <c r="BK228" i="3" s="1"/>
  <c r="BQ229" i="3"/>
  <c r="BB229" i="3"/>
  <c r="BD229" i="3" l="1"/>
  <c r="AT232" i="3"/>
  <c r="BC230" i="3"/>
  <c r="BD230" i="3" s="1"/>
  <c r="AV231" i="3"/>
  <c r="BN233" i="3"/>
  <c r="BA231" i="3"/>
  <c r="BF231" i="3" s="1"/>
  <c r="AU232" i="3"/>
  <c r="AN233" i="3"/>
  <c r="AX232" i="3"/>
  <c r="X233" i="3"/>
  <c r="Y233" i="3"/>
  <c r="Z233" i="3" s="1"/>
  <c r="AY231" i="3"/>
  <c r="AW232" i="3"/>
  <c r="BM233" i="3"/>
  <c r="AG233" i="3"/>
  <c r="AH233" i="3"/>
  <c r="BF230" i="3"/>
  <c r="BJ229" i="3" s="1"/>
  <c r="BK229" i="3" s="1"/>
  <c r="BB230" i="3"/>
  <c r="BQ230" i="3"/>
  <c r="AR234" i="3"/>
  <c r="B234" i="3"/>
  <c r="AQ234" i="3"/>
  <c r="A235" i="3"/>
  <c r="AM234" i="3"/>
  <c r="R234" i="3"/>
  <c r="AK234" i="3"/>
  <c r="AD234" i="3"/>
  <c r="P234" i="3"/>
  <c r="AE234" i="3"/>
  <c r="AF234" i="3"/>
  <c r="V234" i="3"/>
  <c r="O234" i="3"/>
  <c r="M234" i="3"/>
  <c r="U234" i="3"/>
  <c r="D234" i="3"/>
  <c r="F234" i="3"/>
  <c r="Q234" i="3"/>
  <c r="C234" i="3"/>
  <c r="G234" i="3"/>
  <c r="H234" i="3" s="1"/>
  <c r="T234" i="3"/>
  <c r="S234" i="3"/>
  <c r="AO233" i="3"/>
  <c r="BN234" i="3" l="1"/>
  <c r="AV232" i="3"/>
  <c r="AO234" i="3"/>
  <c r="BG230" i="3"/>
  <c r="BH230" i="3" s="1"/>
  <c r="BI230" i="3" s="1"/>
  <c r="BC231" i="3"/>
  <c r="BD231" i="3" s="1"/>
  <c r="BM234" i="3"/>
  <c r="BB231" i="3"/>
  <c r="BQ231" i="3"/>
  <c r="AU233" i="3"/>
  <c r="AY232" i="3"/>
  <c r="BA232" i="3"/>
  <c r="BQ232" i="3" s="1"/>
  <c r="AT233" i="3"/>
  <c r="Y234" i="3"/>
  <c r="Z234" i="3" s="1"/>
  <c r="AQ235" i="3"/>
  <c r="B235" i="3"/>
  <c r="A236" i="3"/>
  <c r="AR235" i="3"/>
  <c r="D235" i="3"/>
  <c r="AM235" i="3"/>
  <c r="R235" i="3"/>
  <c r="C235" i="3"/>
  <c r="AK235" i="3"/>
  <c r="Q235" i="3"/>
  <c r="AD235" i="3"/>
  <c r="AE235" i="3"/>
  <c r="U235" i="3"/>
  <c r="O235" i="3"/>
  <c r="M235" i="3"/>
  <c r="AF235" i="3"/>
  <c r="V235" i="3"/>
  <c r="F235" i="3"/>
  <c r="G235" i="3"/>
  <c r="H235" i="3" s="1"/>
  <c r="T235" i="3"/>
  <c r="S235" i="3"/>
  <c r="P235" i="3"/>
  <c r="X234" i="3"/>
  <c r="AG234" i="3"/>
  <c r="AH234" i="3"/>
  <c r="AX233" i="3"/>
  <c r="BJ230" i="3"/>
  <c r="BK230" i="3" s="1"/>
  <c r="AN234" i="3"/>
  <c r="AW233" i="3"/>
  <c r="BC232" i="3" l="1"/>
  <c r="BG232" i="3" s="1"/>
  <c r="BH232" i="3" s="1"/>
  <c r="BI232" i="3" s="1"/>
  <c r="BN235" i="3"/>
  <c r="BM235" i="3"/>
  <c r="BB232" i="3"/>
  <c r="BG231" i="3"/>
  <c r="BH231" i="3" s="1"/>
  <c r="BI231" i="3" s="1"/>
  <c r="AN235" i="3"/>
  <c r="AV233" i="3"/>
  <c r="BF232" i="3"/>
  <c r="BJ231" i="3" s="1"/>
  <c r="AY233" i="3"/>
  <c r="AT234" i="3"/>
  <c r="AU234" i="3"/>
  <c r="Y235" i="3"/>
  <c r="Z235" i="3" s="1"/>
  <c r="A237" i="3"/>
  <c r="B236" i="3"/>
  <c r="AR236" i="3"/>
  <c r="AQ236" i="3"/>
  <c r="AM236" i="3"/>
  <c r="R236" i="3"/>
  <c r="AK236" i="3"/>
  <c r="Q236" i="3"/>
  <c r="AD236" i="3"/>
  <c r="O236" i="3"/>
  <c r="U236" i="3"/>
  <c r="P236" i="3"/>
  <c r="M236" i="3"/>
  <c r="AE236" i="3"/>
  <c r="AF236" i="3"/>
  <c r="V236" i="3"/>
  <c r="C236" i="3"/>
  <c r="G236" i="3"/>
  <c r="H236" i="3" s="1"/>
  <c r="D236" i="3"/>
  <c r="F236" i="3"/>
  <c r="S236" i="3"/>
  <c r="T236" i="3"/>
  <c r="BA233" i="3"/>
  <c r="AW234" i="3"/>
  <c r="X235" i="3"/>
  <c r="AH235" i="3"/>
  <c r="AO235" i="3"/>
  <c r="AX234" i="3"/>
  <c r="AG235" i="3"/>
  <c r="BD232" i="3" l="1"/>
  <c r="BK231" i="3"/>
  <c r="AO236" i="3"/>
  <c r="BC233" i="3"/>
  <c r="BG233" i="3" s="1"/>
  <c r="BH233" i="3" s="1"/>
  <c r="BI233" i="3" s="1"/>
  <c r="Y236" i="3"/>
  <c r="Z236" i="3" s="1"/>
  <c r="BM236" i="3"/>
  <c r="BN236" i="3"/>
  <c r="AV234" i="3"/>
  <c r="AW235" i="3"/>
  <c r="AU235" i="3"/>
  <c r="AT235" i="3"/>
  <c r="BA234" i="3"/>
  <c r="BB234" i="3" s="1"/>
  <c r="BF233" i="3"/>
  <c r="BJ232" i="3" s="1"/>
  <c r="BK232" i="3" s="1"/>
  <c r="BB233" i="3"/>
  <c r="BQ233" i="3"/>
  <c r="AR237" i="3"/>
  <c r="B237" i="3"/>
  <c r="AQ237" i="3"/>
  <c r="A238" i="3"/>
  <c r="C237" i="3"/>
  <c r="AK237" i="3"/>
  <c r="S237" i="3"/>
  <c r="T237" i="3"/>
  <c r="AM237" i="3"/>
  <c r="Q237" i="3"/>
  <c r="AD237" i="3"/>
  <c r="P237" i="3"/>
  <c r="R237" i="3"/>
  <c r="AE237" i="3"/>
  <c r="AF237" i="3"/>
  <c r="U237" i="3"/>
  <c r="O237" i="3"/>
  <c r="M237" i="3"/>
  <c r="V237" i="3"/>
  <c r="D237" i="3"/>
  <c r="G237" i="3"/>
  <c r="H237" i="3" s="1"/>
  <c r="F237" i="3"/>
  <c r="X236" i="3"/>
  <c r="AH236" i="3"/>
  <c r="AN236" i="3"/>
  <c r="AX235" i="3"/>
  <c r="AY234" i="3"/>
  <c r="AG236" i="3"/>
  <c r="BC234" i="3" l="1"/>
  <c r="BG234" i="3" s="1"/>
  <c r="BH234" i="3" s="1"/>
  <c r="BI234" i="3" s="1"/>
  <c r="BD233" i="3"/>
  <c r="BM237" i="3"/>
  <c r="AV235" i="3"/>
  <c r="AG237" i="3"/>
  <c r="AO237" i="3"/>
  <c r="BA235" i="3"/>
  <c r="BQ235" i="3" s="1"/>
  <c r="AU236" i="3"/>
  <c r="BQ234" i="3"/>
  <c r="BF234" i="3"/>
  <c r="BJ233" i="3" s="1"/>
  <c r="BK233" i="3" s="1"/>
  <c r="Y237" i="3"/>
  <c r="Z237" i="3" s="1"/>
  <c r="AX236" i="3"/>
  <c r="BN237" i="3"/>
  <c r="AH237" i="3"/>
  <c r="AN237" i="3"/>
  <c r="X237" i="3"/>
  <c r="AY235" i="3"/>
  <c r="AT236" i="3"/>
  <c r="AW236" i="3"/>
  <c r="AR238" i="3"/>
  <c r="B238" i="3"/>
  <c r="AQ238" i="3"/>
  <c r="A239" i="3"/>
  <c r="C238" i="3"/>
  <c r="D238" i="3"/>
  <c r="T238" i="3"/>
  <c r="AK238" i="3"/>
  <c r="AM238" i="3"/>
  <c r="R238" i="3"/>
  <c r="S238" i="3"/>
  <c r="AD238" i="3"/>
  <c r="P238" i="3"/>
  <c r="O238" i="3"/>
  <c r="M238" i="3"/>
  <c r="V238" i="3"/>
  <c r="AE238" i="3"/>
  <c r="AF238" i="3"/>
  <c r="U238" i="3"/>
  <c r="Q238" i="3"/>
  <c r="G238" i="3"/>
  <c r="H238" i="3" s="1"/>
  <c r="F238" i="3"/>
  <c r="BD234" i="3" l="1"/>
  <c r="BB235" i="3"/>
  <c r="AU237" i="3"/>
  <c r="BC235" i="3"/>
  <c r="BD235" i="3" s="1"/>
  <c r="BN238" i="3"/>
  <c r="AT237" i="3"/>
  <c r="AN238" i="3"/>
  <c r="BF235" i="3"/>
  <c r="BJ234" i="3" s="1"/>
  <c r="BK234" i="3" s="1"/>
  <c r="AY236" i="3"/>
  <c r="AG238" i="3"/>
  <c r="AW237" i="3"/>
  <c r="Y238" i="3"/>
  <c r="Z238" i="3" s="1"/>
  <c r="AQ239" i="3"/>
  <c r="B239" i="3"/>
  <c r="A240" i="3"/>
  <c r="AR239" i="3"/>
  <c r="AM239" i="3"/>
  <c r="AK239" i="3"/>
  <c r="R239" i="3"/>
  <c r="T239" i="3"/>
  <c r="Q239" i="3"/>
  <c r="AD239" i="3"/>
  <c r="P239" i="3"/>
  <c r="M239" i="3"/>
  <c r="O239" i="3"/>
  <c r="AE239" i="3"/>
  <c r="AF239" i="3"/>
  <c r="U239" i="3"/>
  <c r="V239" i="3"/>
  <c r="G239" i="3"/>
  <c r="H239" i="3" s="1"/>
  <c r="D239" i="3"/>
  <c r="C239" i="3"/>
  <c r="F239" i="3"/>
  <c r="S239" i="3"/>
  <c r="X238" i="3"/>
  <c r="BM238" i="3"/>
  <c r="AH238" i="3"/>
  <c r="AO238" i="3"/>
  <c r="AX237" i="3"/>
  <c r="BA236" i="3"/>
  <c r="AV236" i="3"/>
  <c r="BG235" i="3" l="1"/>
  <c r="BH235" i="3" s="1"/>
  <c r="BI235" i="3" s="1"/>
  <c r="BC236" i="3"/>
  <c r="BG236" i="3" s="1"/>
  <c r="BH236" i="3" s="1"/>
  <c r="BI236" i="3" s="1"/>
  <c r="AY237" i="3"/>
  <c r="AV237" i="3"/>
  <c r="BM239" i="3"/>
  <c r="AN239" i="3"/>
  <c r="AX238" i="3"/>
  <c r="Y239" i="3"/>
  <c r="Z239" i="3" s="1"/>
  <c r="BB236" i="3"/>
  <c r="BF236" i="3"/>
  <c r="BJ235" i="3" s="1"/>
  <c r="BQ236" i="3"/>
  <c r="AU238" i="3"/>
  <c r="AW238" i="3"/>
  <c r="BA237" i="3"/>
  <c r="AT238" i="3"/>
  <c r="X239" i="3"/>
  <c r="BN239" i="3"/>
  <c r="AG239" i="3"/>
  <c r="AH239" i="3"/>
  <c r="AO239" i="3"/>
  <c r="A241" i="3"/>
  <c r="B240" i="3"/>
  <c r="AR240" i="3"/>
  <c r="AQ240" i="3"/>
  <c r="D240" i="3"/>
  <c r="AM240" i="3"/>
  <c r="AK240" i="3"/>
  <c r="S240" i="3"/>
  <c r="Q240" i="3"/>
  <c r="T240" i="3"/>
  <c r="O240" i="3"/>
  <c r="P240" i="3"/>
  <c r="R240" i="3"/>
  <c r="AD240" i="3"/>
  <c r="M240" i="3"/>
  <c r="AE240" i="3"/>
  <c r="AF240" i="3"/>
  <c r="V240" i="3"/>
  <c r="U240" i="3"/>
  <c r="C240" i="3"/>
  <c r="F240" i="3"/>
  <c r="G240" i="3"/>
  <c r="H240" i="3" s="1"/>
  <c r="BK235" i="3" l="1"/>
  <c r="BD236" i="3"/>
  <c r="AY238" i="3"/>
  <c r="BC237" i="3"/>
  <c r="BD237" i="3" s="1"/>
  <c r="BN240" i="3"/>
  <c r="AG240" i="3"/>
  <c r="AN240" i="3"/>
  <c r="AX239" i="3"/>
  <c r="X240" i="3"/>
  <c r="Y240" i="3"/>
  <c r="Z240" i="3" s="1"/>
  <c r="AR241" i="3"/>
  <c r="B241" i="3"/>
  <c r="AQ241" i="3"/>
  <c r="A242" i="3"/>
  <c r="AK241" i="3"/>
  <c r="R241" i="3"/>
  <c r="C241" i="3"/>
  <c r="AM241" i="3"/>
  <c r="Q241" i="3"/>
  <c r="AD241" i="3"/>
  <c r="O241" i="3"/>
  <c r="M241" i="3"/>
  <c r="U241" i="3"/>
  <c r="P241" i="3"/>
  <c r="AF241" i="3"/>
  <c r="AE241" i="3"/>
  <c r="V241" i="3"/>
  <c r="D241" i="3"/>
  <c r="G241" i="3"/>
  <c r="H241" i="3" s="1"/>
  <c r="F241" i="3"/>
  <c r="S241" i="3"/>
  <c r="T241" i="3"/>
  <c r="AU239" i="3"/>
  <c r="AW239" i="3"/>
  <c r="BA238" i="3"/>
  <c r="AV238" i="3"/>
  <c r="AH240" i="3"/>
  <c r="AT239" i="3"/>
  <c r="BM240" i="3"/>
  <c r="AO240" i="3"/>
  <c r="BB237" i="3"/>
  <c r="BQ237" i="3"/>
  <c r="BF237" i="3"/>
  <c r="BJ236" i="3" s="1"/>
  <c r="BK236" i="3" s="1"/>
  <c r="AY239" i="3" l="1"/>
  <c r="BG237" i="3"/>
  <c r="BH237" i="3" s="1"/>
  <c r="BI237" i="3" s="1"/>
  <c r="BC238" i="3"/>
  <c r="BD238" i="3" s="1"/>
  <c r="AN241" i="3"/>
  <c r="BM241" i="3"/>
  <c r="AU240" i="3"/>
  <c r="AG241" i="3"/>
  <c r="AW240" i="3"/>
  <c r="AT240" i="3"/>
  <c r="Y241" i="3"/>
  <c r="Z241" i="3" s="1"/>
  <c r="BA239" i="3"/>
  <c r="AV239" i="3"/>
  <c r="BB238" i="3"/>
  <c r="BQ238" i="3"/>
  <c r="BF238" i="3"/>
  <c r="BJ237" i="3" s="1"/>
  <c r="AX240" i="3"/>
  <c r="X241" i="3"/>
  <c r="BN241" i="3"/>
  <c r="AO241" i="3"/>
  <c r="AR242" i="3"/>
  <c r="B242" i="3"/>
  <c r="AQ242" i="3"/>
  <c r="A243" i="3"/>
  <c r="C242" i="3"/>
  <c r="D242" i="3"/>
  <c r="AM242" i="3"/>
  <c r="T242" i="3"/>
  <c r="S242" i="3"/>
  <c r="Q242" i="3"/>
  <c r="AK242" i="3"/>
  <c r="AD242" i="3"/>
  <c r="P242" i="3"/>
  <c r="AE242" i="3"/>
  <c r="O242" i="3"/>
  <c r="M242" i="3"/>
  <c r="AF242" i="3"/>
  <c r="U242" i="3"/>
  <c r="V242" i="3"/>
  <c r="G242" i="3"/>
  <c r="H242" i="3" s="1"/>
  <c r="F242" i="3"/>
  <c r="BM242" i="3" s="1"/>
  <c r="R242" i="3"/>
  <c r="AH241" i="3"/>
  <c r="BN242" i="3" l="1"/>
  <c r="AY240" i="3"/>
  <c r="BC239" i="3"/>
  <c r="BG239" i="3" s="1"/>
  <c r="BH239" i="3" s="1"/>
  <c r="BI239" i="3" s="1"/>
  <c r="BK237" i="3"/>
  <c r="AO242" i="3"/>
  <c r="BG238" i="3"/>
  <c r="BH238" i="3" s="1"/>
  <c r="BI238" i="3" s="1"/>
  <c r="AX241" i="3"/>
  <c r="AV240" i="3"/>
  <c r="AG242" i="3"/>
  <c r="AW241" i="3"/>
  <c r="BA240" i="3"/>
  <c r="BQ240" i="3" s="1"/>
  <c r="BB239" i="3"/>
  <c r="BF239" i="3"/>
  <c r="BJ238" i="3" s="1"/>
  <c r="BQ239" i="3"/>
  <c r="AN242" i="3"/>
  <c r="X242" i="3"/>
  <c r="AU241" i="3"/>
  <c r="Y242" i="3"/>
  <c r="Z242" i="3" s="1"/>
  <c r="AQ243" i="3"/>
  <c r="B243" i="3"/>
  <c r="A244" i="3"/>
  <c r="AR243" i="3"/>
  <c r="D243" i="3"/>
  <c r="AM243" i="3"/>
  <c r="AK243" i="3"/>
  <c r="S243" i="3"/>
  <c r="Q243" i="3"/>
  <c r="R243" i="3"/>
  <c r="AD243" i="3"/>
  <c r="P243" i="3"/>
  <c r="O243" i="3"/>
  <c r="U243" i="3"/>
  <c r="M243" i="3"/>
  <c r="AE243" i="3"/>
  <c r="AF243" i="3"/>
  <c r="V243" i="3"/>
  <c r="C243" i="3"/>
  <c r="G243" i="3"/>
  <c r="H243" i="3" s="1"/>
  <c r="F243" i="3"/>
  <c r="T243" i="3"/>
  <c r="AH242" i="3"/>
  <c r="AT241" i="3"/>
  <c r="BM243" i="3" l="1"/>
  <c r="BD239" i="3"/>
  <c r="BC240" i="3"/>
  <c r="BG240" i="3" s="1"/>
  <c r="BH240" i="3" s="1"/>
  <c r="BI240" i="3" s="1"/>
  <c r="BK238" i="3"/>
  <c r="AY241" i="3"/>
  <c r="AV241" i="3"/>
  <c r="BB240" i="3"/>
  <c r="BN243" i="3"/>
  <c r="Y243" i="3"/>
  <c r="Z243" i="3" s="1"/>
  <c r="BF240" i="3"/>
  <c r="BJ239" i="3" s="1"/>
  <c r="BK239" i="3" s="1"/>
  <c r="AO243" i="3"/>
  <c r="AX242" i="3"/>
  <c r="AH243" i="3"/>
  <c r="AG243" i="3"/>
  <c r="AN243" i="3"/>
  <c r="BA241" i="3"/>
  <c r="AU242" i="3"/>
  <c r="A245" i="3"/>
  <c r="B244" i="3"/>
  <c r="AR244" i="3"/>
  <c r="AQ244" i="3"/>
  <c r="D244" i="3"/>
  <c r="R244" i="3"/>
  <c r="AM244" i="3"/>
  <c r="AK244" i="3"/>
  <c r="Q244" i="3"/>
  <c r="S244" i="3"/>
  <c r="P244" i="3"/>
  <c r="AD244" i="3"/>
  <c r="AE244" i="3"/>
  <c r="M244" i="3"/>
  <c r="O244" i="3"/>
  <c r="AF244" i="3"/>
  <c r="V244" i="3"/>
  <c r="U244" i="3"/>
  <c r="C244" i="3"/>
  <c r="F244" i="3"/>
  <c r="G244" i="3"/>
  <c r="H244" i="3" s="1"/>
  <c r="BN244" i="3" s="1"/>
  <c r="T244" i="3"/>
  <c r="X243" i="3"/>
  <c r="AT242" i="3"/>
  <c r="AW242" i="3"/>
  <c r="AY242" i="3" l="1"/>
  <c r="BD240" i="3"/>
  <c r="BC241" i="3"/>
  <c r="BD241" i="3" s="1"/>
  <c r="AG244" i="3"/>
  <c r="AN244" i="3"/>
  <c r="AX243" i="3"/>
  <c r="AT243" i="3"/>
  <c r="X244" i="3"/>
  <c r="AU243" i="3"/>
  <c r="AW243" i="3"/>
  <c r="BA242" i="3"/>
  <c r="Y244" i="3"/>
  <c r="Z244" i="3" s="1"/>
  <c r="BM244" i="3"/>
  <c r="AH244" i="3"/>
  <c r="AO244" i="3"/>
  <c r="AV242" i="3"/>
  <c r="AR245" i="3"/>
  <c r="B245" i="3"/>
  <c r="AQ245" i="3"/>
  <c r="A246" i="3"/>
  <c r="C245" i="3"/>
  <c r="AK245" i="3"/>
  <c r="D245" i="3"/>
  <c r="AM245" i="3"/>
  <c r="T245" i="3"/>
  <c r="Q245" i="3"/>
  <c r="R245" i="3"/>
  <c r="AD245" i="3"/>
  <c r="P245" i="3"/>
  <c r="O245" i="3"/>
  <c r="AE245" i="3"/>
  <c r="M245" i="3"/>
  <c r="U245" i="3"/>
  <c r="AF245" i="3"/>
  <c r="V245" i="3"/>
  <c r="G245" i="3"/>
  <c r="H245" i="3" s="1"/>
  <c r="F245" i="3"/>
  <c r="S245" i="3"/>
  <c r="BF241" i="3"/>
  <c r="BJ240" i="3" s="1"/>
  <c r="BK240" i="3" s="1"/>
  <c r="BB241" i="3"/>
  <c r="BQ241" i="3"/>
  <c r="BM245" i="3" l="1"/>
  <c r="BC242" i="3"/>
  <c r="BG242" i="3" s="1"/>
  <c r="BH242" i="3" s="1"/>
  <c r="BI242" i="3" s="1"/>
  <c r="AN245" i="3"/>
  <c r="BG241" i="3"/>
  <c r="BH241" i="3" s="1"/>
  <c r="BI241" i="3" s="1"/>
  <c r="AY243" i="3"/>
  <c r="AV243" i="3"/>
  <c r="BN245" i="3"/>
  <c r="AX244" i="3"/>
  <c r="AG245" i="3"/>
  <c r="AU244" i="3"/>
  <c r="AT244" i="3"/>
  <c r="AR246" i="3"/>
  <c r="B246" i="3"/>
  <c r="AQ246" i="3"/>
  <c r="A247" i="3"/>
  <c r="C246" i="3"/>
  <c r="AK246" i="3"/>
  <c r="AM246" i="3"/>
  <c r="S246" i="3"/>
  <c r="R246" i="3"/>
  <c r="AD246" i="3"/>
  <c r="Q246" i="3"/>
  <c r="O246" i="3"/>
  <c r="AE246" i="3"/>
  <c r="M246" i="3"/>
  <c r="AF246" i="3"/>
  <c r="P246" i="3"/>
  <c r="V246" i="3"/>
  <c r="U246" i="3"/>
  <c r="D246" i="3"/>
  <c r="F246" i="3"/>
  <c r="G246" i="3"/>
  <c r="H246" i="3" s="1"/>
  <c r="T246" i="3"/>
  <c r="BQ242" i="3"/>
  <c r="BB242" i="3"/>
  <c r="BF242" i="3"/>
  <c r="BJ241" i="3" s="1"/>
  <c r="BK241" i="3" s="1"/>
  <c r="X245" i="3"/>
  <c r="AH245" i="3"/>
  <c r="AO245" i="3"/>
  <c r="AW244" i="3"/>
  <c r="Y245" i="3"/>
  <c r="Z245" i="3" s="1"/>
  <c r="BA243" i="3"/>
  <c r="BD242" i="3" l="1"/>
  <c r="BN246" i="3"/>
  <c r="AU245" i="3"/>
  <c r="BC243" i="3"/>
  <c r="BD243" i="3" s="1"/>
  <c r="BM246" i="3"/>
  <c r="AY244" i="3"/>
  <c r="AV244" i="3"/>
  <c r="AW245" i="3"/>
  <c r="AT245" i="3"/>
  <c r="AO246" i="3"/>
  <c r="Y246" i="3"/>
  <c r="Z246" i="3" s="1"/>
  <c r="BF243" i="3"/>
  <c r="BQ243" i="3"/>
  <c r="BB243" i="3"/>
  <c r="AX245" i="3"/>
  <c r="AH246" i="3"/>
  <c r="AG246" i="3"/>
  <c r="AN246" i="3"/>
  <c r="X246" i="3"/>
  <c r="BA244" i="3"/>
  <c r="AQ247" i="3"/>
  <c r="B247" i="3"/>
  <c r="A248" i="3"/>
  <c r="AR247" i="3"/>
  <c r="AK247" i="3"/>
  <c r="AM247" i="3"/>
  <c r="T247" i="3"/>
  <c r="S247" i="3"/>
  <c r="R247" i="3"/>
  <c r="AD247" i="3"/>
  <c r="P247" i="3"/>
  <c r="O247" i="3"/>
  <c r="M247" i="3"/>
  <c r="AF247" i="3"/>
  <c r="AE247" i="3"/>
  <c r="V247" i="3"/>
  <c r="U247" i="3"/>
  <c r="Q247" i="3"/>
  <c r="G247" i="3"/>
  <c r="H247" i="3" s="1"/>
  <c r="D247" i="3"/>
  <c r="C247" i="3"/>
  <c r="F247" i="3"/>
  <c r="AV245" i="3" l="1"/>
  <c r="BG243" i="3"/>
  <c r="BH243" i="3" s="1"/>
  <c r="BI243" i="3" s="1"/>
  <c r="BC244" i="3"/>
  <c r="BG244" i="3" s="1"/>
  <c r="BH244" i="3" s="1"/>
  <c r="BI244" i="3" s="1"/>
  <c r="BM247" i="3"/>
  <c r="BA245" i="3"/>
  <c r="BQ245" i="3" s="1"/>
  <c r="AU246" i="3"/>
  <c r="AT246" i="3"/>
  <c r="AN247" i="3"/>
  <c r="AY245" i="3"/>
  <c r="BF244" i="3"/>
  <c r="BJ243" i="3" s="1"/>
  <c r="BK243" i="3" s="1"/>
  <c r="BQ244" i="3"/>
  <c r="BB244" i="3"/>
  <c r="A249" i="3"/>
  <c r="B248" i="3"/>
  <c r="AR248" i="3"/>
  <c r="AQ248" i="3"/>
  <c r="D248" i="3"/>
  <c r="AK248" i="3"/>
  <c r="T248" i="3"/>
  <c r="Q248" i="3"/>
  <c r="AM248" i="3"/>
  <c r="S248" i="3"/>
  <c r="R248" i="3"/>
  <c r="AD248" i="3"/>
  <c r="P248" i="3"/>
  <c r="O248" i="3"/>
  <c r="AF248" i="3"/>
  <c r="AE248" i="3"/>
  <c r="U248" i="3"/>
  <c r="V248" i="3"/>
  <c r="M248" i="3"/>
  <c r="C248" i="3"/>
  <c r="G248" i="3"/>
  <c r="H248" i="3" s="1"/>
  <c r="F248" i="3"/>
  <c r="BJ242" i="3"/>
  <c r="BK242" i="3" s="1"/>
  <c r="X247" i="3"/>
  <c r="BN247" i="3"/>
  <c r="AG247" i="3"/>
  <c r="AO247" i="3"/>
  <c r="AW246" i="3"/>
  <c r="Y247" i="3"/>
  <c r="Z247" i="3" s="1"/>
  <c r="AH247" i="3"/>
  <c r="AX246" i="3"/>
  <c r="BN248" i="3" l="1"/>
  <c r="BC245" i="3"/>
  <c r="BG245" i="3" s="1"/>
  <c r="BH245" i="3" s="1"/>
  <c r="BI245" i="3" s="1"/>
  <c r="BM248" i="3"/>
  <c r="BD244" i="3"/>
  <c r="AT247" i="3"/>
  <c r="BF245" i="3"/>
  <c r="BJ244" i="3" s="1"/>
  <c r="BK244" i="3" s="1"/>
  <c r="AV246" i="3"/>
  <c r="AO248" i="3"/>
  <c r="BB245" i="3"/>
  <c r="AY246" i="3"/>
  <c r="AH248" i="3"/>
  <c r="AG248" i="3"/>
  <c r="Y248" i="3"/>
  <c r="Z248" i="3" s="1"/>
  <c r="AR249" i="3"/>
  <c r="B249" i="3"/>
  <c r="AQ249" i="3"/>
  <c r="A250" i="3"/>
  <c r="C249" i="3"/>
  <c r="AK249" i="3"/>
  <c r="AM249" i="3"/>
  <c r="T249" i="3"/>
  <c r="Q249" i="3"/>
  <c r="P249" i="3"/>
  <c r="AD249" i="3"/>
  <c r="O249" i="3"/>
  <c r="U249" i="3"/>
  <c r="AE249" i="3"/>
  <c r="AF249" i="3"/>
  <c r="M249" i="3"/>
  <c r="V249" i="3"/>
  <c r="D249" i="3"/>
  <c r="R249" i="3"/>
  <c r="F249" i="3"/>
  <c r="G249" i="3"/>
  <c r="H249" i="3" s="1"/>
  <c r="S249" i="3"/>
  <c r="AX247" i="3"/>
  <c r="AU247" i="3"/>
  <c r="AW247" i="3"/>
  <c r="AN248" i="3"/>
  <c r="X248" i="3"/>
  <c r="BA246" i="3"/>
  <c r="BD245" i="3" l="1"/>
  <c r="BC246" i="3"/>
  <c r="BD246" i="3" s="1"/>
  <c r="AV247" i="3"/>
  <c r="AY247" i="3"/>
  <c r="BM249" i="3"/>
  <c r="AG249" i="3"/>
  <c r="AT248" i="3"/>
  <c r="AO249" i="3"/>
  <c r="AU248" i="3"/>
  <c r="BA247" i="3"/>
  <c r="BB247" i="3" s="1"/>
  <c r="Y249" i="3"/>
  <c r="Z249" i="3" s="1"/>
  <c r="BF246" i="3"/>
  <c r="BJ245" i="3" s="1"/>
  <c r="BK245" i="3" s="1"/>
  <c r="BB246" i="3"/>
  <c r="BQ246" i="3"/>
  <c r="BN249" i="3"/>
  <c r="AH249" i="3"/>
  <c r="AN249" i="3"/>
  <c r="AX248" i="3"/>
  <c r="AR250" i="3"/>
  <c r="B250" i="3"/>
  <c r="AQ250" i="3"/>
  <c r="A251" i="3"/>
  <c r="AM250" i="3"/>
  <c r="Q250" i="3"/>
  <c r="AK250" i="3"/>
  <c r="AD250" i="3"/>
  <c r="P250" i="3"/>
  <c r="T250" i="3"/>
  <c r="S250" i="3"/>
  <c r="R250" i="3"/>
  <c r="M250" i="3"/>
  <c r="AE250" i="3"/>
  <c r="U250" i="3"/>
  <c r="O250" i="3"/>
  <c r="AF250" i="3"/>
  <c r="V250" i="3"/>
  <c r="D250" i="3"/>
  <c r="C250" i="3"/>
  <c r="G250" i="3"/>
  <c r="H250" i="3" s="1"/>
  <c r="F250" i="3"/>
  <c r="X249" i="3"/>
  <c r="AW248" i="3"/>
  <c r="BM250" i="3" l="1"/>
  <c r="BN250" i="3"/>
  <c r="BG246" i="3"/>
  <c r="BH246" i="3" s="1"/>
  <c r="BI246" i="3" s="1"/>
  <c r="AV248" i="3"/>
  <c r="AO250" i="3"/>
  <c r="BC247" i="3"/>
  <c r="BD247" i="3" s="1"/>
  <c r="AU249" i="3"/>
  <c r="AG250" i="3"/>
  <c r="AX249" i="3"/>
  <c r="BQ247" i="3"/>
  <c r="AW249" i="3"/>
  <c r="BF247" i="3"/>
  <c r="BJ246" i="3" s="1"/>
  <c r="BK246" i="3" s="1"/>
  <c r="AQ251" i="3"/>
  <c r="B251" i="3"/>
  <c r="A252" i="3"/>
  <c r="AR251" i="3"/>
  <c r="D251" i="3"/>
  <c r="AK251" i="3"/>
  <c r="S251" i="3"/>
  <c r="AM251" i="3"/>
  <c r="R251" i="3"/>
  <c r="Q251" i="3"/>
  <c r="AD251" i="3"/>
  <c r="P251" i="3"/>
  <c r="O251" i="3"/>
  <c r="AF251" i="3"/>
  <c r="V251" i="3"/>
  <c r="U251" i="3"/>
  <c r="M251" i="3"/>
  <c r="AE251" i="3"/>
  <c r="F251" i="3"/>
  <c r="C251" i="3"/>
  <c r="G251" i="3"/>
  <c r="H251" i="3" s="1"/>
  <c r="BN251" i="3" s="1"/>
  <c r="T251" i="3"/>
  <c r="Y250" i="3"/>
  <c r="Z250" i="3" s="1"/>
  <c r="X250" i="3"/>
  <c r="AH250" i="3"/>
  <c r="AY248" i="3"/>
  <c r="AN250" i="3"/>
  <c r="AT249" i="3"/>
  <c r="BA248" i="3"/>
  <c r="BC248" i="3" l="1"/>
  <c r="BG248" i="3" s="1"/>
  <c r="BH248" i="3" s="1"/>
  <c r="BI248" i="3" s="1"/>
  <c r="AN251" i="3"/>
  <c r="AY249" i="3"/>
  <c r="BG247" i="3"/>
  <c r="BH247" i="3" s="1"/>
  <c r="BI247" i="3" s="1"/>
  <c r="AU250" i="3"/>
  <c r="AW250" i="3"/>
  <c r="AT250" i="3"/>
  <c r="AG251" i="3"/>
  <c r="Y251" i="3"/>
  <c r="Z251" i="3" s="1"/>
  <c r="X251" i="3"/>
  <c r="BQ248" i="3"/>
  <c r="BF248" i="3"/>
  <c r="BJ247" i="3" s="1"/>
  <c r="BK247" i="3" s="1"/>
  <c r="BB248" i="3"/>
  <c r="AV249" i="3"/>
  <c r="BA249" i="3"/>
  <c r="A253" i="3"/>
  <c r="B252" i="3"/>
  <c r="AR252" i="3"/>
  <c r="AQ252" i="3"/>
  <c r="AK252" i="3"/>
  <c r="T252" i="3"/>
  <c r="C252" i="3"/>
  <c r="AM252" i="3"/>
  <c r="AD252" i="3"/>
  <c r="Q252" i="3"/>
  <c r="P252" i="3"/>
  <c r="M252" i="3"/>
  <c r="AE252" i="3"/>
  <c r="V252" i="3"/>
  <c r="U252" i="3"/>
  <c r="O252" i="3"/>
  <c r="AF252" i="3"/>
  <c r="D252" i="3"/>
  <c r="R252" i="3"/>
  <c r="G252" i="3"/>
  <c r="H252" i="3" s="1"/>
  <c r="F252" i="3"/>
  <c r="S252" i="3"/>
  <c r="AX250" i="3"/>
  <c r="BM251" i="3"/>
  <c r="AH251" i="3"/>
  <c r="AO251" i="3"/>
  <c r="BM252" i="3" l="1"/>
  <c r="BN252" i="3"/>
  <c r="BD248" i="3"/>
  <c r="AV250" i="3"/>
  <c r="AY250" i="3"/>
  <c r="BC249" i="3"/>
  <c r="BD249" i="3" s="1"/>
  <c r="AX251" i="3"/>
  <c r="AO252" i="3"/>
  <c r="AT251" i="3"/>
  <c r="AU251" i="3"/>
  <c r="Y252" i="3"/>
  <c r="Z252" i="3" s="1"/>
  <c r="BF249" i="3"/>
  <c r="BJ248" i="3" s="1"/>
  <c r="BK248" i="3" s="1"/>
  <c r="BQ249" i="3"/>
  <c r="BB249" i="3"/>
  <c r="AW251" i="3"/>
  <c r="BA250" i="3"/>
  <c r="X252" i="3"/>
  <c r="AN252" i="3"/>
  <c r="AR253" i="3"/>
  <c r="B253" i="3"/>
  <c r="AQ253" i="3"/>
  <c r="A254" i="3"/>
  <c r="C253" i="3"/>
  <c r="AM253" i="3"/>
  <c r="S253" i="3"/>
  <c r="AK253" i="3"/>
  <c r="R253" i="3"/>
  <c r="AD253" i="3"/>
  <c r="Q253" i="3"/>
  <c r="P253" i="3"/>
  <c r="O253" i="3"/>
  <c r="V253" i="3"/>
  <c r="AF253" i="3"/>
  <c r="M253" i="3"/>
  <c r="AE253" i="3"/>
  <c r="U253" i="3"/>
  <c r="D253" i="3"/>
  <c r="G253" i="3"/>
  <c r="H253" i="3" s="1"/>
  <c r="F253" i="3"/>
  <c r="BM253" i="3" s="1"/>
  <c r="T253" i="3"/>
  <c r="AG252" i="3"/>
  <c r="AH252" i="3"/>
  <c r="AY251" i="3" l="1"/>
  <c r="BC250" i="3"/>
  <c r="BD250" i="3" s="1"/>
  <c r="BG249" i="3"/>
  <c r="BH249" i="3" s="1"/>
  <c r="BI249" i="3" s="1"/>
  <c r="AV251" i="3"/>
  <c r="AO253" i="3"/>
  <c r="AG253" i="3"/>
  <c r="AW252" i="3"/>
  <c r="BA251" i="3"/>
  <c r="BB251" i="3" s="1"/>
  <c r="AR254" i="3"/>
  <c r="B254" i="3"/>
  <c r="AQ254" i="3"/>
  <c r="A255" i="3"/>
  <c r="C254" i="3"/>
  <c r="AM254" i="3"/>
  <c r="R254" i="3"/>
  <c r="D254" i="3"/>
  <c r="AK254" i="3"/>
  <c r="Q254" i="3"/>
  <c r="P254" i="3"/>
  <c r="AD254" i="3"/>
  <c r="M254" i="3"/>
  <c r="U254" i="3"/>
  <c r="O254" i="3"/>
  <c r="AE254" i="3"/>
  <c r="AF254" i="3"/>
  <c r="V254" i="3"/>
  <c r="G254" i="3"/>
  <c r="H254" i="3" s="1"/>
  <c r="F254" i="3"/>
  <c r="T254" i="3"/>
  <c r="S254" i="3"/>
  <c r="AT252" i="3"/>
  <c r="X253" i="3"/>
  <c r="AX252" i="3"/>
  <c r="Y253" i="3"/>
  <c r="Z253" i="3" s="1"/>
  <c r="BN253" i="3"/>
  <c r="AH253" i="3"/>
  <c r="AN253" i="3"/>
  <c r="AU252" i="3"/>
  <c r="BF250" i="3"/>
  <c r="BJ249" i="3" s="1"/>
  <c r="BK249" i="3" s="1"/>
  <c r="BB250" i="3"/>
  <c r="BQ250" i="3"/>
  <c r="BC251" i="3" l="1"/>
  <c r="BD251" i="3" s="1"/>
  <c r="BG250" i="3"/>
  <c r="BH250" i="3" s="1"/>
  <c r="BI250" i="3" s="1"/>
  <c r="AU253" i="3"/>
  <c r="BM254" i="3"/>
  <c r="AT253" i="3"/>
  <c r="BQ251" i="3"/>
  <c r="AW253" i="3"/>
  <c r="AG254" i="3"/>
  <c r="AN254" i="3"/>
  <c r="BF251" i="3"/>
  <c r="BJ250" i="3" s="1"/>
  <c r="BK250" i="3" s="1"/>
  <c r="BA252" i="3"/>
  <c r="BQ252" i="3" s="1"/>
  <c r="AY252" i="3"/>
  <c r="AX253" i="3"/>
  <c r="AV252" i="3"/>
  <c r="Y254" i="3"/>
  <c r="Z254" i="3" s="1"/>
  <c r="BN254" i="3"/>
  <c r="AO254" i="3"/>
  <c r="AQ255" i="3"/>
  <c r="B255" i="3"/>
  <c r="A256" i="3"/>
  <c r="AR255" i="3"/>
  <c r="AM255" i="3"/>
  <c r="Q255" i="3"/>
  <c r="AK255" i="3"/>
  <c r="S255" i="3"/>
  <c r="AD255" i="3"/>
  <c r="O255" i="3"/>
  <c r="AE255" i="3"/>
  <c r="M255" i="3"/>
  <c r="P255" i="3"/>
  <c r="AF255" i="3"/>
  <c r="V255" i="3"/>
  <c r="U255" i="3"/>
  <c r="G255" i="3"/>
  <c r="H255" i="3" s="1"/>
  <c r="R255" i="3"/>
  <c r="D255" i="3"/>
  <c r="C255" i="3"/>
  <c r="F255" i="3"/>
  <c r="T255" i="3"/>
  <c r="X254" i="3"/>
  <c r="AH254" i="3"/>
  <c r="BG251" i="3" l="1"/>
  <c r="BH251" i="3" s="1"/>
  <c r="BI251" i="3" s="1"/>
  <c r="AV253" i="3"/>
  <c r="AO255" i="3"/>
  <c r="BA253" i="3"/>
  <c r="BF253" i="3" s="1"/>
  <c r="BM255" i="3"/>
  <c r="BN255" i="3"/>
  <c r="BF252" i="3"/>
  <c r="BJ251" i="3" s="1"/>
  <c r="BK251" i="3" s="1"/>
  <c r="AG255" i="3"/>
  <c r="AW254" i="3"/>
  <c r="BB252" i="3"/>
  <c r="AX254" i="3"/>
  <c r="AY253" i="3"/>
  <c r="Y255" i="3"/>
  <c r="Z255" i="3" s="1"/>
  <c r="X255" i="3"/>
  <c r="AT254" i="3"/>
  <c r="A257" i="3"/>
  <c r="B256" i="3"/>
  <c r="AR256" i="3"/>
  <c r="AQ256" i="3"/>
  <c r="C256" i="3"/>
  <c r="AK256" i="3"/>
  <c r="S256" i="3"/>
  <c r="AM256" i="3"/>
  <c r="R256" i="3"/>
  <c r="AD256" i="3"/>
  <c r="Q256" i="3"/>
  <c r="P256" i="3"/>
  <c r="O256" i="3"/>
  <c r="M256" i="3"/>
  <c r="AF256" i="3"/>
  <c r="V256" i="3"/>
  <c r="AE256" i="3"/>
  <c r="U256" i="3"/>
  <c r="G256" i="3"/>
  <c r="H256" i="3" s="1"/>
  <c r="D256" i="3"/>
  <c r="F256" i="3"/>
  <c r="T256" i="3"/>
  <c r="AH255" i="3"/>
  <c r="AN255" i="3"/>
  <c r="AU254" i="3"/>
  <c r="BC252" i="3"/>
  <c r="BM256" i="3" l="1"/>
  <c r="BC253" i="3"/>
  <c r="BG253" i="3" s="1"/>
  <c r="BH253" i="3" s="1"/>
  <c r="BI253" i="3" s="1"/>
  <c r="AN256" i="3"/>
  <c r="AU255" i="3"/>
  <c r="BN256" i="3"/>
  <c r="BB253" i="3"/>
  <c r="BQ253" i="3"/>
  <c r="AY254" i="3"/>
  <c r="BJ252" i="3"/>
  <c r="BK252" i="3" s="1"/>
  <c r="AW255" i="3"/>
  <c r="AG256" i="3"/>
  <c r="BD252" i="3"/>
  <c r="BG252" i="3"/>
  <c r="BH252" i="3" s="1"/>
  <c r="BI252" i="3" s="1"/>
  <c r="AX255" i="3"/>
  <c r="Y256" i="3"/>
  <c r="Z256" i="3" s="1"/>
  <c r="AH256" i="3"/>
  <c r="AO256" i="3"/>
  <c r="AT255" i="3"/>
  <c r="AR257" i="3"/>
  <c r="B257" i="3"/>
  <c r="AQ257" i="3"/>
  <c r="A258" i="3"/>
  <c r="AM257" i="3"/>
  <c r="AK257" i="3"/>
  <c r="T257" i="3"/>
  <c r="S257" i="3"/>
  <c r="Q257" i="3"/>
  <c r="R257" i="3"/>
  <c r="AD257" i="3"/>
  <c r="P257" i="3"/>
  <c r="AE257" i="3"/>
  <c r="M257" i="3"/>
  <c r="AF257" i="3"/>
  <c r="V257" i="3"/>
  <c r="U257" i="3"/>
  <c r="O257" i="3"/>
  <c r="D257" i="3"/>
  <c r="F257" i="3"/>
  <c r="C257" i="3"/>
  <c r="G257" i="3"/>
  <c r="H257" i="3" s="1"/>
  <c r="BA254" i="3"/>
  <c r="AV254" i="3"/>
  <c r="X256" i="3"/>
  <c r="BD253" i="3" l="1"/>
  <c r="BC254" i="3"/>
  <c r="BD254" i="3" s="1"/>
  <c r="AV255" i="3"/>
  <c r="AY255" i="3"/>
  <c r="AU256" i="3"/>
  <c r="AG257" i="3"/>
  <c r="AT256" i="3"/>
  <c r="AW256" i="3"/>
  <c r="AN257" i="3"/>
  <c r="AX256" i="3"/>
  <c r="BA255" i="3"/>
  <c r="BQ255" i="3" s="1"/>
  <c r="Y257" i="3"/>
  <c r="Z257" i="3" s="1"/>
  <c r="X257" i="3"/>
  <c r="BM257" i="3"/>
  <c r="AR258" i="3"/>
  <c r="B258" i="3"/>
  <c r="AQ258" i="3"/>
  <c r="A259" i="3"/>
  <c r="D258" i="3"/>
  <c r="C258" i="3"/>
  <c r="AK258" i="3"/>
  <c r="AM258" i="3"/>
  <c r="R258" i="3"/>
  <c r="Q258" i="3"/>
  <c r="AD258" i="3"/>
  <c r="P258" i="3"/>
  <c r="O258" i="3"/>
  <c r="AF258" i="3"/>
  <c r="AE258" i="3"/>
  <c r="M258" i="3"/>
  <c r="V258" i="3"/>
  <c r="U258" i="3"/>
  <c r="F258" i="3"/>
  <c r="G258" i="3"/>
  <c r="H258" i="3" s="1"/>
  <c r="S258" i="3"/>
  <c r="T258" i="3"/>
  <c r="AH257" i="3"/>
  <c r="BN257" i="3"/>
  <c r="AO257" i="3"/>
  <c r="BQ254" i="3"/>
  <c r="BB254" i="3"/>
  <c r="BF254" i="3"/>
  <c r="BJ253" i="3" s="1"/>
  <c r="BK253" i="3" s="1"/>
  <c r="BG254" i="3" l="1"/>
  <c r="BH254" i="3" s="1"/>
  <c r="BI254" i="3" s="1"/>
  <c r="BC255" i="3"/>
  <c r="BD255" i="3" s="1"/>
  <c r="AV256" i="3"/>
  <c r="AN258" i="3"/>
  <c r="BN258" i="3"/>
  <c r="AY256" i="3"/>
  <c r="AT257" i="3"/>
  <c r="AU257" i="3"/>
  <c r="BA256" i="3"/>
  <c r="BF256" i="3" s="1"/>
  <c r="AW257" i="3"/>
  <c r="BF255" i="3"/>
  <c r="BJ254" i="3" s="1"/>
  <c r="BK254" i="3" s="1"/>
  <c r="BB255" i="3"/>
  <c r="Y258" i="3"/>
  <c r="Z258" i="3" s="1"/>
  <c r="AX257" i="3"/>
  <c r="X258" i="3"/>
  <c r="BM258" i="3"/>
  <c r="AG258" i="3"/>
  <c r="AH258" i="3"/>
  <c r="AO258" i="3"/>
  <c r="AQ259" i="3"/>
  <c r="B259" i="3"/>
  <c r="A260" i="3"/>
  <c r="AR259" i="3"/>
  <c r="C259" i="3"/>
  <c r="D259" i="3"/>
  <c r="AM259" i="3"/>
  <c r="AK259" i="3"/>
  <c r="T259" i="3"/>
  <c r="Q259" i="3"/>
  <c r="R259" i="3"/>
  <c r="AD259" i="3"/>
  <c r="P259" i="3"/>
  <c r="O259" i="3"/>
  <c r="M259" i="3"/>
  <c r="AE259" i="3"/>
  <c r="V259" i="3"/>
  <c r="AF259" i="3"/>
  <c r="U259" i="3"/>
  <c r="G259" i="3"/>
  <c r="H259" i="3" s="1"/>
  <c r="F259" i="3"/>
  <c r="BM259" i="3" s="1"/>
  <c r="S259" i="3"/>
  <c r="BN259" i="3" l="1"/>
  <c r="BC256" i="3"/>
  <c r="BG256" i="3" s="1"/>
  <c r="BH256" i="3" s="1"/>
  <c r="BI256" i="3" s="1"/>
  <c r="BG255" i="3"/>
  <c r="BH255" i="3" s="1"/>
  <c r="BI255" i="3" s="1"/>
  <c r="AV257" i="3"/>
  <c r="AG259" i="3"/>
  <c r="AT258" i="3"/>
  <c r="BQ256" i="3"/>
  <c r="BB256" i="3"/>
  <c r="BA257" i="3"/>
  <c r="BF257" i="3" s="1"/>
  <c r="BJ256" i="3" s="1"/>
  <c r="BK256" i="3" s="1"/>
  <c r="AX258" i="3"/>
  <c r="BJ255" i="3"/>
  <c r="BK255" i="3" s="1"/>
  <c r="X259" i="3"/>
  <c r="AN259" i="3"/>
  <c r="AO259" i="3"/>
  <c r="Y259" i="3"/>
  <c r="Z259" i="3" s="1"/>
  <c r="A261" i="3"/>
  <c r="B260" i="3"/>
  <c r="AR260" i="3"/>
  <c r="AQ260" i="3"/>
  <c r="C260" i="3"/>
  <c r="AM260" i="3"/>
  <c r="Q260" i="3"/>
  <c r="AK260" i="3"/>
  <c r="T260" i="3"/>
  <c r="R260" i="3"/>
  <c r="AD260" i="3"/>
  <c r="P260" i="3"/>
  <c r="O260" i="3"/>
  <c r="M260" i="3"/>
  <c r="V260" i="3"/>
  <c r="AE260" i="3"/>
  <c r="AF260" i="3"/>
  <c r="U260" i="3"/>
  <c r="G260" i="3"/>
  <c r="H260" i="3" s="1"/>
  <c r="D260" i="3"/>
  <c r="F260" i="3"/>
  <c r="BM260" i="3" s="1"/>
  <c r="S260" i="3"/>
  <c r="AH259" i="3"/>
  <c r="AY257" i="3"/>
  <c r="AU258" i="3"/>
  <c r="AW258" i="3"/>
  <c r="BD256" i="3" l="1"/>
  <c r="BC257" i="3"/>
  <c r="BD257" i="3" s="1"/>
  <c r="AU259" i="3"/>
  <c r="BB257" i="3"/>
  <c r="BN260" i="3"/>
  <c r="BQ257" i="3"/>
  <c r="AV258" i="3"/>
  <c r="AY258" i="3"/>
  <c r="AW259" i="3"/>
  <c r="AT259" i="3"/>
  <c r="BA258" i="3"/>
  <c r="BQ258" i="3" s="1"/>
  <c r="Y260" i="3"/>
  <c r="Z260" i="3" s="1"/>
  <c r="AN260" i="3"/>
  <c r="AO260" i="3"/>
  <c r="AH260" i="3"/>
  <c r="AX259" i="3"/>
  <c r="X260" i="3"/>
  <c r="AG260" i="3"/>
  <c r="AR261" i="3"/>
  <c r="B261" i="3"/>
  <c r="AQ261" i="3"/>
  <c r="A262" i="3"/>
  <c r="AK261" i="3"/>
  <c r="AM261" i="3"/>
  <c r="R261" i="3"/>
  <c r="S261" i="3"/>
  <c r="AD261" i="3"/>
  <c r="P261" i="3"/>
  <c r="O261" i="3"/>
  <c r="AE261" i="3"/>
  <c r="AF261" i="3"/>
  <c r="U261" i="3"/>
  <c r="V261" i="3"/>
  <c r="M261" i="3"/>
  <c r="Q261" i="3"/>
  <c r="C261" i="3"/>
  <c r="F261" i="3"/>
  <c r="D261" i="3"/>
  <c r="G261" i="3"/>
  <c r="H261" i="3" s="1"/>
  <c r="T261" i="3"/>
  <c r="BG257" i="3" l="1"/>
  <c r="BH257" i="3" s="1"/>
  <c r="BI257" i="3" s="1"/>
  <c r="AV259" i="3"/>
  <c r="BN261" i="3"/>
  <c r="BM261" i="3"/>
  <c r="BC258" i="3"/>
  <c r="BG258" i="3" s="1"/>
  <c r="BH258" i="3" s="1"/>
  <c r="BI258" i="3" s="1"/>
  <c r="BA259" i="3"/>
  <c r="BF259" i="3" s="1"/>
  <c r="BB258" i="3"/>
  <c r="AO261" i="3"/>
  <c r="BF258" i="3"/>
  <c r="BJ257" i="3" s="1"/>
  <c r="BK257" i="3" s="1"/>
  <c r="AU260" i="3"/>
  <c r="AY259" i="3"/>
  <c r="AX260" i="3"/>
  <c r="AW260" i="3"/>
  <c r="AR262" i="3"/>
  <c r="B262" i="3"/>
  <c r="AQ262" i="3"/>
  <c r="A263" i="3"/>
  <c r="C262" i="3"/>
  <c r="D262" i="3"/>
  <c r="AM262" i="3"/>
  <c r="T262" i="3"/>
  <c r="Q262" i="3"/>
  <c r="AK262" i="3"/>
  <c r="R262" i="3"/>
  <c r="AD262" i="3"/>
  <c r="P262" i="3"/>
  <c r="AE262" i="3"/>
  <c r="V262" i="3"/>
  <c r="U262" i="3"/>
  <c r="O262" i="3"/>
  <c r="AF262" i="3"/>
  <c r="M262" i="3"/>
  <c r="G262" i="3"/>
  <c r="H262" i="3" s="1"/>
  <c r="F262" i="3"/>
  <c r="S262" i="3"/>
  <c r="AH261" i="3"/>
  <c r="AT260" i="3"/>
  <c r="Y261" i="3"/>
  <c r="Z261" i="3" s="1"/>
  <c r="X261" i="3"/>
  <c r="AG261" i="3"/>
  <c r="AN261" i="3"/>
  <c r="BM262" i="3" l="1"/>
  <c r="BN262" i="3"/>
  <c r="BD258" i="3"/>
  <c r="BB259" i="3"/>
  <c r="BC259" i="3"/>
  <c r="BD259" i="3" s="1"/>
  <c r="AN262" i="3"/>
  <c r="BJ258" i="3"/>
  <c r="BK258" i="3" s="1"/>
  <c r="BQ259" i="3"/>
  <c r="AW261" i="3"/>
  <c r="Y262" i="3"/>
  <c r="Z262" i="3" s="1"/>
  <c r="AQ263" i="3"/>
  <c r="B263" i="3"/>
  <c r="A264" i="3"/>
  <c r="AR263" i="3"/>
  <c r="C263" i="3"/>
  <c r="AK263" i="3"/>
  <c r="AM263" i="3"/>
  <c r="Q263" i="3"/>
  <c r="R263" i="3"/>
  <c r="AD263" i="3"/>
  <c r="P263" i="3"/>
  <c r="O263" i="3"/>
  <c r="AE263" i="3"/>
  <c r="AF263" i="3"/>
  <c r="U263" i="3"/>
  <c r="M263" i="3"/>
  <c r="V263" i="3"/>
  <c r="F263" i="3"/>
  <c r="D263" i="3"/>
  <c r="G263" i="3"/>
  <c r="H263" i="3" s="1"/>
  <c r="T263" i="3"/>
  <c r="S263" i="3"/>
  <c r="AX261" i="3"/>
  <c r="AU261" i="3"/>
  <c r="AT261" i="3"/>
  <c r="X262" i="3"/>
  <c r="AG262" i="3"/>
  <c r="AH262" i="3"/>
  <c r="AO262" i="3"/>
  <c r="AY260" i="3"/>
  <c r="AV260" i="3"/>
  <c r="BA260" i="3"/>
  <c r="AY261" i="3" l="1"/>
  <c r="BG259" i="3"/>
  <c r="BH259" i="3" s="1"/>
  <c r="BI259" i="3" s="1"/>
  <c r="BN263" i="3"/>
  <c r="BM263" i="3"/>
  <c r="AT262" i="3"/>
  <c r="AO263" i="3"/>
  <c r="X263" i="3"/>
  <c r="BC260" i="3"/>
  <c r="BD260" i="3" s="1"/>
  <c r="BB260" i="3"/>
  <c r="BF260" i="3"/>
  <c r="BJ259" i="3" s="1"/>
  <c r="BK259" i="3" s="1"/>
  <c r="BQ260" i="3"/>
  <c r="A265" i="3"/>
  <c r="B264" i="3"/>
  <c r="AR264" i="3"/>
  <c r="AQ264" i="3"/>
  <c r="D264" i="3"/>
  <c r="AK264" i="3"/>
  <c r="AM264" i="3"/>
  <c r="R264" i="3"/>
  <c r="P264" i="3"/>
  <c r="S264" i="3"/>
  <c r="AD264" i="3"/>
  <c r="O264" i="3"/>
  <c r="M264" i="3"/>
  <c r="AE264" i="3"/>
  <c r="AF264" i="3"/>
  <c r="V264" i="3"/>
  <c r="U264" i="3"/>
  <c r="Q264" i="3"/>
  <c r="C264" i="3"/>
  <c r="F264" i="3"/>
  <c r="G264" i="3"/>
  <c r="H264" i="3" s="1"/>
  <c r="T264" i="3"/>
  <c r="AX262" i="3"/>
  <c r="Y263" i="3"/>
  <c r="Z263" i="3" s="1"/>
  <c r="AG263" i="3"/>
  <c r="AN263" i="3"/>
  <c r="AV261" i="3"/>
  <c r="BA261" i="3"/>
  <c r="AW262" i="3"/>
  <c r="AU262" i="3"/>
  <c r="AH263" i="3"/>
  <c r="BN264" i="3" l="1"/>
  <c r="AV262" i="3"/>
  <c r="AT263" i="3"/>
  <c r="BC261" i="3"/>
  <c r="BD261" i="3" s="1"/>
  <c r="AN264" i="3"/>
  <c r="AY262" i="3"/>
  <c r="BG260" i="3"/>
  <c r="BH260" i="3" s="1"/>
  <c r="BI260" i="3" s="1"/>
  <c r="AW263" i="3"/>
  <c r="X264" i="3"/>
  <c r="BF261" i="3"/>
  <c r="BB261" i="3"/>
  <c r="BQ261" i="3"/>
  <c r="AH264" i="3"/>
  <c r="AX263" i="3"/>
  <c r="Y264" i="3"/>
  <c r="Z264" i="3" s="1"/>
  <c r="BM264" i="3"/>
  <c r="AG264" i="3"/>
  <c r="AO264" i="3"/>
  <c r="BA262" i="3"/>
  <c r="AR265" i="3"/>
  <c r="B265" i="3"/>
  <c r="AQ265" i="3"/>
  <c r="A266" i="3"/>
  <c r="AK265" i="3"/>
  <c r="S265" i="3"/>
  <c r="AM265" i="3"/>
  <c r="R265" i="3"/>
  <c r="Q265" i="3"/>
  <c r="AD265" i="3"/>
  <c r="P265" i="3"/>
  <c r="M265" i="3"/>
  <c r="AE265" i="3"/>
  <c r="V265" i="3"/>
  <c r="O265" i="3"/>
  <c r="AF265" i="3"/>
  <c r="U265" i="3"/>
  <c r="C265" i="3"/>
  <c r="D265" i="3"/>
  <c r="G265" i="3"/>
  <c r="H265" i="3" s="1"/>
  <c r="F265" i="3"/>
  <c r="T265" i="3"/>
  <c r="AU263" i="3"/>
  <c r="BC262" i="3" l="1"/>
  <c r="BG262" i="3" s="1"/>
  <c r="BH262" i="3" s="1"/>
  <c r="BI262" i="3" s="1"/>
  <c r="AV263" i="3"/>
  <c r="AU264" i="3"/>
  <c r="BG261" i="3"/>
  <c r="BH261" i="3" s="1"/>
  <c r="BI261" i="3" s="1"/>
  <c r="AY263" i="3"/>
  <c r="AN265" i="3"/>
  <c r="BN265" i="3"/>
  <c r="AT264" i="3"/>
  <c r="X265" i="3"/>
  <c r="BJ260" i="3"/>
  <c r="BK260" i="3" s="1"/>
  <c r="BM265" i="3"/>
  <c r="AG265" i="3"/>
  <c r="AO265" i="3"/>
  <c r="BA263" i="3"/>
  <c r="AW264" i="3"/>
  <c r="AX264" i="3"/>
  <c r="AR266" i="3"/>
  <c r="B266" i="3"/>
  <c r="AQ266" i="3"/>
  <c r="A267" i="3"/>
  <c r="C266" i="3"/>
  <c r="D266" i="3"/>
  <c r="S266" i="3"/>
  <c r="Q266" i="3"/>
  <c r="R266" i="3"/>
  <c r="AM266" i="3"/>
  <c r="AK266" i="3"/>
  <c r="AD266" i="3"/>
  <c r="P266" i="3"/>
  <c r="O266" i="3"/>
  <c r="M266" i="3"/>
  <c r="AF266" i="3"/>
  <c r="U266" i="3"/>
  <c r="V266" i="3"/>
  <c r="AE266" i="3"/>
  <c r="G266" i="3"/>
  <c r="H266" i="3" s="1"/>
  <c r="F266" i="3"/>
  <c r="BM266" i="3" s="1"/>
  <c r="T266" i="3"/>
  <c r="BF262" i="3"/>
  <c r="BJ261" i="3" s="1"/>
  <c r="BK261" i="3" s="1"/>
  <c r="BB262" i="3"/>
  <c r="BQ262" i="3"/>
  <c r="Y265" i="3"/>
  <c r="Z265" i="3" s="1"/>
  <c r="AH265" i="3"/>
  <c r="BD262" i="3" l="1"/>
  <c r="BN266" i="3"/>
  <c r="BC263" i="3"/>
  <c r="BD263" i="3" s="1"/>
  <c r="AV264" i="3"/>
  <c r="AO266" i="3"/>
  <c r="AN266" i="3"/>
  <c r="Y266" i="3"/>
  <c r="Z266" i="3" s="1"/>
  <c r="AX265" i="3"/>
  <c r="AG266" i="3"/>
  <c r="AT265" i="3"/>
  <c r="AW265" i="3"/>
  <c r="X266" i="3"/>
  <c r="AY264" i="3"/>
  <c r="AU265" i="3"/>
  <c r="AQ267" i="3"/>
  <c r="B267" i="3"/>
  <c r="A268" i="3"/>
  <c r="AR267" i="3"/>
  <c r="AK267" i="3"/>
  <c r="Q267" i="3"/>
  <c r="R267" i="3"/>
  <c r="D267" i="3"/>
  <c r="AM267" i="3"/>
  <c r="C267" i="3"/>
  <c r="T267" i="3"/>
  <c r="AD267" i="3"/>
  <c r="O267" i="3"/>
  <c r="M267" i="3"/>
  <c r="AE267" i="3"/>
  <c r="AF267" i="3"/>
  <c r="U267" i="3"/>
  <c r="V267" i="3"/>
  <c r="G267" i="3"/>
  <c r="H267" i="3" s="1"/>
  <c r="F267" i="3"/>
  <c r="P267" i="3"/>
  <c r="S267" i="3"/>
  <c r="BF263" i="3"/>
  <c r="BJ262" i="3" s="1"/>
  <c r="BK262" i="3" s="1"/>
  <c r="BQ263" i="3"/>
  <c r="BB263" i="3"/>
  <c r="AH266" i="3"/>
  <c r="BA264" i="3"/>
  <c r="BM267" i="3" l="1"/>
  <c r="BG263" i="3"/>
  <c r="BH263" i="3" s="1"/>
  <c r="BI263" i="3" s="1"/>
  <c r="AN267" i="3"/>
  <c r="BC264" i="3"/>
  <c r="BD264" i="3" s="1"/>
  <c r="BN267" i="3"/>
  <c r="Y267" i="3"/>
  <c r="Z267" i="3" s="1"/>
  <c r="AY265" i="3"/>
  <c r="AX266" i="3"/>
  <c r="X267" i="3"/>
  <c r="BQ264" i="3"/>
  <c r="BB264" i="3"/>
  <c r="BF264" i="3"/>
  <c r="BJ263" i="3" s="1"/>
  <c r="BK263" i="3" s="1"/>
  <c r="A269" i="3"/>
  <c r="B268" i="3"/>
  <c r="AR268" i="3"/>
  <c r="AQ268" i="3"/>
  <c r="D268" i="3"/>
  <c r="AK268" i="3"/>
  <c r="AM268" i="3"/>
  <c r="R268" i="3"/>
  <c r="S268" i="3"/>
  <c r="Q268" i="3"/>
  <c r="AD268" i="3"/>
  <c r="O268" i="3"/>
  <c r="P268" i="3"/>
  <c r="AF268" i="3"/>
  <c r="AE268" i="3"/>
  <c r="U268" i="3"/>
  <c r="M268" i="3"/>
  <c r="V268" i="3"/>
  <c r="G268" i="3"/>
  <c r="H268" i="3" s="1"/>
  <c r="C268" i="3"/>
  <c r="F268" i="3"/>
  <c r="T268" i="3"/>
  <c r="AV265" i="3"/>
  <c r="BA265" i="3"/>
  <c r="AG267" i="3"/>
  <c r="AO267" i="3"/>
  <c r="AU266" i="3"/>
  <c r="AW266" i="3"/>
  <c r="AH267" i="3"/>
  <c r="AT266" i="3"/>
  <c r="AY266" i="3" l="1"/>
  <c r="BN268" i="3"/>
  <c r="AT267" i="3"/>
  <c r="BG264" i="3"/>
  <c r="BH264" i="3" s="1"/>
  <c r="BI264" i="3" s="1"/>
  <c r="BC265" i="3"/>
  <c r="BG265" i="3" s="1"/>
  <c r="BH265" i="3" s="1"/>
  <c r="BI265" i="3" s="1"/>
  <c r="AG268" i="3"/>
  <c r="BM268" i="3"/>
  <c r="AN268" i="3"/>
  <c r="AW267" i="3"/>
  <c r="AV266" i="3"/>
  <c r="BA266" i="3"/>
  <c r="BF265" i="3"/>
  <c r="BJ264" i="3" s="1"/>
  <c r="BK264" i="3" s="1"/>
  <c r="BQ265" i="3"/>
  <c r="BB265" i="3"/>
  <c r="AX267" i="3"/>
  <c r="Y268" i="3"/>
  <c r="Z268" i="3" s="1"/>
  <c r="X268" i="3"/>
  <c r="AO268" i="3"/>
  <c r="AR269" i="3"/>
  <c r="B269" i="3"/>
  <c r="AQ269" i="3"/>
  <c r="A270" i="3"/>
  <c r="D269" i="3"/>
  <c r="AM269" i="3"/>
  <c r="S269" i="3"/>
  <c r="AK269" i="3"/>
  <c r="Q269" i="3"/>
  <c r="R269" i="3"/>
  <c r="AD269" i="3"/>
  <c r="P269" i="3"/>
  <c r="T269" i="3"/>
  <c r="AE269" i="3"/>
  <c r="O269" i="3"/>
  <c r="M269" i="3"/>
  <c r="U269" i="3"/>
  <c r="AF269" i="3"/>
  <c r="V269" i="3"/>
  <c r="C269" i="3"/>
  <c r="F269" i="3"/>
  <c r="G269" i="3"/>
  <c r="H269" i="3" s="1"/>
  <c r="AU267" i="3"/>
  <c r="AH268" i="3"/>
  <c r="BC266" i="3" l="1"/>
  <c r="BG266" i="3" s="1"/>
  <c r="BH266" i="3" s="1"/>
  <c r="BI266" i="3" s="1"/>
  <c r="BD265" i="3"/>
  <c r="AY267" i="3"/>
  <c r="AX268" i="3"/>
  <c r="BM269" i="3"/>
  <c r="BN269" i="3"/>
  <c r="AT268" i="3"/>
  <c r="BA267" i="3"/>
  <c r="BF267" i="3" s="1"/>
  <c r="Y269" i="3"/>
  <c r="Z269" i="3" s="1"/>
  <c r="AW268" i="3"/>
  <c r="AH269" i="3"/>
  <c r="AN269" i="3"/>
  <c r="AO269" i="3"/>
  <c r="AR270" i="3"/>
  <c r="B270" i="3"/>
  <c r="AQ270" i="3"/>
  <c r="A271" i="3"/>
  <c r="AK270" i="3"/>
  <c r="AM270" i="3"/>
  <c r="C270" i="3"/>
  <c r="T270" i="3"/>
  <c r="R270" i="3"/>
  <c r="S270" i="3"/>
  <c r="Q270" i="3"/>
  <c r="AD270" i="3"/>
  <c r="P270" i="3"/>
  <c r="O270" i="3"/>
  <c r="V270" i="3"/>
  <c r="M270" i="3"/>
  <c r="AF270" i="3"/>
  <c r="AE270" i="3"/>
  <c r="U270" i="3"/>
  <c r="D270" i="3"/>
  <c r="G270" i="3"/>
  <c r="H270" i="3" s="1"/>
  <c r="F270" i="3"/>
  <c r="BB266" i="3"/>
  <c r="BQ266" i="3"/>
  <c r="BF266" i="3"/>
  <c r="BJ265" i="3" s="1"/>
  <c r="BK265" i="3" s="1"/>
  <c r="X269" i="3"/>
  <c r="AG269" i="3"/>
  <c r="AU268" i="3"/>
  <c r="AV267" i="3"/>
  <c r="BD266" i="3" l="1"/>
  <c r="AY268" i="3"/>
  <c r="BC267" i="3"/>
  <c r="BG267" i="3" s="1"/>
  <c r="BH267" i="3" s="1"/>
  <c r="BI267" i="3" s="1"/>
  <c r="BB267" i="3"/>
  <c r="BN270" i="3"/>
  <c r="AV268" i="3"/>
  <c r="AO270" i="3"/>
  <c r="BQ267" i="3"/>
  <c r="AW269" i="3"/>
  <c r="BJ266" i="3"/>
  <c r="BK266" i="3" s="1"/>
  <c r="BA268" i="3"/>
  <c r="AU269" i="3"/>
  <c r="Y270" i="3"/>
  <c r="Z270" i="3" s="1"/>
  <c r="AQ271" i="3"/>
  <c r="B271" i="3"/>
  <c r="A272" i="3"/>
  <c r="AR271" i="3"/>
  <c r="AK271" i="3"/>
  <c r="AM271" i="3"/>
  <c r="T271" i="3"/>
  <c r="R271" i="3"/>
  <c r="Q271" i="3"/>
  <c r="O271" i="3"/>
  <c r="AD271" i="3"/>
  <c r="P271" i="3"/>
  <c r="AE271" i="3"/>
  <c r="AF271" i="3"/>
  <c r="M271" i="3"/>
  <c r="U271" i="3"/>
  <c r="V271" i="3"/>
  <c r="G271" i="3"/>
  <c r="H271" i="3" s="1"/>
  <c r="C271" i="3"/>
  <c r="D271" i="3"/>
  <c r="F271" i="3"/>
  <c r="S271" i="3"/>
  <c r="AT269" i="3"/>
  <c r="AX269" i="3"/>
  <c r="X270" i="3"/>
  <c r="BM270" i="3"/>
  <c r="AG270" i="3"/>
  <c r="AH270" i="3"/>
  <c r="AN270" i="3"/>
  <c r="BC268" i="3" l="1"/>
  <c r="BD268" i="3" s="1"/>
  <c r="BM271" i="3"/>
  <c r="BD267" i="3"/>
  <c r="AG271" i="3"/>
  <c r="AY269" i="3"/>
  <c r="AN271" i="3"/>
  <c r="AW270" i="3"/>
  <c r="AO271" i="3"/>
  <c r="AU270" i="3"/>
  <c r="BA269" i="3"/>
  <c r="AV269" i="3"/>
  <c r="A273" i="3"/>
  <c r="B272" i="3"/>
  <c r="AR272" i="3"/>
  <c r="AQ272" i="3"/>
  <c r="C272" i="3"/>
  <c r="AM272" i="3"/>
  <c r="T272" i="3"/>
  <c r="AK272" i="3"/>
  <c r="Q272" i="3"/>
  <c r="R272" i="3"/>
  <c r="P272" i="3"/>
  <c r="AD272" i="3"/>
  <c r="M272" i="3"/>
  <c r="AE272" i="3"/>
  <c r="O272" i="3"/>
  <c r="AF272" i="3"/>
  <c r="U272" i="3"/>
  <c r="V272" i="3"/>
  <c r="G272" i="3"/>
  <c r="H272" i="3" s="1"/>
  <c r="F272" i="3"/>
  <c r="D272" i="3"/>
  <c r="S272" i="3"/>
  <c r="BF268" i="3"/>
  <c r="BJ267" i="3" s="1"/>
  <c r="BK267" i="3" s="1"/>
  <c r="BQ268" i="3"/>
  <c r="BB268" i="3"/>
  <c r="AH271" i="3"/>
  <c r="Y271" i="3"/>
  <c r="Z271" i="3" s="1"/>
  <c r="AT270" i="3"/>
  <c r="AX270" i="3"/>
  <c r="X271" i="3"/>
  <c r="BN271" i="3"/>
  <c r="BG268" i="3" l="1"/>
  <c r="BH268" i="3" s="1"/>
  <c r="BI268" i="3" s="1"/>
  <c r="AO272" i="3"/>
  <c r="BM272" i="3"/>
  <c r="BC269" i="3"/>
  <c r="BG269" i="3" s="1"/>
  <c r="BH269" i="3" s="1"/>
  <c r="BI269" i="3" s="1"/>
  <c r="AY270" i="3"/>
  <c r="AX271" i="3"/>
  <c r="AT271" i="3"/>
  <c r="AU271" i="3"/>
  <c r="AW271" i="3"/>
  <c r="X272" i="3"/>
  <c r="AV270" i="3"/>
  <c r="BA270" i="3"/>
  <c r="Y272" i="3"/>
  <c r="Z272" i="3" s="1"/>
  <c r="AR273" i="3"/>
  <c r="B273" i="3"/>
  <c r="AQ273" i="3"/>
  <c r="A274" i="3"/>
  <c r="R273" i="3"/>
  <c r="AM273" i="3"/>
  <c r="AK273" i="3"/>
  <c r="S273" i="3"/>
  <c r="Q273" i="3"/>
  <c r="AD273" i="3"/>
  <c r="P273" i="3"/>
  <c r="AF273" i="3"/>
  <c r="U273" i="3"/>
  <c r="O273" i="3"/>
  <c r="AE273" i="3"/>
  <c r="M273" i="3"/>
  <c r="V273" i="3"/>
  <c r="D273" i="3"/>
  <c r="F273" i="3"/>
  <c r="C273" i="3"/>
  <c r="G273" i="3"/>
  <c r="H273" i="3" s="1"/>
  <c r="T273" i="3"/>
  <c r="BF269" i="3"/>
  <c r="BJ268" i="3" s="1"/>
  <c r="BK268" i="3" s="1"/>
  <c r="BB269" i="3"/>
  <c r="BQ269" i="3"/>
  <c r="BN272" i="3"/>
  <c r="AG272" i="3"/>
  <c r="AH272" i="3"/>
  <c r="AN272" i="3"/>
  <c r="BD269" i="3" l="1"/>
  <c r="BC270" i="3"/>
  <c r="BD270" i="3" s="1"/>
  <c r="BN273" i="3"/>
  <c r="BM273" i="3"/>
  <c r="AU272" i="3"/>
  <c r="AV271" i="3"/>
  <c r="AY271" i="3"/>
  <c r="AO273" i="3"/>
  <c r="BA271" i="3"/>
  <c r="BB271" i="3" s="1"/>
  <c r="AG273" i="3"/>
  <c r="AR274" i="3"/>
  <c r="B274" i="3"/>
  <c r="AQ274" i="3"/>
  <c r="A275" i="3"/>
  <c r="C274" i="3"/>
  <c r="AK274" i="3"/>
  <c r="S274" i="3"/>
  <c r="AM274" i="3"/>
  <c r="T274" i="3"/>
  <c r="Q274" i="3"/>
  <c r="AD274" i="3"/>
  <c r="P274" i="3"/>
  <c r="O274" i="3"/>
  <c r="M274" i="3"/>
  <c r="AF274" i="3"/>
  <c r="AE274" i="3"/>
  <c r="V274" i="3"/>
  <c r="U274" i="3"/>
  <c r="R274" i="3"/>
  <c r="D274" i="3"/>
  <c r="G274" i="3"/>
  <c r="H274" i="3" s="1"/>
  <c r="F274" i="3"/>
  <c r="BQ270" i="3"/>
  <c r="BF270" i="3"/>
  <c r="BJ269" i="3" s="1"/>
  <c r="BK269" i="3" s="1"/>
  <c r="BB270" i="3"/>
  <c r="AT272" i="3"/>
  <c r="AX272" i="3"/>
  <c r="Y273" i="3"/>
  <c r="Z273" i="3" s="1"/>
  <c r="X273" i="3"/>
  <c r="AH273" i="3"/>
  <c r="AN273" i="3"/>
  <c r="AW272" i="3"/>
  <c r="BG270" i="3" l="1"/>
  <c r="BH270" i="3" s="1"/>
  <c r="BI270" i="3" s="1"/>
  <c r="AN274" i="3"/>
  <c r="BM274" i="3"/>
  <c r="BC271" i="3"/>
  <c r="BG271" i="3" s="1"/>
  <c r="BH271" i="3" s="1"/>
  <c r="BI271" i="3" s="1"/>
  <c r="AW273" i="3"/>
  <c r="BQ271" i="3"/>
  <c r="BF271" i="3"/>
  <c r="BJ270" i="3" s="1"/>
  <c r="BK270" i="3" s="1"/>
  <c r="AX273" i="3"/>
  <c r="AG274" i="3"/>
  <c r="BA272" i="3"/>
  <c r="AV272" i="3"/>
  <c r="Y274" i="3"/>
  <c r="Z274" i="3" s="1"/>
  <c r="AU273" i="3"/>
  <c r="AY272" i="3"/>
  <c r="AT273" i="3"/>
  <c r="BN274" i="3"/>
  <c r="AH274" i="3"/>
  <c r="X274" i="3"/>
  <c r="AQ275" i="3"/>
  <c r="B275" i="3"/>
  <c r="A276" i="3"/>
  <c r="AR275" i="3"/>
  <c r="AM275" i="3"/>
  <c r="AK275" i="3"/>
  <c r="R275" i="3"/>
  <c r="AD275" i="3"/>
  <c r="P275" i="3"/>
  <c r="O275" i="3"/>
  <c r="M275" i="3"/>
  <c r="AE275" i="3"/>
  <c r="AF275" i="3"/>
  <c r="V275" i="3"/>
  <c r="U275" i="3"/>
  <c r="D275" i="3"/>
  <c r="G275" i="3"/>
  <c r="H275" i="3" s="1"/>
  <c r="F275" i="3"/>
  <c r="Q275" i="3"/>
  <c r="C275" i="3"/>
  <c r="S275" i="3"/>
  <c r="T275" i="3"/>
  <c r="AO274" i="3"/>
  <c r="AT274" i="3" l="1"/>
  <c r="AU274" i="3"/>
  <c r="AW274" i="3"/>
  <c r="BN275" i="3"/>
  <c r="AN275" i="3"/>
  <c r="BD271" i="3"/>
  <c r="AY273" i="3"/>
  <c r="X275" i="3"/>
  <c r="Y275" i="3"/>
  <c r="Z275" i="3" s="1"/>
  <c r="BF272" i="3"/>
  <c r="BJ271" i="3" s="1"/>
  <c r="BK271" i="3" s="1"/>
  <c r="BQ272" i="3"/>
  <c r="BB272" i="3"/>
  <c r="BM275" i="3"/>
  <c r="AG275" i="3"/>
  <c r="AH275" i="3"/>
  <c r="AO275" i="3"/>
  <c r="A277" i="3"/>
  <c r="B276" i="3"/>
  <c r="AR276" i="3"/>
  <c r="AQ276" i="3"/>
  <c r="AK276" i="3"/>
  <c r="S276" i="3"/>
  <c r="R276" i="3"/>
  <c r="C276" i="3"/>
  <c r="AM276" i="3"/>
  <c r="P276" i="3"/>
  <c r="Q276" i="3"/>
  <c r="AD276" i="3"/>
  <c r="M276" i="3"/>
  <c r="O276" i="3"/>
  <c r="AE276" i="3"/>
  <c r="U276" i="3"/>
  <c r="AF276" i="3"/>
  <c r="V276" i="3"/>
  <c r="D276" i="3"/>
  <c r="G276" i="3"/>
  <c r="H276" i="3" s="1"/>
  <c r="F276" i="3"/>
  <c r="T276" i="3"/>
  <c r="AV273" i="3"/>
  <c r="BA273" i="3"/>
  <c r="AX274" i="3"/>
  <c r="BC272" i="3"/>
  <c r="AN276" i="3" l="1"/>
  <c r="AV274" i="3"/>
  <c r="BA274" i="3"/>
  <c r="BF274" i="3" s="1"/>
  <c r="BC273" i="3"/>
  <c r="BG273" i="3" s="1"/>
  <c r="BH273" i="3" s="1"/>
  <c r="BI273" i="3" s="1"/>
  <c r="BN276" i="3"/>
  <c r="AT275" i="3"/>
  <c r="AH276" i="3"/>
  <c r="AX275" i="3"/>
  <c r="AU275" i="3"/>
  <c r="BB273" i="3"/>
  <c r="BF273" i="3"/>
  <c r="BJ272" i="3" s="1"/>
  <c r="BK272" i="3" s="1"/>
  <c r="BQ273" i="3"/>
  <c r="BD272" i="3"/>
  <c r="BG272" i="3"/>
  <c r="BH272" i="3" s="1"/>
  <c r="BI272" i="3" s="1"/>
  <c r="AR277" i="3"/>
  <c r="B277" i="3"/>
  <c r="AQ277" i="3"/>
  <c r="A278" i="3"/>
  <c r="D277" i="3"/>
  <c r="T277" i="3"/>
  <c r="AM277" i="3"/>
  <c r="AK277" i="3"/>
  <c r="S277" i="3"/>
  <c r="R277" i="3"/>
  <c r="Q277" i="3"/>
  <c r="P277" i="3"/>
  <c r="AD277" i="3"/>
  <c r="O277" i="3"/>
  <c r="M277" i="3"/>
  <c r="AF277" i="3"/>
  <c r="U277" i="3"/>
  <c r="AE277" i="3"/>
  <c r="V277" i="3"/>
  <c r="G277" i="3"/>
  <c r="H277" i="3" s="1"/>
  <c r="F277" i="3"/>
  <c r="C277" i="3"/>
  <c r="Y276" i="3"/>
  <c r="Z276" i="3" s="1"/>
  <c r="X276" i="3"/>
  <c r="BM276" i="3"/>
  <c r="AG276" i="3"/>
  <c r="AO276" i="3"/>
  <c r="AW275" i="3"/>
  <c r="AY274" i="3"/>
  <c r="BC274" i="3" l="1"/>
  <c r="BD274" i="3" s="1"/>
  <c r="BD273" i="3"/>
  <c r="BQ274" i="3"/>
  <c r="BB274" i="3"/>
  <c r="BN277" i="3"/>
  <c r="AU276" i="3"/>
  <c r="AV275" i="3"/>
  <c r="AY275" i="3"/>
  <c r="AW276" i="3"/>
  <c r="AO277" i="3"/>
  <c r="X277" i="3"/>
  <c r="AG277" i="3"/>
  <c r="BA275" i="3"/>
  <c r="BB275" i="3" s="1"/>
  <c r="Y277" i="3"/>
  <c r="Z277" i="3" s="1"/>
  <c r="BJ273" i="3"/>
  <c r="BK273" i="3" s="1"/>
  <c r="AT276" i="3"/>
  <c r="AX276" i="3"/>
  <c r="BM277" i="3"/>
  <c r="AH277" i="3"/>
  <c r="AN277" i="3"/>
  <c r="AR278" i="3"/>
  <c r="B278" i="3"/>
  <c r="AQ278" i="3"/>
  <c r="A279" i="3"/>
  <c r="D278" i="3"/>
  <c r="C278" i="3"/>
  <c r="AK278" i="3"/>
  <c r="S278" i="3"/>
  <c r="Q278" i="3"/>
  <c r="AM278" i="3"/>
  <c r="R278" i="3"/>
  <c r="AD278" i="3"/>
  <c r="AE278" i="3"/>
  <c r="P278" i="3"/>
  <c r="M278" i="3"/>
  <c r="AF278" i="3"/>
  <c r="O278" i="3"/>
  <c r="V278" i="3"/>
  <c r="U278" i="3"/>
  <c r="G278" i="3"/>
  <c r="H278" i="3" s="1"/>
  <c r="F278" i="3"/>
  <c r="T278" i="3"/>
  <c r="BG274" i="3" l="1"/>
  <c r="BH274" i="3" s="1"/>
  <c r="BI274" i="3" s="1"/>
  <c r="AU277" i="3"/>
  <c r="BM278" i="3"/>
  <c r="BC275" i="3"/>
  <c r="BG275" i="3" s="1"/>
  <c r="BH275" i="3" s="1"/>
  <c r="BI275" i="3" s="1"/>
  <c r="AY276" i="3"/>
  <c r="AO278" i="3"/>
  <c r="AT277" i="3"/>
  <c r="AW277" i="3"/>
  <c r="AG278" i="3"/>
  <c r="BF275" i="3"/>
  <c r="BJ274" i="3" s="1"/>
  <c r="BK274" i="3" s="1"/>
  <c r="BQ275" i="3"/>
  <c r="AV276" i="3"/>
  <c r="BA276" i="3"/>
  <c r="AQ279" i="3"/>
  <c r="B279" i="3"/>
  <c r="A280" i="3"/>
  <c r="AR279" i="3"/>
  <c r="AK279" i="3"/>
  <c r="Q279" i="3"/>
  <c r="AM279" i="3"/>
  <c r="T279" i="3"/>
  <c r="AD279" i="3"/>
  <c r="R279" i="3"/>
  <c r="P279" i="3"/>
  <c r="O279" i="3"/>
  <c r="M279" i="3"/>
  <c r="AE279" i="3"/>
  <c r="AF279" i="3"/>
  <c r="V279" i="3"/>
  <c r="U279" i="3"/>
  <c r="D279" i="3"/>
  <c r="F279" i="3"/>
  <c r="C279" i="3"/>
  <c r="G279" i="3"/>
  <c r="H279" i="3" s="1"/>
  <c r="S279" i="3"/>
  <c r="Y278" i="3"/>
  <c r="Z278" i="3" s="1"/>
  <c r="BN278" i="3"/>
  <c r="AH278" i="3"/>
  <c r="AN278" i="3"/>
  <c r="X278" i="3"/>
  <c r="AX277" i="3"/>
  <c r="AN279" i="3" l="1"/>
  <c r="AU278" i="3"/>
  <c r="AV277" i="3"/>
  <c r="BM279" i="3"/>
  <c r="AY277" i="3"/>
  <c r="BD275" i="3"/>
  <c r="BC276" i="3"/>
  <c r="BD276" i="3" s="1"/>
  <c r="AH279" i="3"/>
  <c r="AT278" i="3"/>
  <c r="AW278" i="3"/>
  <c r="Y279" i="3"/>
  <c r="Z279" i="3" s="1"/>
  <c r="BN279" i="3"/>
  <c r="A281" i="3"/>
  <c r="B280" i="3"/>
  <c r="AR280" i="3"/>
  <c r="AQ280" i="3"/>
  <c r="D280" i="3"/>
  <c r="AM280" i="3"/>
  <c r="AK280" i="3"/>
  <c r="S280" i="3"/>
  <c r="Q280" i="3"/>
  <c r="C280" i="3"/>
  <c r="T280" i="3"/>
  <c r="AD280" i="3"/>
  <c r="R280" i="3"/>
  <c r="P280" i="3"/>
  <c r="AE280" i="3"/>
  <c r="M280" i="3"/>
  <c r="V280" i="3"/>
  <c r="O280" i="3"/>
  <c r="AF280" i="3"/>
  <c r="U280" i="3"/>
  <c r="G280" i="3"/>
  <c r="H280" i="3" s="1"/>
  <c r="BN280" i="3" s="1"/>
  <c r="F280" i="3"/>
  <c r="BF276" i="3"/>
  <c r="BJ275" i="3" s="1"/>
  <c r="BK275" i="3" s="1"/>
  <c r="BB276" i="3"/>
  <c r="BQ276" i="3"/>
  <c r="AO279" i="3"/>
  <c r="AX278" i="3"/>
  <c r="BA277" i="3"/>
  <c r="X279" i="3"/>
  <c r="AG279" i="3"/>
  <c r="BM280" i="3" l="1"/>
  <c r="AW279" i="3"/>
  <c r="BC277" i="3"/>
  <c r="BG277" i="3" s="1"/>
  <c r="BH277" i="3" s="1"/>
  <c r="BI277" i="3" s="1"/>
  <c r="AV278" i="3"/>
  <c r="BG276" i="3"/>
  <c r="BH276" i="3" s="1"/>
  <c r="BI276" i="3" s="1"/>
  <c r="AY278" i="3"/>
  <c r="AO280" i="3"/>
  <c r="BB277" i="3"/>
  <c r="BQ277" i="3"/>
  <c r="BF277" i="3"/>
  <c r="BJ276" i="3" s="1"/>
  <c r="BK276" i="3" s="1"/>
  <c r="AG280" i="3"/>
  <c r="AT279" i="3"/>
  <c r="AH280" i="3"/>
  <c r="X280" i="3"/>
  <c r="AN280" i="3"/>
  <c r="BA278" i="3"/>
  <c r="AU279" i="3"/>
  <c r="Y280" i="3"/>
  <c r="Z280" i="3" s="1"/>
  <c r="AR281" i="3"/>
  <c r="B281" i="3"/>
  <c r="AQ281" i="3"/>
  <c r="A282" i="3"/>
  <c r="S281" i="3"/>
  <c r="T281" i="3"/>
  <c r="AK281" i="3"/>
  <c r="AM281" i="3"/>
  <c r="Q281" i="3"/>
  <c r="P281" i="3"/>
  <c r="AD281" i="3"/>
  <c r="AE281" i="3"/>
  <c r="U281" i="3"/>
  <c r="O281" i="3"/>
  <c r="AF281" i="3"/>
  <c r="M281" i="3"/>
  <c r="V281" i="3"/>
  <c r="R281" i="3"/>
  <c r="D281" i="3"/>
  <c r="F281" i="3"/>
  <c r="C281" i="3"/>
  <c r="G281" i="3"/>
  <c r="H281" i="3" s="1"/>
  <c r="AX279" i="3"/>
  <c r="AY279" i="3" l="1"/>
  <c r="AT280" i="3"/>
  <c r="BD277" i="3"/>
  <c r="BC278" i="3"/>
  <c r="BD278" i="3" s="1"/>
  <c r="AU280" i="3"/>
  <c r="BM281" i="3"/>
  <c r="AG281" i="3"/>
  <c r="AN281" i="3"/>
  <c r="Y281" i="3"/>
  <c r="Z281" i="3" s="1"/>
  <c r="BN281" i="3"/>
  <c r="BB278" i="3"/>
  <c r="BF278" i="3"/>
  <c r="BJ277" i="3" s="1"/>
  <c r="BK277" i="3" s="1"/>
  <c r="BQ278" i="3"/>
  <c r="X281" i="3"/>
  <c r="AH281" i="3"/>
  <c r="AO281" i="3"/>
  <c r="AX280" i="3"/>
  <c r="AW280" i="3"/>
  <c r="AR282" i="3"/>
  <c r="B282" i="3"/>
  <c r="AQ282" i="3"/>
  <c r="A283" i="3"/>
  <c r="C282" i="3"/>
  <c r="T282" i="3"/>
  <c r="AM282" i="3"/>
  <c r="AK282" i="3"/>
  <c r="S282" i="3"/>
  <c r="R282" i="3"/>
  <c r="Q282" i="3"/>
  <c r="P282" i="3"/>
  <c r="AD282" i="3"/>
  <c r="O282" i="3"/>
  <c r="AF282" i="3"/>
  <c r="M282" i="3"/>
  <c r="AE282" i="3"/>
  <c r="U282" i="3"/>
  <c r="V282" i="3"/>
  <c r="F282" i="3"/>
  <c r="D282" i="3"/>
  <c r="G282" i="3"/>
  <c r="H282" i="3" s="1"/>
  <c r="BA279" i="3"/>
  <c r="AV279" i="3"/>
  <c r="BC279" i="3" l="1"/>
  <c r="BG279" i="3" s="1"/>
  <c r="BH279" i="3" s="1"/>
  <c r="BI279" i="3" s="1"/>
  <c r="AV280" i="3"/>
  <c r="BG278" i="3"/>
  <c r="BH278" i="3" s="1"/>
  <c r="BI278" i="3" s="1"/>
  <c r="AU281" i="3"/>
  <c r="AN282" i="3"/>
  <c r="AG282" i="3"/>
  <c r="AX281" i="3"/>
  <c r="AY280" i="3"/>
  <c r="AQ283" i="3"/>
  <c r="B283" i="3"/>
  <c r="A284" i="3"/>
  <c r="AR283" i="3"/>
  <c r="C283" i="3"/>
  <c r="AK283" i="3"/>
  <c r="AM283" i="3"/>
  <c r="AD283" i="3"/>
  <c r="P283" i="3"/>
  <c r="R283" i="3"/>
  <c r="Q283" i="3"/>
  <c r="O283" i="3"/>
  <c r="AE283" i="3"/>
  <c r="AF283" i="3"/>
  <c r="M283" i="3"/>
  <c r="V283" i="3"/>
  <c r="U283" i="3"/>
  <c r="D283" i="3"/>
  <c r="G283" i="3"/>
  <c r="H283" i="3" s="1"/>
  <c r="F283" i="3"/>
  <c r="T283" i="3"/>
  <c r="S283" i="3"/>
  <c r="AH282" i="3"/>
  <c r="BN282" i="3"/>
  <c r="BM282" i="3"/>
  <c r="AO282" i="3"/>
  <c r="AT281" i="3"/>
  <c r="AW281" i="3"/>
  <c r="BQ279" i="3"/>
  <c r="BB279" i="3"/>
  <c r="BF279" i="3"/>
  <c r="BJ278" i="3" s="1"/>
  <c r="BK278" i="3" s="1"/>
  <c r="Y282" i="3"/>
  <c r="Z282" i="3" s="1"/>
  <c r="X282" i="3"/>
  <c r="BA280" i="3"/>
  <c r="BD279" i="3" l="1"/>
  <c r="BC280" i="3"/>
  <c r="BG280" i="3" s="1"/>
  <c r="BH280" i="3" s="1"/>
  <c r="BI280" i="3" s="1"/>
  <c r="BN283" i="3"/>
  <c r="AO283" i="3"/>
  <c r="BM283" i="3"/>
  <c r="AT282" i="3"/>
  <c r="AY281" i="3"/>
  <c r="AW282" i="3"/>
  <c r="Y283" i="3"/>
  <c r="Z283" i="3" s="1"/>
  <c r="AN283" i="3"/>
  <c r="X283" i="3"/>
  <c r="AH283" i="3"/>
  <c r="BQ280" i="3"/>
  <c r="BF280" i="3"/>
  <c r="BJ279" i="3" s="1"/>
  <c r="BK279" i="3" s="1"/>
  <c r="BB280" i="3"/>
  <c r="AV281" i="3"/>
  <c r="BA281" i="3"/>
  <c r="A285" i="3"/>
  <c r="B284" i="3"/>
  <c r="AR284" i="3"/>
  <c r="AQ284" i="3"/>
  <c r="C284" i="3"/>
  <c r="AM284" i="3"/>
  <c r="AK284" i="3"/>
  <c r="S284" i="3"/>
  <c r="AD284" i="3"/>
  <c r="T284" i="3"/>
  <c r="Q284" i="3"/>
  <c r="P284" i="3"/>
  <c r="M284" i="3"/>
  <c r="O284" i="3"/>
  <c r="AE284" i="3"/>
  <c r="V284" i="3"/>
  <c r="AF284" i="3"/>
  <c r="U284" i="3"/>
  <c r="R284" i="3"/>
  <c r="F284" i="3"/>
  <c r="G284" i="3"/>
  <c r="H284" i="3" s="1"/>
  <c r="D284" i="3"/>
  <c r="AU282" i="3"/>
  <c r="AG283" i="3"/>
  <c r="AX282" i="3"/>
  <c r="BD280" i="3" l="1"/>
  <c r="BM284" i="3"/>
  <c r="BC281" i="3"/>
  <c r="BD281" i="3" s="1"/>
  <c r="AY282" i="3"/>
  <c r="AN284" i="3"/>
  <c r="AU283" i="3"/>
  <c r="AX283" i="3"/>
  <c r="BA282" i="3"/>
  <c r="BF282" i="3" s="1"/>
  <c r="Y284" i="3"/>
  <c r="Z284" i="3" s="1"/>
  <c r="AT283" i="3"/>
  <c r="AW283" i="3"/>
  <c r="AR285" i="3"/>
  <c r="B285" i="3"/>
  <c r="AQ285" i="3"/>
  <c r="A286" i="3"/>
  <c r="C285" i="3"/>
  <c r="AK285" i="3"/>
  <c r="AM285" i="3"/>
  <c r="R285" i="3"/>
  <c r="AD285" i="3"/>
  <c r="P285" i="3"/>
  <c r="O285" i="3"/>
  <c r="AE285" i="3"/>
  <c r="M285" i="3"/>
  <c r="AF285" i="3"/>
  <c r="U285" i="3"/>
  <c r="V285" i="3"/>
  <c r="Q285" i="3"/>
  <c r="D285" i="3"/>
  <c r="G285" i="3"/>
  <c r="H285" i="3" s="1"/>
  <c r="F285" i="3"/>
  <c r="T285" i="3"/>
  <c r="S285" i="3"/>
  <c r="BN284" i="3"/>
  <c r="AG284" i="3"/>
  <c r="AH284" i="3"/>
  <c r="AO284" i="3"/>
  <c r="X284" i="3"/>
  <c r="AV282" i="3"/>
  <c r="BQ281" i="3"/>
  <c r="BF281" i="3"/>
  <c r="BJ280" i="3" s="1"/>
  <c r="BK280" i="3" s="1"/>
  <c r="BB281" i="3"/>
  <c r="AV283" i="3" l="1"/>
  <c r="BC282" i="3"/>
  <c r="BD282" i="3" s="1"/>
  <c r="AY283" i="3"/>
  <c r="BN285" i="3"/>
  <c r="BG281" i="3"/>
  <c r="BH281" i="3" s="1"/>
  <c r="BI281" i="3" s="1"/>
  <c r="AT284" i="3"/>
  <c r="AH285" i="3"/>
  <c r="BB282" i="3"/>
  <c r="BA283" i="3"/>
  <c r="BB283" i="3" s="1"/>
  <c r="BQ282" i="3"/>
  <c r="AN285" i="3"/>
  <c r="AO285" i="3"/>
  <c r="AR286" i="3"/>
  <c r="B286" i="3"/>
  <c r="AQ286" i="3"/>
  <c r="A287" i="3"/>
  <c r="AM286" i="3"/>
  <c r="AK286" i="3"/>
  <c r="R286" i="3"/>
  <c r="S286" i="3"/>
  <c r="Q286" i="3"/>
  <c r="P286" i="3"/>
  <c r="AD286" i="3"/>
  <c r="O286" i="3"/>
  <c r="AE286" i="3"/>
  <c r="U286" i="3"/>
  <c r="M286" i="3"/>
  <c r="AF286" i="3"/>
  <c r="V286" i="3"/>
  <c r="C286" i="3"/>
  <c r="F286" i="3"/>
  <c r="D286" i="3"/>
  <c r="G286" i="3"/>
  <c r="H286" i="3" s="1"/>
  <c r="T286" i="3"/>
  <c r="AW284" i="3"/>
  <c r="Y285" i="3"/>
  <c r="Z285" i="3" s="1"/>
  <c r="AU284" i="3"/>
  <c r="AX284" i="3"/>
  <c r="X285" i="3"/>
  <c r="BM285" i="3"/>
  <c r="AG285" i="3"/>
  <c r="BJ281" i="3"/>
  <c r="BK281" i="3" s="1"/>
  <c r="BC283" i="3" l="1"/>
  <c r="BD283" i="3" s="1"/>
  <c r="BG282" i="3"/>
  <c r="BH282" i="3" s="1"/>
  <c r="BI282" i="3" s="1"/>
  <c r="BF283" i="3"/>
  <c r="BJ282" i="3" s="1"/>
  <c r="BK282" i="3" s="1"/>
  <c r="AW285" i="3"/>
  <c r="AO286" i="3"/>
  <c r="AT285" i="3"/>
  <c r="AU285" i="3"/>
  <c r="BA284" i="3"/>
  <c r="BQ284" i="3" s="1"/>
  <c r="BQ283" i="3"/>
  <c r="Y286" i="3"/>
  <c r="Z286" i="3" s="1"/>
  <c r="X286" i="3"/>
  <c r="AX285" i="3"/>
  <c r="AY284" i="3"/>
  <c r="BN286" i="3"/>
  <c r="BM286" i="3"/>
  <c r="AG286" i="3"/>
  <c r="AH286" i="3"/>
  <c r="AN286" i="3"/>
  <c r="AV284" i="3"/>
  <c r="AQ287" i="3"/>
  <c r="B287" i="3"/>
  <c r="A288" i="3"/>
  <c r="AR287" i="3"/>
  <c r="D287" i="3"/>
  <c r="AK287" i="3"/>
  <c r="AM287" i="3"/>
  <c r="S287" i="3"/>
  <c r="Q287" i="3"/>
  <c r="AD287" i="3"/>
  <c r="O287" i="3"/>
  <c r="M287" i="3"/>
  <c r="AE287" i="3"/>
  <c r="V287" i="3"/>
  <c r="U287" i="3"/>
  <c r="P287" i="3"/>
  <c r="AF287" i="3"/>
  <c r="R287" i="3"/>
  <c r="G287" i="3"/>
  <c r="H287" i="3" s="1"/>
  <c r="C287" i="3"/>
  <c r="F287" i="3"/>
  <c r="T287" i="3"/>
  <c r="BG283" i="3" l="1"/>
  <c r="BH283" i="3" s="1"/>
  <c r="BI283" i="3" s="1"/>
  <c r="BN287" i="3"/>
  <c r="BB284" i="3"/>
  <c r="BM287" i="3"/>
  <c r="AU286" i="3"/>
  <c r="AV285" i="3"/>
  <c r="BF284" i="3"/>
  <c r="BJ283" i="3" s="1"/>
  <c r="BK283" i="3" s="1"/>
  <c r="AY285" i="3"/>
  <c r="AN287" i="3"/>
  <c r="A289" i="3"/>
  <c r="B288" i="3"/>
  <c r="AR288" i="3"/>
  <c r="AQ288" i="3"/>
  <c r="AM288" i="3"/>
  <c r="AK288" i="3"/>
  <c r="R288" i="3"/>
  <c r="AD288" i="3"/>
  <c r="Q288" i="3"/>
  <c r="P288" i="3"/>
  <c r="O288" i="3"/>
  <c r="AF288" i="3"/>
  <c r="V288" i="3"/>
  <c r="U288" i="3"/>
  <c r="AE288" i="3"/>
  <c r="M288" i="3"/>
  <c r="D288" i="3"/>
  <c r="C288" i="3"/>
  <c r="G288" i="3"/>
  <c r="H288" i="3" s="1"/>
  <c r="F288" i="3"/>
  <c r="T288" i="3"/>
  <c r="S288" i="3"/>
  <c r="AT286" i="3"/>
  <c r="AX286" i="3"/>
  <c r="AG287" i="3"/>
  <c r="BC284" i="3"/>
  <c r="Y287" i="3"/>
  <c r="Z287" i="3" s="1"/>
  <c r="X287" i="3"/>
  <c r="AH287" i="3"/>
  <c r="AO287" i="3"/>
  <c r="AW286" i="3"/>
  <c r="BA285" i="3"/>
  <c r="BN288" i="3" l="1"/>
  <c r="BM288" i="3"/>
  <c r="AV286" i="3"/>
  <c r="BC285" i="3"/>
  <c r="BD285" i="3" s="1"/>
  <c r="AT287" i="3"/>
  <c r="AO288" i="3"/>
  <c r="AX287" i="3"/>
  <c r="BA286" i="3"/>
  <c r="BB286" i="3" s="1"/>
  <c r="X288" i="3"/>
  <c r="AH288" i="3"/>
  <c r="BF285" i="3"/>
  <c r="BJ284" i="3" s="1"/>
  <c r="BK284" i="3" s="1"/>
  <c r="BB285" i="3"/>
  <c r="BQ285" i="3"/>
  <c r="BD284" i="3"/>
  <c r="BG284" i="3"/>
  <c r="BH284" i="3" s="1"/>
  <c r="BI284" i="3" s="1"/>
  <c r="AR289" i="3"/>
  <c r="B289" i="3"/>
  <c r="AQ289" i="3"/>
  <c r="A290" i="3"/>
  <c r="D289" i="3"/>
  <c r="AM289" i="3"/>
  <c r="AK289" i="3"/>
  <c r="T289" i="3"/>
  <c r="R289" i="3"/>
  <c r="Q289" i="3"/>
  <c r="AD289" i="3"/>
  <c r="P289" i="3"/>
  <c r="O289" i="3"/>
  <c r="M289" i="3"/>
  <c r="AF289" i="3"/>
  <c r="V289" i="3"/>
  <c r="U289" i="3"/>
  <c r="AE289" i="3"/>
  <c r="C289" i="3"/>
  <c r="G289" i="3"/>
  <c r="H289" i="3" s="1"/>
  <c r="F289" i="3"/>
  <c r="S289" i="3"/>
  <c r="AY286" i="3"/>
  <c r="AU287" i="3"/>
  <c r="AW287" i="3"/>
  <c r="Y288" i="3"/>
  <c r="Z288" i="3" s="1"/>
  <c r="AG288" i="3"/>
  <c r="AN288" i="3"/>
  <c r="BM289" i="3" l="1"/>
  <c r="AY287" i="3"/>
  <c r="BQ286" i="3"/>
  <c r="AV287" i="3"/>
  <c r="BG285" i="3"/>
  <c r="BH285" i="3" s="1"/>
  <c r="BI285" i="3" s="1"/>
  <c r="BN289" i="3"/>
  <c r="BC286" i="3"/>
  <c r="BD286" i="3" s="1"/>
  <c r="AO289" i="3"/>
  <c r="BF286" i="3"/>
  <c r="BJ285" i="3" s="1"/>
  <c r="BK285" i="3" s="1"/>
  <c r="AW288" i="3"/>
  <c r="Y289" i="3"/>
  <c r="Z289" i="3" s="1"/>
  <c r="AT288" i="3"/>
  <c r="AX288" i="3"/>
  <c r="AH289" i="3"/>
  <c r="BA287" i="3"/>
  <c r="AR290" i="3"/>
  <c r="B290" i="3"/>
  <c r="AQ290" i="3"/>
  <c r="A291" i="3"/>
  <c r="C290" i="3"/>
  <c r="AK290" i="3"/>
  <c r="AM290" i="3"/>
  <c r="S290" i="3"/>
  <c r="R290" i="3"/>
  <c r="D290" i="3"/>
  <c r="AD290" i="3"/>
  <c r="Q290" i="3"/>
  <c r="P290" i="3"/>
  <c r="O290" i="3"/>
  <c r="AE290" i="3"/>
  <c r="V290" i="3"/>
  <c r="AF290" i="3"/>
  <c r="M290" i="3"/>
  <c r="U290" i="3"/>
  <c r="F290" i="3"/>
  <c r="G290" i="3"/>
  <c r="H290" i="3" s="1"/>
  <c r="T290" i="3"/>
  <c r="AU288" i="3"/>
  <c r="X289" i="3"/>
  <c r="AG289" i="3"/>
  <c r="AN289" i="3"/>
  <c r="AT289" i="3" l="1"/>
  <c r="BC287" i="3"/>
  <c r="BD287" i="3" s="1"/>
  <c r="BM290" i="3"/>
  <c r="BG286" i="3"/>
  <c r="BH286" i="3" s="1"/>
  <c r="BI286" i="3" s="1"/>
  <c r="AN290" i="3"/>
  <c r="BN290" i="3"/>
  <c r="AY288" i="3"/>
  <c r="AV288" i="3"/>
  <c r="BA288" i="3"/>
  <c r="AG290" i="3"/>
  <c r="AH290" i="3"/>
  <c r="X290" i="3"/>
  <c r="AX289" i="3"/>
  <c r="AQ291" i="3"/>
  <c r="B291" i="3"/>
  <c r="A292" i="3"/>
  <c r="AR291" i="3"/>
  <c r="AK291" i="3"/>
  <c r="AM291" i="3"/>
  <c r="T291" i="3"/>
  <c r="R291" i="3"/>
  <c r="AD291" i="3"/>
  <c r="P291" i="3"/>
  <c r="O291" i="3"/>
  <c r="AE291" i="3"/>
  <c r="V291" i="3"/>
  <c r="M291" i="3"/>
  <c r="AF291" i="3"/>
  <c r="U291" i="3"/>
  <c r="D291" i="3"/>
  <c r="G291" i="3"/>
  <c r="H291" i="3" s="1"/>
  <c r="Q291" i="3"/>
  <c r="C291" i="3"/>
  <c r="F291" i="3"/>
  <c r="S291" i="3"/>
  <c r="BQ287" i="3"/>
  <c r="BF287" i="3"/>
  <c r="BJ286" i="3" s="1"/>
  <c r="BK286" i="3" s="1"/>
  <c r="BB287" i="3"/>
  <c r="AW289" i="3"/>
  <c r="Y290" i="3"/>
  <c r="Z290" i="3" s="1"/>
  <c r="AO290" i="3"/>
  <c r="AU289" i="3"/>
  <c r="AV289" i="3" l="1"/>
  <c r="BG287" i="3"/>
  <c r="BH287" i="3" s="1"/>
  <c r="BI287" i="3" s="1"/>
  <c r="AY289" i="3"/>
  <c r="BC288" i="3"/>
  <c r="BG288" i="3" s="1"/>
  <c r="BH288" i="3" s="1"/>
  <c r="BI288" i="3" s="1"/>
  <c r="AU290" i="3"/>
  <c r="BN291" i="3"/>
  <c r="AN291" i="3"/>
  <c r="AT290" i="3"/>
  <c r="AG291" i="3"/>
  <c r="X291" i="3"/>
  <c r="Y291" i="3"/>
  <c r="Z291" i="3" s="1"/>
  <c r="A293" i="3"/>
  <c r="B292" i="3"/>
  <c r="AR292" i="3"/>
  <c r="AQ292" i="3"/>
  <c r="AK292" i="3"/>
  <c r="T292" i="3"/>
  <c r="AM292" i="3"/>
  <c r="C292" i="3"/>
  <c r="S292" i="3"/>
  <c r="R292" i="3"/>
  <c r="Q292" i="3"/>
  <c r="AD292" i="3"/>
  <c r="P292" i="3"/>
  <c r="AE292" i="3"/>
  <c r="AF292" i="3"/>
  <c r="V292" i="3"/>
  <c r="O292" i="3"/>
  <c r="M292" i="3"/>
  <c r="U292" i="3"/>
  <c r="D292" i="3"/>
  <c r="F292" i="3"/>
  <c r="G292" i="3"/>
  <c r="H292" i="3" s="1"/>
  <c r="BF288" i="3"/>
  <c r="BJ287" i="3" s="1"/>
  <c r="BK287" i="3" s="1"/>
  <c r="BQ288" i="3"/>
  <c r="BB288" i="3"/>
  <c r="BM291" i="3"/>
  <c r="AH291" i="3"/>
  <c r="AO291" i="3"/>
  <c r="AW290" i="3"/>
  <c r="BA289" i="3"/>
  <c r="AX290" i="3"/>
  <c r="BC289" i="3" l="1"/>
  <c r="BD289" i="3" s="1"/>
  <c r="BD288" i="3"/>
  <c r="BN292" i="3"/>
  <c r="AN292" i="3"/>
  <c r="AV290" i="3"/>
  <c r="BM292" i="3"/>
  <c r="AU291" i="3"/>
  <c r="AT291" i="3"/>
  <c r="AW291" i="3"/>
  <c r="AH292" i="3"/>
  <c r="AR293" i="3"/>
  <c r="B293" i="3"/>
  <c r="AQ293" i="3"/>
  <c r="A294" i="3"/>
  <c r="R293" i="3"/>
  <c r="AM293" i="3"/>
  <c r="AK293" i="3"/>
  <c r="S293" i="3"/>
  <c r="Q293" i="3"/>
  <c r="AD293" i="3"/>
  <c r="P293" i="3"/>
  <c r="O293" i="3"/>
  <c r="AE293" i="3"/>
  <c r="AF293" i="3"/>
  <c r="U293" i="3"/>
  <c r="V293" i="3"/>
  <c r="M293" i="3"/>
  <c r="C293" i="3"/>
  <c r="G293" i="3"/>
  <c r="H293" i="3" s="1"/>
  <c r="D293" i="3"/>
  <c r="F293" i="3"/>
  <c r="T293" i="3"/>
  <c r="AY290" i="3"/>
  <c r="AO292" i="3"/>
  <c r="BF289" i="3"/>
  <c r="BJ288" i="3" s="1"/>
  <c r="BK288" i="3" s="1"/>
  <c r="BQ289" i="3"/>
  <c r="BB289" i="3"/>
  <c r="Y292" i="3"/>
  <c r="Z292" i="3" s="1"/>
  <c r="AX291" i="3"/>
  <c r="BA290" i="3"/>
  <c r="AG292" i="3"/>
  <c r="X292" i="3"/>
  <c r="BC290" i="3" l="1"/>
  <c r="BD290" i="3" s="1"/>
  <c r="BG289" i="3"/>
  <c r="BH289" i="3" s="1"/>
  <c r="BI289" i="3" s="1"/>
  <c r="BM293" i="3"/>
  <c r="BN293" i="3"/>
  <c r="AU292" i="3"/>
  <c r="AV291" i="3"/>
  <c r="BA291" i="3"/>
  <c r="BB291" i="3" s="1"/>
  <c r="AG293" i="3"/>
  <c r="BQ290" i="3"/>
  <c r="BF290" i="3"/>
  <c r="BJ289" i="3" s="1"/>
  <c r="BK289" i="3" s="1"/>
  <c r="BB290" i="3"/>
  <c r="AR294" i="3"/>
  <c r="B294" i="3"/>
  <c r="AQ294" i="3"/>
  <c r="A295" i="3"/>
  <c r="AM294" i="3"/>
  <c r="AK294" i="3"/>
  <c r="Q294" i="3"/>
  <c r="T294" i="3"/>
  <c r="AD294" i="3"/>
  <c r="R294" i="3"/>
  <c r="P294" i="3"/>
  <c r="AE294" i="3"/>
  <c r="O294" i="3"/>
  <c r="AF294" i="3"/>
  <c r="V294" i="3"/>
  <c r="U294" i="3"/>
  <c r="M294" i="3"/>
  <c r="F294" i="3"/>
  <c r="D294" i="3"/>
  <c r="C294" i="3"/>
  <c r="G294" i="3"/>
  <c r="H294" i="3" s="1"/>
  <c r="S294" i="3"/>
  <c r="AW292" i="3"/>
  <c r="AT292" i="3"/>
  <c r="AX292" i="3"/>
  <c r="Y293" i="3"/>
  <c r="Z293" i="3" s="1"/>
  <c r="X293" i="3"/>
  <c r="AH293" i="3"/>
  <c r="AY291" i="3"/>
  <c r="AN293" i="3"/>
  <c r="AO293" i="3"/>
  <c r="BG290" i="3" l="1"/>
  <c r="BH290" i="3" s="1"/>
  <c r="BI290" i="3" s="1"/>
  <c r="BN294" i="3"/>
  <c r="AU293" i="3"/>
  <c r="BQ291" i="3"/>
  <c r="BC291" i="3"/>
  <c r="BG291" i="3" s="1"/>
  <c r="BH291" i="3" s="1"/>
  <c r="BI291" i="3" s="1"/>
  <c r="BF291" i="3"/>
  <c r="BJ290" i="3" s="1"/>
  <c r="BK290" i="3" s="1"/>
  <c r="AW293" i="3"/>
  <c r="AN294" i="3"/>
  <c r="AV292" i="3"/>
  <c r="BA292" i="3"/>
  <c r="AQ295" i="3"/>
  <c r="B295" i="3"/>
  <c r="A296" i="3"/>
  <c r="AR295" i="3"/>
  <c r="S295" i="3"/>
  <c r="Q295" i="3"/>
  <c r="AK295" i="3"/>
  <c r="AM295" i="3"/>
  <c r="R295" i="3"/>
  <c r="P295" i="3"/>
  <c r="AD295" i="3"/>
  <c r="O295" i="3"/>
  <c r="M295" i="3"/>
  <c r="AE295" i="3"/>
  <c r="AF295" i="3"/>
  <c r="V295" i="3"/>
  <c r="U295" i="3"/>
  <c r="D295" i="3"/>
  <c r="C295" i="3"/>
  <c r="G295" i="3"/>
  <c r="H295" i="3" s="1"/>
  <c r="F295" i="3"/>
  <c r="T295" i="3"/>
  <c r="AX293" i="3"/>
  <c r="AY292" i="3"/>
  <c r="Y294" i="3"/>
  <c r="Z294" i="3" s="1"/>
  <c r="AT293" i="3"/>
  <c r="X294" i="3"/>
  <c r="BM294" i="3"/>
  <c r="AH294" i="3"/>
  <c r="AG294" i="3"/>
  <c r="AO294" i="3"/>
  <c r="AV293" i="3" l="1"/>
  <c r="BM295" i="3"/>
  <c r="BN295" i="3"/>
  <c r="BD291" i="3"/>
  <c r="AY293" i="3"/>
  <c r="BC292" i="3"/>
  <c r="BD292" i="3" s="1"/>
  <c r="AO295" i="3"/>
  <c r="A297" i="3"/>
  <c r="B296" i="3"/>
  <c r="AR296" i="3"/>
  <c r="AQ296" i="3"/>
  <c r="D296" i="3"/>
  <c r="AM296" i="3"/>
  <c r="R296" i="3"/>
  <c r="Q296" i="3"/>
  <c r="C296" i="3"/>
  <c r="AK296" i="3"/>
  <c r="S296" i="3"/>
  <c r="P296" i="3"/>
  <c r="AD296" i="3"/>
  <c r="AE296" i="3"/>
  <c r="M296" i="3"/>
  <c r="O296" i="3"/>
  <c r="AF296" i="3"/>
  <c r="V296" i="3"/>
  <c r="U296" i="3"/>
  <c r="G296" i="3"/>
  <c r="H296" i="3" s="1"/>
  <c r="F296" i="3"/>
  <c r="T296" i="3"/>
  <c r="AH295" i="3"/>
  <c r="AG295" i="3"/>
  <c r="BB292" i="3"/>
  <c r="BQ292" i="3"/>
  <c r="BF292" i="3"/>
  <c r="BJ291" i="3" s="1"/>
  <c r="BK291" i="3" s="1"/>
  <c r="AX294" i="3"/>
  <c r="AU294" i="3"/>
  <c r="X295" i="3"/>
  <c r="AW294" i="3"/>
  <c r="AT294" i="3"/>
  <c r="BA293" i="3"/>
  <c r="Y295" i="3"/>
  <c r="Z295" i="3" s="1"/>
  <c r="AN295" i="3"/>
  <c r="BM296" i="3" l="1"/>
  <c r="BC293" i="3"/>
  <c r="BD293" i="3" s="1"/>
  <c r="AO296" i="3"/>
  <c r="BN296" i="3"/>
  <c r="AU295" i="3"/>
  <c r="BG292" i="3"/>
  <c r="BH292" i="3" s="1"/>
  <c r="BI292" i="3" s="1"/>
  <c r="AY294" i="3"/>
  <c r="AT295" i="3"/>
  <c r="Y296" i="3"/>
  <c r="Z296" i="3" s="1"/>
  <c r="BB293" i="3"/>
  <c r="BQ293" i="3"/>
  <c r="BF293" i="3"/>
  <c r="BJ292" i="3" s="1"/>
  <c r="BK292" i="3" s="1"/>
  <c r="AV294" i="3"/>
  <c r="BA294" i="3"/>
  <c r="AR297" i="3"/>
  <c r="B297" i="3"/>
  <c r="AQ297" i="3"/>
  <c r="A298" i="3"/>
  <c r="AM297" i="3"/>
  <c r="AK297" i="3"/>
  <c r="S297" i="3"/>
  <c r="R297" i="3"/>
  <c r="AD297" i="3"/>
  <c r="P297" i="3"/>
  <c r="O297" i="3"/>
  <c r="M297" i="3"/>
  <c r="V297" i="3"/>
  <c r="AE297" i="3"/>
  <c r="AF297" i="3"/>
  <c r="U297" i="3"/>
  <c r="C297" i="3"/>
  <c r="G297" i="3"/>
  <c r="H297" i="3" s="1"/>
  <c r="Q297" i="3"/>
  <c r="D297" i="3"/>
  <c r="F297" i="3"/>
  <c r="T297" i="3"/>
  <c r="AX295" i="3"/>
  <c r="AH296" i="3"/>
  <c r="X296" i="3"/>
  <c r="AW295" i="3"/>
  <c r="AG296" i="3"/>
  <c r="AN296" i="3"/>
  <c r="BG293" i="3" l="1"/>
  <c r="BH293" i="3" s="1"/>
  <c r="BI293" i="3" s="1"/>
  <c r="BM297" i="3"/>
  <c r="BC294" i="3"/>
  <c r="BD294" i="3" s="1"/>
  <c r="AV295" i="3"/>
  <c r="AU296" i="3"/>
  <c r="AW296" i="3"/>
  <c r="AO297" i="3"/>
  <c r="AY295" i="3"/>
  <c r="Y297" i="3"/>
  <c r="Z297" i="3" s="1"/>
  <c r="AG297" i="3"/>
  <c r="AR298" i="3"/>
  <c r="B298" i="3"/>
  <c r="AQ298" i="3"/>
  <c r="A299" i="3"/>
  <c r="C298" i="3"/>
  <c r="R298" i="3"/>
  <c r="D298" i="3"/>
  <c r="AK298" i="3"/>
  <c r="AM298" i="3"/>
  <c r="Q298" i="3"/>
  <c r="AD298" i="3"/>
  <c r="P298" i="3"/>
  <c r="O298" i="3"/>
  <c r="M298" i="3"/>
  <c r="AE298" i="3"/>
  <c r="AF298" i="3"/>
  <c r="V298" i="3"/>
  <c r="U298" i="3"/>
  <c r="G298" i="3"/>
  <c r="H298" i="3" s="1"/>
  <c r="F298" i="3"/>
  <c r="S298" i="3"/>
  <c r="T298" i="3"/>
  <c r="BB294" i="3"/>
  <c r="BF294" i="3"/>
  <c r="BJ293" i="3" s="1"/>
  <c r="BK293" i="3" s="1"/>
  <c r="BQ294" i="3"/>
  <c r="AX296" i="3"/>
  <c r="BN297" i="3"/>
  <c r="AT296" i="3"/>
  <c r="X297" i="3"/>
  <c r="AH297" i="3"/>
  <c r="AN297" i="3"/>
  <c r="BA295" i="3"/>
  <c r="BN298" i="3" l="1"/>
  <c r="BG294" i="3"/>
  <c r="BH294" i="3" s="1"/>
  <c r="BI294" i="3" s="1"/>
  <c r="AV296" i="3"/>
  <c r="BC295" i="3"/>
  <c r="BD295" i="3" s="1"/>
  <c r="BM298" i="3"/>
  <c r="AO298" i="3"/>
  <c r="AT297" i="3"/>
  <c r="BA296" i="3"/>
  <c r="BF296" i="3" s="1"/>
  <c r="AU297" i="3"/>
  <c r="Y298" i="3"/>
  <c r="Z298" i="3" s="1"/>
  <c r="BF295" i="3"/>
  <c r="BJ294" i="3" s="1"/>
  <c r="BK294" i="3" s="1"/>
  <c r="BQ295" i="3"/>
  <c r="BB295" i="3"/>
  <c r="AX297" i="3"/>
  <c r="AW297" i="3"/>
  <c r="AY296" i="3"/>
  <c r="X298" i="3"/>
  <c r="AG298" i="3"/>
  <c r="AH298" i="3"/>
  <c r="AN298" i="3"/>
  <c r="AQ299" i="3"/>
  <c r="B299" i="3"/>
  <c r="A300" i="3"/>
  <c r="AR299" i="3"/>
  <c r="AM299" i="3"/>
  <c r="S299" i="3"/>
  <c r="R299" i="3"/>
  <c r="AK299" i="3"/>
  <c r="AD299" i="3"/>
  <c r="Q299" i="3"/>
  <c r="O299" i="3"/>
  <c r="M299" i="3"/>
  <c r="AE299" i="3"/>
  <c r="U299" i="3"/>
  <c r="AF299" i="3"/>
  <c r="V299" i="3"/>
  <c r="C299" i="3"/>
  <c r="D299" i="3"/>
  <c r="G299" i="3"/>
  <c r="H299" i="3" s="1"/>
  <c r="F299" i="3"/>
  <c r="T299" i="3"/>
  <c r="P299" i="3"/>
  <c r="BC296" i="3" l="1"/>
  <c r="BD296" i="3" s="1"/>
  <c r="AV297" i="3"/>
  <c r="BG295" i="3"/>
  <c r="BH295" i="3" s="1"/>
  <c r="BI295" i="3" s="1"/>
  <c r="BM299" i="3"/>
  <c r="AT298" i="3"/>
  <c r="BB296" i="3"/>
  <c r="BQ296" i="3"/>
  <c r="AO299" i="3"/>
  <c r="AX298" i="3"/>
  <c r="AY297" i="3"/>
  <c r="Y299" i="3"/>
  <c r="Z299" i="3" s="1"/>
  <c r="A301" i="3"/>
  <c r="B300" i="3"/>
  <c r="AR300" i="3"/>
  <c r="AQ300" i="3"/>
  <c r="C300" i="3"/>
  <c r="AK300" i="3"/>
  <c r="AM300" i="3"/>
  <c r="S300" i="3"/>
  <c r="R300" i="3"/>
  <c r="Q300" i="3"/>
  <c r="AD300" i="3"/>
  <c r="M300" i="3"/>
  <c r="AE300" i="3"/>
  <c r="AF300" i="3"/>
  <c r="P300" i="3"/>
  <c r="O300" i="3"/>
  <c r="V300" i="3"/>
  <c r="U300" i="3"/>
  <c r="F300" i="3"/>
  <c r="G300" i="3"/>
  <c r="H300" i="3" s="1"/>
  <c r="D300" i="3"/>
  <c r="T300" i="3"/>
  <c r="BN299" i="3"/>
  <c r="X299" i="3"/>
  <c r="AG299" i="3"/>
  <c r="AH299" i="3"/>
  <c r="AN299" i="3"/>
  <c r="AU298" i="3"/>
  <c r="AW298" i="3"/>
  <c r="BA297" i="3"/>
  <c r="BJ295" i="3"/>
  <c r="BK295" i="3" s="1"/>
  <c r="AV298" i="3" l="1"/>
  <c r="BM300" i="3"/>
  <c r="BG296" i="3"/>
  <c r="BH296" i="3" s="1"/>
  <c r="BI296" i="3" s="1"/>
  <c r="BC297" i="3"/>
  <c r="BG297" i="3" s="1"/>
  <c r="BH297" i="3" s="1"/>
  <c r="BI297" i="3" s="1"/>
  <c r="BN300" i="3"/>
  <c r="AX299" i="3"/>
  <c r="BB297" i="3"/>
  <c r="BQ297" i="3"/>
  <c r="BF297" i="3"/>
  <c r="BJ296" i="3" s="1"/>
  <c r="BK296" i="3" s="1"/>
  <c r="AT299" i="3"/>
  <c r="AW299" i="3"/>
  <c r="AR301" i="3"/>
  <c r="B301" i="3"/>
  <c r="AQ301" i="3"/>
  <c r="A302" i="3"/>
  <c r="C301" i="3"/>
  <c r="T301" i="3"/>
  <c r="AK301" i="3"/>
  <c r="AM301" i="3"/>
  <c r="S301" i="3"/>
  <c r="Q301" i="3"/>
  <c r="AD301" i="3"/>
  <c r="P301" i="3"/>
  <c r="R301" i="3"/>
  <c r="M301" i="3"/>
  <c r="O301" i="3"/>
  <c r="AF301" i="3"/>
  <c r="AE301" i="3"/>
  <c r="V301" i="3"/>
  <c r="U301" i="3"/>
  <c r="F301" i="3"/>
  <c r="D301" i="3"/>
  <c r="G301" i="3"/>
  <c r="H301" i="3" s="1"/>
  <c r="AG300" i="3"/>
  <c r="AH300" i="3"/>
  <c r="X300" i="3"/>
  <c r="BA298" i="3"/>
  <c r="AY298" i="3"/>
  <c r="AN300" i="3"/>
  <c r="AO300" i="3"/>
  <c r="AU299" i="3"/>
  <c r="Y300" i="3"/>
  <c r="Z300" i="3" s="1"/>
  <c r="BC298" i="3" l="1"/>
  <c r="BD298" i="3" s="1"/>
  <c r="BD297" i="3"/>
  <c r="BM301" i="3"/>
  <c r="AT300" i="3"/>
  <c r="AG301" i="3"/>
  <c r="AY299" i="3"/>
  <c r="AO301" i="3"/>
  <c r="AU300" i="3"/>
  <c r="AX300" i="3"/>
  <c r="AR302" i="3"/>
  <c r="B302" i="3"/>
  <c r="AQ302" i="3"/>
  <c r="A303" i="3"/>
  <c r="D302" i="3"/>
  <c r="AK302" i="3"/>
  <c r="T302" i="3"/>
  <c r="S302" i="3"/>
  <c r="Q302" i="3"/>
  <c r="AM302" i="3"/>
  <c r="R302" i="3"/>
  <c r="AD302" i="3"/>
  <c r="P302" i="3"/>
  <c r="O302" i="3"/>
  <c r="AE302" i="3"/>
  <c r="V302" i="3"/>
  <c r="U302" i="3"/>
  <c r="M302" i="3"/>
  <c r="AF302" i="3"/>
  <c r="G302" i="3"/>
  <c r="H302" i="3" s="1"/>
  <c r="F302" i="3"/>
  <c r="C302" i="3"/>
  <c r="BN301" i="3"/>
  <c r="AN301" i="3"/>
  <c r="BB298" i="3"/>
  <c r="BQ298" i="3"/>
  <c r="BF298" i="3"/>
  <c r="Y301" i="3"/>
  <c r="Z301" i="3" s="1"/>
  <c r="AV299" i="3"/>
  <c r="BA299" i="3"/>
  <c r="AW300" i="3"/>
  <c r="AH301" i="3"/>
  <c r="X301" i="3"/>
  <c r="BG298" i="3" l="1"/>
  <c r="BH298" i="3" s="1"/>
  <c r="BI298" i="3" s="1"/>
  <c r="AV300" i="3"/>
  <c r="AN302" i="3"/>
  <c r="AX301" i="3"/>
  <c r="BC299" i="3"/>
  <c r="BG299" i="3" s="1"/>
  <c r="BH299" i="3" s="1"/>
  <c r="BI299" i="3" s="1"/>
  <c r="BN302" i="3"/>
  <c r="AT301" i="3"/>
  <c r="AY300" i="3"/>
  <c r="BA300" i="3"/>
  <c r="BF300" i="3" s="1"/>
  <c r="X302" i="3"/>
  <c r="Y302" i="3"/>
  <c r="Z302" i="3" s="1"/>
  <c r="AU301" i="3"/>
  <c r="BM302" i="3"/>
  <c r="AG302" i="3"/>
  <c r="BF299" i="3"/>
  <c r="BJ298" i="3" s="1"/>
  <c r="BK298" i="3" s="1"/>
  <c r="BB299" i="3"/>
  <c r="BQ299" i="3"/>
  <c r="BJ297" i="3"/>
  <c r="BK297" i="3" s="1"/>
  <c r="AQ303" i="3"/>
  <c r="B303" i="3"/>
  <c r="A304" i="3"/>
  <c r="AR303" i="3"/>
  <c r="D303" i="3"/>
  <c r="AM303" i="3"/>
  <c r="S303" i="3"/>
  <c r="R303" i="3"/>
  <c r="AK303" i="3"/>
  <c r="T303" i="3"/>
  <c r="Q303" i="3"/>
  <c r="AD303" i="3"/>
  <c r="P303" i="3"/>
  <c r="O303" i="3"/>
  <c r="AF303" i="3"/>
  <c r="AE303" i="3"/>
  <c r="M303" i="3"/>
  <c r="U303" i="3"/>
  <c r="V303" i="3"/>
  <c r="C303" i="3"/>
  <c r="G303" i="3"/>
  <c r="H303" i="3" s="1"/>
  <c r="BN303" i="3" s="1"/>
  <c r="F303" i="3"/>
  <c r="AW301" i="3"/>
  <c r="AH302" i="3"/>
  <c r="AO302" i="3"/>
  <c r="BM303" i="3" l="1"/>
  <c r="AY301" i="3"/>
  <c r="BC300" i="3"/>
  <c r="BD300" i="3" s="1"/>
  <c r="BD299" i="3"/>
  <c r="AV301" i="3"/>
  <c r="BB300" i="3"/>
  <c r="AO303" i="3"/>
  <c r="BQ300" i="3"/>
  <c r="BJ299" i="3"/>
  <c r="BK299" i="3" s="1"/>
  <c r="Y303" i="3"/>
  <c r="Z303" i="3" s="1"/>
  <c r="A305" i="3"/>
  <c r="B304" i="3"/>
  <c r="AR304" i="3"/>
  <c r="AQ304" i="3"/>
  <c r="AK304" i="3"/>
  <c r="S304" i="3"/>
  <c r="AM304" i="3"/>
  <c r="T304" i="3"/>
  <c r="AD304" i="3"/>
  <c r="P304" i="3"/>
  <c r="R304" i="3"/>
  <c r="Q304" i="3"/>
  <c r="M304" i="3"/>
  <c r="O304" i="3"/>
  <c r="AF304" i="3"/>
  <c r="AE304" i="3"/>
  <c r="U304" i="3"/>
  <c r="V304" i="3"/>
  <c r="C304" i="3"/>
  <c r="F304" i="3"/>
  <c r="G304" i="3"/>
  <c r="H304" i="3" s="1"/>
  <c r="D304" i="3"/>
  <c r="AX302" i="3"/>
  <c r="X303" i="3"/>
  <c r="AG303" i="3"/>
  <c r="AH303" i="3"/>
  <c r="AN303" i="3"/>
  <c r="AU302" i="3"/>
  <c r="BA301" i="3"/>
  <c r="AT302" i="3"/>
  <c r="AW302" i="3"/>
  <c r="BG300" i="3" l="1"/>
  <c r="BH300" i="3" s="1"/>
  <c r="BI300" i="3" s="1"/>
  <c r="BC301" i="3"/>
  <c r="BD301" i="3" s="1"/>
  <c r="AN304" i="3"/>
  <c r="BM304" i="3"/>
  <c r="AX303" i="3"/>
  <c r="AG304" i="3"/>
  <c r="AU303" i="3"/>
  <c r="AT303" i="3"/>
  <c r="AV302" i="3"/>
  <c r="BA302" i="3"/>
  <c r="BF301" i="3"/>
  <c r="BJ300" i="3" s="1"/>
  <c r="BK300" i="3" s="1"/>
  <c r="BQ301" i="3"/>
  <c r="BB301" i="3"/>
  <c r="AR305" i="3"/>
  <c r="B305" i="3"/>
  <c r="AQ305" i="3"/>
  <c r="A306" i="3"/>
  <c r="AK305" i="3"/>
  <c r="R305" i="3"/>
  <c r="AM305" i="3"/>
  <c r="Q305" i="3"/>
  <c r="AD305" i="3"/>
  <c r="O305" i="3"/>
  <c r="M305" i="3"/>
  <c r="AF305" i="3"/>
  <c r="U305" i="3"/>
  <c r="P305" i="3"/>
  <c r="AE305" i="3"/>
  <c r="V305" i="3"/>
  <c r="D305" i="3"/>
  <c r="G305" i="3"/>
  <c r="H305" i="3" s="1"/>
  <c r="F305" i="3"/>
  <c r="C305" i="3"/>
  <c r="S305" i="3"/>
  <c r="T305" i="3"/>
  <c r="AW303" i="3"/>
  <c r="AY302" i="3"/>
  <c r="BN304" i="3"/>
  <c r="X304" i="3"/>
  <c r="AH304" i="3"/>
  <c r="AO304" i="3"/>
  <c r="Y304" i="3"/>
  <c r="Z304" i="3" s="1"/>
  <c r="BG301" i="3" l="1"/>
  <c r="BH301" i="3" s="1"/>
  <c r="BI301" i="3" s="1"/>
  <c r="AU304" i="3"/>
  <c r="AN305" i="3"/>
  <c r="BM305" i="3"/>
  <c r="AG305" i="3"/>
  <c r="AV303" i="3"/>
  <c r="AY303" i="3"/>
  <c r="AW304" i="3"/>
  <c r="AR306" i="3"/>
  <c r="B306" i="3"/>
  <c r="AQ306" i="3"/>
  <c r="A307" i="3"/>
  <c r="D306" i="3"/>
  <c r="AM306" i="3"/>
  <c r="S306" i="3"/>
  <c r="T306" i="3"/>
  <c r="AK306" i="3"/>
  <c r="Q306" i="3"/>
  <c r="P306" i="3"/>
  <c r="AD306" i="3"/>
  <c r="O306" i="3"/>
  <c r="AE306" i="3"/>
  <c r="M306" i="3"/>
  <c r="AF306" i="3"/>
  <c r="V306" i="3"/>
  <c r="U306" i="3"/>
  <c r="C306" i="3"/>
  <c r="G306" i="3"/>
  <c r="H306" i="3" s="1"/>
  <c r="R306" i="3"/>
  <c r="F306" i="3"/>
  <c r="X305" i="3"/>
  <c r="Y305" i="3"/>
  <c r="Z305" i="3" s="1"/>
  <c r="BN305" i="3"/>
  <c r="AH305" i="3"/>
  <c r="BC302" i="3"/>
  <c r="AT304" i="3"/>
  <c r="AX304" i="3"/>
  <c r="BQ302" i="3"/>
  <c r="BF302" i="3"/>
  <c r="BJ301" i="3" s="1"/>
  <c r="BK301" i="3" s="1"/>
  <c r="BB302" i="3"/>
  <c r="AO305" i="3"/>
  <c r="BA303" i="3"/>
  <c r="BM306" i="3" l="1"/>
  <c r="BN306" i="3"/>
  <c r="AT305" i="3"/>
  <c r="AN306" i="3"/>
  <c r="AU305" i="3"/>
  <c r="AW305" i="3"/>
  <c r="AY304" i="3"/>
  <c r="BC303" i="3"/>
  <c r="BG303" i="3" s="1"/>
  <c r="BH303" i="3" s="1"/>
  <c r="BI303" i="3" s="1"/>
  <c r="AO306" i="3"/>
  <c r="BD302" i="3"/>
  <c r="BG302" i="3"/>
  <c r="BH302" i="3" s="1"/>
  <c r="BI302" i="3" s="1"/>
  <c r="BB303" i="3"/>
  <c r="BF303" i="3"/>
  <c r="BJ302" i="3" s="1"/>
  <c r="BK302" i="3" s="1"/>
  <c r="BQ303" i="3"/>
  <c r="BA304" i="3"/>
  <c r="AV304" i="3"/>
  <c r="Y306" i="3"/>
  <c r="Z306" i="3" s="1"/>
  <c r="AX305" i="3"/>
  <c r="X306" i="3"/>
  <c r="AQ307" i="3"/>
  <c r="B307" i="3"/>
  <c r="A308" i="3"/>
  <c r="AR307" i="3"/>
  <c r="C307" i="3"/>
  <c r="AM307" i="3"/>
  <c r="Q307" i="3"/>
  <c r="AK307" i="3"/>
  <c r="S307" i="3"/>
  <c r="R307" i="3"/>
  <c r="AD307" i="3"/>
  <c r="P307" i="3"/>
  <c r="O307" i="3"/>
  <c r="M307" i="3"/>
  <c r="AF307" i="3"/>
  <c r="AE307" i="3"/>
  <c r="U307" i="3"/>
  <c r="V307" i="3"/>
  <c r="D307" i="3"/>
  <c r="G307" i="3"/>
  <c r="H307" i="3" s="1"/>
  <c r="F307" i="3"/>
  <c r="BM307" i="3" s="1"/>
  <c r="T307" i="3"/>
  <c r="AG306" i="3"/>
  <c r="AH306" i="3"/>
  <c r="AO307" i="3" l="1"/>
  <c r="AV305" i="3"/>
  <c r="AY305" i="3"/>
  <c r="BN307" i="3"/>
  <c r="BC304" i="3"/>
  <c r="BG304" i="3" s="1"/>
  <c r="BH304" i="3" s="1"/>
  <c r="BI304" i="3" s="1"/>
  <c r="BA305" i="3"/>
  <c r="BB305" i="3" s="1"/>
  <c r="BD303" i="3"/>
  <c r="AX306" i="3"/>
  <c r="AG307" i="3"/>
  <c r="Y307" i="3"/>
  <c r="Z307" i="3" s="1"/>
  <c r="A309" i="3"/>
  <c r="B308" i="3"/>
  <c r="AR308" i="3"/>
  <c r="AQ308" i="3"/>
  <c r="AK308" i="3"/>
  <c r="S308" i="3"/>
  <c r="Q308" i="3"/>
  <c r="D308" i="3"/>
  <c r="AM308" i="3"/>
  <c r="R308" i="3"/>
  <c r="AD308" i="3"/>
  <c r="P308" i="3"/>
  <c r="O308" i="3"/>
  <c r="M308" i="3"/>
  <c r="AE308" i="3"/>
  <c r="AF308" i="3"/>
  <c r="U308" i="3"/>
  <c r="V308" i="3"/>
  <c r="C308" i="3"/>
  <c r="G308" i="3"/>
  <c r="H308" i="3" s="1"/>
  <c r="BN308" i="3" s="1"/>
  <c r="F308" i="3"/>
  <c r="T308" i="3"/>
  <c r="BQ304" i="3"/>
  <c r="BB304" i="3"/>
  <c r="BF304" i="3"/>
  <c r="BJ303" i="3" s="1"/>
  <c r="BK303" i="3" s="1"/>
  <c r="AW306" i="3"/>
  <c r="AH307" i="3"/>
  <c r="X307" i="3"/>
  <c r="AU306" i="3"/>
  <c r="AN307" i="3"/>
  <c r="AT306" i="3"/>
  <c r="BM308" i="3" l="1"/>
  <c r="AN308" i="3"/>
  <c r="BC305" i="3"/>
  <c r="BD305" i="3" s="1"/>
  <c r="BD304" i="3"/>
  <c r="AG308" i="3"/>
  <c r="BQ305" i="3"/>
  <c r="Y308" i="3"/>
  <c r="Z308" i="3" s="1"/>
  <c r="BF305" i="3"/>
  <c r="BJ304" i="3" s="1"/>
  <c r="BK304" i="3" s="1"/>
  <c r="AY306" i="3"/>
  <c r="AU307" i="3"/>
  <c r="AT307" i="3"/>
  <c r="AW307" i="3"/>
  <c r="BA306" i="3"/>
  <c r="AV306" i="3"/>
  <c r="AR309" i="3"/>
  <c r="B309" i="3"/>
  <c r="AQ309" i="3"/>
  <c r="A310" i="3"/>
  <c r="AM309" i="3"/>
  <c r="D309" i="3"/>
  <c r="AK309" i="3"/>
  <c r="Q309" i="3"/>
  <c r="P309" i="3"/>
  <c r="T309" i="3"/>
  <c r="R309" i="3"/>
  <c r="AD309" i="3"/>
  <c r="O309" i="3"/>
  <c r="AE309" i="3"/>
  <c r="M309" i="3"/>
  <c r="AF309" i="3"/>
  <c r="U309" i="3"/>
  <c r="V309" i="3"/>
  <c r="G309" i="3"/>
  <c r="H309" i="3" s="1"/>
  <c r="C309" i="3"/>
  <c r="F309" i="3"/>
  <c r="S309" i="3"/>
  <c r="X308" i="3"/>
  <c r="AH308" i="3"/>
  <c r="AO308" i="3"/>
  <c r="AX307" i="3"/>
  <c r="BG305" i="3" l="1"/>
  <c r="BH305" i="3" s="1"/>
  <c r="BI305" i="3" s="1"/>
  <c r="BM309" i="3"/>
  <c r="BN309" i="3"/>
  <c r="BC306" i="3"/>
  <c r="BD306" i="3" s="1"/>
  <c r="AV307" i="3"/>
  <c r="AY307" i="3"/>
  <c r="AX308" i="3"/>
  <c r="AU308" i="3"/>
  <c r="AO309" i="3"/>
  <c r="AN309" i="3"/>
  <c r="Y309" i="3"/>
  <c r="Z309" i="3" s="1"/>
  <c r="AR310" i="3"/>
  <c r="B310" i="3"/>
  <c r="AQ310" i="3"/>
  <c r="A311" i="3"/>
  <c r="D310" i="3"/>
  <c r="AK310" i="3"/>
  <c r="AM310" i="3"/>
  <c r="S310" i="3"/>
  <c r="Q310" i="3"/>
  <c r="R310" i="3"/>
  <c r="AD310" i="3"/>
  <c r="AE310" i="3"/>
  <c r="U310" i="3"/>
  <c r="P310" i="3"/>
  <c r="O310" i="3"/>
  <c r="M310" i="3"/>
  <c r="AF310" i="3"/>
  <c r="V310" i="3"/>
  <c r="G310" i="3"/>
  <c r="H310" i="3" s="1"/>
  <c r="C310" i="3"/>
  <c r="F310" i="3"/>
  <c r="T310" i="3"/>
  <c r="AT308" i="3"/>
  <c r="AW308" i="3"/>
  <c r="X309" i="3"/>
  <c r="AG309" i="3"/>
  <c r="AH309" i="3"/>
  <c r="BA307" i="3"/>
  <c r="BQ306" i="3"/>
  <c r="BB306" i="3"/>
  <c r="BF306" i="3"/>
  <c r="BN310" i="3" l="1"/>
  <c r="BG306" i="3"/>
  <c r="BH306" i="3" s="1"/>
  <c r="BI306" i="3" s="1"/>
  <c r="AY308" i="3"/>
  <c r="BC307" i="3"/>
  <c r="BD307" i="3" s="1"/>
  <c r="AO310" i="3"/>
  <c r="AX309" i="3"/>
  <c r="AG310" i="3"/>
  <c r="Y310" i="3"/>
  <c r="Z310" i="3" s="1"/>
  <c r="X310" i="3"/>
  <c r="BB307" i="3"/>
  <c r="BQ307" i="3"/>
  <c r="BF307" i="3"/>
  <c r="BJ306" i="3" s="1"/>
  <c r="BK306" i="3" s="1"/>
  <c r="AV308" i="3"/>
  <c r="BA308" i="3"/>
  <c r="AU309" i="3"/>
  <c r="AT309" i="3"/>
  <c r="AW309" i="3"/>
  <c r="BM310" i="3"/>
  <c r="AH310" i="3"/>
  <c r="AN310" i="3"/>
  <c r="BJ305" i="3"/>
  <c r="BK305" i="3" s="1"/>
  <c r="AQ311" i="3"/>
  <c r="B311" i="3"/>
  <c r="A312" i="3"/>
  <c r="AR311" i="3"/>
  <c r="D311" i="3"/>
  <c r="AM311" i="3"/>
  <c r="T311" i="3"/>
  <c r="AK311" i="3"/>
  <c r="R311" i="3"/>
  <c r="Q311" i="3"/>
  <c r="AD311" i="3"/>
  <c r="P311" i="3"/>
  <c r="M311" i="3"/>
  <c r="V311" i="3"/>
  <c r="O311" i="3"/>
  <c r="AE311" i="3"/>
  <c r="AF311" i="3"/>
  <c r="U311" i="3"/>
  <c r="F311" i="3"/>
  <c r="C311" i="3"/>
  <c r="G311" i="3"/>
  <c r="H311" i="3" s="1"/>
  <c r="BN311" i="3" s="1"/>
  <c r="S311" i="3"/>
  <c r="AT310" i="3" l="1"/>
  <c r="AO311" i="3"/>
  <c r="BC308" i="3"/>
  <c r="BD308" i="3" s="1"/>
  <c r="BG307" i="3"/>
  <c r="BH307" i="3" s="1"/>
  <c r="BI307" i="3" s="1"/>
  <c r="AY309" i="3"/>
  <c r="AW310" i="3"/>
  <c r="AU310" i="3"/>
  <c r="AG311" i="3"/>
  <c r="X311" i="3"/>
  <c r="Y311" i="3"/>
  <c r="Z311" i="3" s="1"/>
  <c r="A313" i="3"/>
  <c r="B312" i="3"/>
  <c r="AR312" i="3"/>
  <c r="AQ312" i="3"/>
  <c r="T312" i="3"/>
  <c r="S312" i="3"/>
  <c r="AK312" i="3"/>
  <c r="AM312" i="3"/>
  <c r="R312" i="3"/>
  <c r="Q312" i="3"/>
  <c r="AD312" i="3"/>
  <c r="P312" i="3"/>
  <c r="AE312" i="3"/>
  <c r="M312" i="3"/>
  <c r="V312" i="3"/>
  <c r="U312" i="3"/>
  <c r="O312" i="3"/>
  <c r="AF312" i="3"/>
  <c r="D312" i="3"/>
  <c r="C312" i="3"/>
  <c r="G312" i="3"/>
  <c r="H312" i="3" s="1"/>
  <c r="F312" i="3"/>
  <c r="AV309" i="3"/>
  <c r="BA309" i="3"/>
  <c r="BF308" i="3"/>
  <c r="BJ307" i="3" s="1"/>
  <c r="BK307" i="3" s="1"/>
  <c r="BB308" i="3"/>
  <c r="BQ308" i="3"/>
  <c r="BM311" i="3"/>
  <c r="AH311" i="3"/>
  <c r="AX310" i="3"/>
  <c r="AN311" i="3"/>
  <c r="BN312" i="3" l="1"/>
  <c r="BM312" i="3"/>
  <c r="AV310" i="3"/>
  <c r="BC309" i="3"/>
  <c r="BG309" i="3" s="1"/>
  <c r="BH309" i="3" s="1"/>
  <c r="BI309" i="3" s="1"/>
  <c r="BG308" i="3"/>
  <c r="BH308" i="3" s="1"/>
  <c r="BI308" i="3" s="1"/>
  <c r="AY310" i="3"/>
  <c r="AN312" i="3"/>
  <c r="AU311" i="3"/>
  <c r="AT311" i="3"/>
  <c r="AW311" i="3"/>
  <c r="AH312" i="3"/>
  <c r="BA310" i="3"/>
  <c r="BQ310" i="3" s="1"/>
  <c r="Y312" i="3"/>
  <c r="Z312" i="3" s="1"/>
  <c r="AR313" i="3"/>
  <c r="B313" i="3"/>
  <c r="AQ313" i="3"/>
  <c r="A314" i="3"/>
  <c r="C313" i="3"/>
  <c r="AM313" i="3"/>
  <c r="S313" i="3"/>
  <c r="AK313" i="3"/>
  <c r="T313" i="3"/>
  <c r="Q313" i="3"/>
  <c r="AD313" i="3"/>
  <c r="P313" i="3"/>
  <c r="AF313" i="3"/>
  <c r="U313" i="3"/>
  <c r="O313" i="3"/>
  <c r="M313" i="3"/>
  <c r="AE313" i="3"/>
  <c r="V313" i="3"/>
  <c r="D313" i="3"/>
  <c r="R313" i="3"/>
  <c r="F313" i="3"/>
  <c r="G313" i="3"/>
  <c r="H313" i="3" s="1"/>
  <c r="X312" i="3"/>
  <c r="AX311" i="3"/>
  <c r="AG312" i="3"/>
  <c r="AO312" i="3"/>
  <c r="BF309" i="3"/>
  <c r="BJ308" i="3" s="1"/>
  <c r="BK308" i="3" s="1"/>
  <c r="BQ309" i="3"/>
  <c r="BB309" i="3"/>
  <c r="BM313" i="3" l="1"/>
  <c r="BC310" i="3"/>
  <c r="BG310" i="3" s="1"/>
  <c r="BH310" i="3" s="1"/>
  <c r="BI310" i="3" s="1"/>
  <c r="AG313" i="3"/>
  <c r="BD309" i="3"/>
  <c r="AO313" i="3"/>
  <c r="AU312" i="3"/>
  <c r="AV311" i="3"/>
  <c r="AW312" i="3"/>
  <c r="BA311" i="3"/>
  <c r="BQ311" i="3" s="1"/>
  <c r="AY311" i="3"/>
  <c r="BB310" i="3"/>
  <c r="BF310" i="3"/>
  <c r="BJ309" i="3" s="1"/>
  <c r="BK309" i="3" s="1"/>
  <c r="Y313" i="3"/>
  <c r="Z313" i="3" s="1"/>
  <c r="AR314" i="3"/>
  <c r="B314" i="3"/>
  <c r="AQ314" i="3"/>
  <c r="A315" i="3"/>
  <c r="D314" i="3"/>
  <c r="AK314" i="3"/>
  <c r="AM314" i="3"/>
  <c r="T314" i="3"/>
  <c r="S314" i="3"/>
  <c r="Q314" i="3"/>
  <c r="R314" i="3"/>
  <c r="AD314" i="3"/>
  <c r="P314" i="3"/>
  <c r="AF314" i="3"/>
  <c r="O314" i="3"/>
  <c r="M314" i="3"/>
  <c r="AE314" i="3"/>
  <c r="U314" i="3"/>
  <c r="V314" i="3"/>
  <c r="F314" i="3"/>
  <c r="C314" i="3"/>
  <c r="G314" i="3"/>
  <c r="H314" i="3" s="1"/>
  <c r="AT312" i="3"/>
  <c r="AH313" i="3"/>
  <c r="AX312" i="3"/>
  <c r="BN313" i="3"/>
  <c r="AN313" i="3"/>
  <c r="X313" i="3"/>
  <c r="BD310" i="3" l="1"/>
  <c r="AY312" i="3"/>
  <c r="BC311" i="3"/>
  <c r="BD311" i="3" s="1"/>
  <c r="BF311" i="3"/>
  <c r="BJ310" i="3" s="1"/>
  <c r="BK310" i="3" s="1"/>
  <c r="BB311" i="3"/>
  <c r="AX313" i="3"/>
  <c r="AN314" i="3"/>
  <c r="AT313" i="3"/>
  <c r="AG314" i="3"/>
  <c r="X314" i="3"/>
  <c r="Y314" i="3"/>
  <c r="Z314" i="3" s="1"/>
  <c r="AV312" i="3"/>
  <c r="BA312" i="3"/>
  <c r="AQ315" i="3"/>
  <c r="B315" i="3"/>
  <c r="A316" i="3"/>
  <c r="AR315" i="3"/>
  <c r="AK315" i="3"/>
  <c r="AM315" i="3"/>
  <c r="R315" i="3"/>
  <c r="Q315" i="3"/>
  <c r="AD315" i="3"/>
  <c r="P315" i="3"/>
  <c r="O315" i="3"/>
  <c r="M315" i="3"/>
  <c r="AF315" i="3"/>
  <c r="V315" i="3"/>
  <c r="AE315" i="3"/>
  <c r="U315" i="3"/>
  <c r="C315" i="3"/>
  <c r="D315" i="3"/>
  <c r="G315" i="3"/>
  <c r="H315" i="3" s="1"/>
  <c r="F315" i="3"/>
  <c r="T315" i="3"/>
  <c r="S315" i="3"/>
  <c r="AU313" i="3"/>
  <c r="AW313" i="3"/>
  <c r="BN314" i="3"/>
  <c r="BM314" i="3"/>
  <c r="AH314" i="3"/>
  <c r="AO314" i="3"/>
  <c r="BC312" i="3" l="1"/>
  <c r="BG312" i="3" s="1"/>
  <c r="BH312" i="3" s="1"/>
  <c r="BI312" i="3" s="1"/>
  <c r="BG311" i="3"/>
  <c r="BH311" i="3" s="1"/>
  <c r="BI311" i="3" s="1"/>
  <c r="AY313" i="3"/>
  <c r="AG315" i="3"/>
  <c r="BM315" i="3"/>
  <c r="AN315" i="3"/>
  <c r="AV313" i="3"/>
  <c r="AX314" i="3"/>
  <c r="A317" i="3"/>
  <c r="B316" i="3"/>
  <c r="AR316" i="3"/>
  <c r="AQ316" i="3"/>
  <c r="D316" i="3"/>
  <c r="C316" i="3"/>
  <c r="AK316" i="3"/>
  <c r="T316" i="3"/>
  <c r="AM316" i="3"/>
  <c r="S316" i="3"/>
  <c r="Q316" i="3"/>
  <c r="AD316" i="3"/>
  <c r="P316" i="3"/>
  <c r="M316" i="3"/>
  <c r="AF316" i="3"/>
  <c r="V316" i="3"/>
  <c r="U316" i="3"/>
  <c r="O316" i="3"/>
  <c r="AE316" i="3"/>
  <c r="F316" i="3"/>
  <c r="R316" i="3"/>
  <c r="G316" i="3"/>
  <c r="H316" i="3" s="1"/>
  <c r="AT314" i="3"/>
  <c r="AW314" i="3"/>
  <c r="AU314" i="3"/>
  <c r="BN315" i="3"/>
  <c r="AH315" i="3"/>
  <c r="AO315" i="3"/>
  <c r="BA313" i="3"/>
  <c r="Y315" i="3"/>
  <c r="Z315" i="3" s="1"/>
  <c r="BB312" i="3"/>
  <c r="BQ312" i="3"/>
  <c r="BF312" i="3"/>
  <c r="BJ311" i="3" s="1"/>
  <c r="BK311" i="3" s="1"/>
  <c r="X315" i="3"/>
  <c r="BD312" i="3" l="1"/>
  <c r="BM316" i="3"/>
  <c r="AN316" i="3"/>
  <c r="BC313" i="3"/>
  <c r="BD313" i="3" s="1"/>
  <c r="AU315" i="3"/>
  <c r="BN316" i="3"/>
  <c r="AY314" i="3"/>
  <c r="AX315" i="3"/>
  <c r="AT315" i="3"/>
  <c r="AH316" i="3"/>
  <c r="BQ313" i="3"/>
  <c r="BB313" i="3"/>
  <c r="BF313" i="3"/>
  <c r="BJ312" i="3" s="1"/>
  <c r="BK312" i="3" s="1"/>
  <c r="AV314" i="3"/>
  <c r="BA314" i="3"/>
  <c r="AR317" i="3"/>
  <c r="B317" i="3"/>
  <c r="AQ317" i="3"/>
  <c r="A318" i="3"/>
  <c r="AK317" i="3"/>
  <c r="S317" i="3"/>
  <c r="AM317" i="3"/>
  <c r="R317" i="3"/>
  <c r="AD317" i="3"/>
  <c r="P317" i="3"/>
  <c r="AE317" i="3"/>
  <c r="M317" i="3"/>
  <c r="O317" i="3"/>
  <c r="V317" i="3"/>
  <c r="AF317" i="3"/>
  <c r="U317" i="3"/>
  <c r="Q317" i="3"/>
  <c r="C317" i="3"/>
  <c r="D317" i="3"/>
  <c r="G317" i="3"/>
  <c r="H317" i="3" s="1"/>
  <c r="F317" i="3"/>
  <c r="T317" i="3"/>
  <c r="AW315" i="3"/>
  <c r="AG316" i="3"/>
  <c r="AO316" i="3"/>
  <c r="Y316" i="3"/>
  <c r="Z316" i="3" s="1"/>
  <c r="X316" i="3"/>
  <c r="AV315" i="3" l="1"/>
  <c r="AN317" i="3"/>
  <c r="BC314" i="3"/>
  <c r="BD314" i="3" s="1"/>
  <c r="BG313" i="3"/>
  <c r="BH313" i="3" s="1"/>
  <c r="BI313" i="3" s="1"/>
  <c r="AY315" i="3"/>
  <c r="BM317" i="3"/>
  <c r="BA315" i="3"/>
  <c r="BQ315" i="3" s="1"/>
  <c r="AW316" i="3"/>
  <c r="AU316" i="3"/>
  <c r="AX316" i="3"/>
  <c r="AR318" i="3"/>
  <c r="B318" i="3"/>
  <c r="AQ318" i="3"/>
  <c r="A319" i="3"/>
  <c r="C318" i="3"/>
  <c r="R318" i="3"/>
  <c r="Q318" i="3"/>
  <c r="AK318" i="3"/>
  <c r="AM318" i="3"/>
  <c r="P318" i="3"/>
  <c r="S318" i="3"/>
  <c r="AD318" i="3"/>
  <c r="O318" i="3"/>
  <c r="AE318" i="3"/>
  <c r="M318" i="3"/>
  <c r="U318" i="3"/>
  <c r="AF318" i="3"/>
  <c r="V318" i="3"/>
  <c r="G318" i="3"/>
  <c r="H318" i="3" s="1"/>
  <c r="D318" i="3"/>
  <c r="F318" i="3"/>
  <c r="T318" i="3"/>
  <c r="BF314" i="3"/>
  <c r="BJ313" i="3" s="1"/>
  <c r="BK313" i="3" s="1"/>
  <c r="BQ314" i="3"/>
  <c r="BB314" i="3"/>
  <c r="AT316" i="3"/>
  <c r="Y317" i="3"/>
  <c r="Z317" i="3" s="1"/>
  <c r="BN317" i="3"/>
  <c r="X317" i="3"/>
  <c r="AG317" i="3"/>
  <c r="AH317" i="3"/>
  <c r="AO317" i="3"/>
  <c r="BM318" i="3" l="1"/>
  <c r="BC315" i="3"/>
  <c r="BD315" i="3" s="1"/>
  <c r="BF315" i="3"/>
  <c r="BJ314" i="3" s="1"/>
  <c r="BK314" i="3" s="1"/>
  <c r="BG314" i="3"/>
  <c r="BH314" i="3" s="1"/>
  <c r="BI314" i="3" s="1"/>
  <c r="BN318" i="3"/>
  <c r="BB315" i="3"/>
  <c r="AY316" i="3"/>
  <c r="AN318" i="3"/>
  <c r="AX317" i="3"/>
  <c r="BA316" i="3"/>
  <c r="BB316" i="3" s="1"/>
  <c r="Y318" i="3"/>
  <c r="Z318" i="3" s="1"/>
  <c r="AU317" i="3"/>
  <c r="X318" i="3"/>
  <c r="AQ319" i="3"/>
  <c r="B319" i="3"/>
  <c r="A320" i="3"/>
  <c r="AR319" i="3"/>
  <c r="AM319" i="3"/>
  <c r="D319" i="3"/>
  <c r="AK319" i="3"/>
  <c r="Q319" i="3"/>
  <c r="S319" i="3"/>
  <c r="AD319" i="3"/>
  <c r="P319" i="3"/>
  <c r="O319" i="3"/>
  <c r="AE319" i="3"/>
  <c r="AF319" i="3"/>
  <c r="M319" i="3"/>
  <c r="U319" i="3"/>
  <c r="V319" i="3"/>
  <c r="C319" i="3"/>
  <c r="F319" i="3"/>
  <c r="R319" i="3"/>
  <c r="G319" i="3"/>
  <c r="H319" i="3" s="1"/>
  <c r="T319" i="3"/>
  <c r="AT317" i="3"/>
  <c r="AW317" i="3"/>
  <c r="AV316" i="3"/>
  <c r="AG318" i="3"/>
  <c r="AH318" i="3"/>
  <c r="AO318" i="3"/>
  <c r="BG315" i="3" l="1"/>
  <c r="BH315" i="3" s="1"/>
  <c r="BI315" i="3" s="1"/>
  <c r="AO319" i="3"/>
  <c r="BN319" i="3"/>
  <c r="BM319" i="3"/>
  <c r="BC316" i="3"/>
  <c r="BD316" i="3" s="1"/>
  <c r="BF316" i="3"/>
  <c r="BJ315" i="3" s="1"/>
  <c r="BK315" i="3" s="1"/>
  <c r="AY317" i="3"/>
  <c r="BQ316" i="3"/>
  <c r="AX318" i="3"/>
  <c r="AG319" i="3"/>
  <c r="AV317" i="3"/>
  <c r="BA317" i="3"/>
  <c r="AW318" i="3"/>
  <c r="Y319" i="3"/>
  <c r="Z319" i="3" s="1"/>
  <c r="X319" i="3"/>
  <c r="AH319" i="3"/>
  <c r="AT318" i="3"/>
  <c r="A321" i="3"/>
  <c r="B320" i="3"/>
  <c r="AR320" i="3"/>
  <c r="AQ320" i="3"/>
  <c r="D320" i="3"/>
  <c r="AM320" i="3"/>
  <c r="AK320" i="3"/>
  <c r="S320" i="3"/>
  <c r="R320" i="3"/>
  <c r="AD320" i="3"/>
  <c r="Q320" i="3"/>
  <c r="P320" i="3"/>
  <c r="M320" i="3"/>
  <c r="U320" i="3"/>
  <c r="V320" i="3"/>
  <c r="O320" i="3"/>
  <c r="AE320" i="3"/>
  <c r="AF320" i="3"/>
  <c r="G320" i="3"/>
  <c r="H320" i="3" s="1"/>
  <c r="F320" i="3"/>
  <c r="C320" i="3"/>
  <c r="T320" i="3"/>
  <c r="AN319" i="3"/>
  <c r="AU318" i="3"/>
  <c r="BN320" i="3" l="1"/>
  <c r="BG316" i="3"/>
  <c r="BH316" i="3" s="1"/>
  <c r="BI316" i="3" s="1"/>
  <c r="AT319" i="3"/>
  <c r="AY318" i="3"/>
  <c r="BC317" i="3"/>
  <c r="BG317" i="3" s="1"/>
  <c r="BH317" i="3" s="1"/>
  <c r="BI317" i="3" s="1"/>
  <c r="AO320" i="3"/>
  <c r="AW319" i="3"/>
  <c r="AU319" i="3"/>
  <c r="AG320" i="3"/>
  <c r="X320" i="3"/>
  <c r="AV318" i="3"/>
  <c r="BA318" i="3"/>
  <c r="Y320" i="3"/>
  <c r="Z320" i="3" s="1"/>
  <c r="BM320" i="3"/>
  <c r="AH320" i="3"/>
  <c r="AN320" i="3"/>
  <c r="AR321" i="3"/>
  <c r="B321" i="3"/>
  <c r="AQ321" i="3"/>
  <c r="A322" i="3"/>
  <c r="T321" i="3"/>
  <c r="AK321" i="3"/>
  <c r="AM321" i="3"/>
  <c r="S321" i="3"/>
  <c r="Q321" i="3"/>
  <c r="R321" i="3"/>
  <c r="AD321" i="3"/>
  <c r="P321" i="3"/>
  <c r="O321" i="3"/>
  <c r="M321" i="3"/>
  <c r="AF321" i="3"/>
  <c r="V321" i="3"/>
  <c r="U321" i="3"/>
  <c r="AE321" i="3"/>
  <c r="D321" i="3"/>
  <c r="F321" i="3"/>
  <c r="C321" i="3"/>
  <c r="G321" i="3"/>
  <c r="H321" i="3" s="1"/>
  <c r="BQ317" i="3"/>
  <c r="BB317" i="3"/>
  <c r="BF317" i="3"/>
  <c r="BJ316" i="3" s="1"/>
  <c r="BK316" i="3" s="1"/>
  <c r="AX319" i="3"/>
  <c r="BD317" i="3" l="1"/>
  <c r="AV319" i="3"/>
  <c r="BC318" i="3"/>
  <c r="BG318" i="3" s="1"/>
  <c r="BH318" i="3" s="1"/>
  <c r="BI318" i="3" s="1"/>
  <c r="BA319" i="3"/>
  <c r="BB319" i="3" s="1"/>
  <c r="AX320" i="3"/>
  <c r="X321" i="3"/>
  <c r="Y321" i="3"/>
  <c r="Z321" i="3" s="1"/>
  <c r="AO321" i="3"/>
  <c r="AN321" i="3"/>
  <c r="AR322" i="3"/>
  <c r="B322" i="3"/>
  <c r="AQ322" i="3"/>
  <c r="A323" i="3"/>
  <c r="D322" i="3"/>
  <c r="AK322" i="3"/>
  <c r="S322" i="3"/>
  <c r="Q322" i="3"/>
  <c r="C322" i="3"/>
  <c r="AM322" i="3"/>
  <c r="R322" i="3"/>
  <c r="AD322" i="3"/>
  <c r="P322" i="3"/>
  <c r="AE322" i="3"/>
  <c r="O322" i="3"/>
  <c r="M322" i="3"/>
  <c r="AF322" i="3"/>
  <c r="V322" i="3"/>
  <c r="U322" i="3"/>
  <c r="G322" i="3"/>
  <c r="H322" i="3" s="1"/>
  <c r="F322" i="3"/>
  <c r="BM322" i="3" s="1"/>
  <c r="T322" i="3"/>
  <c r="AH321" i="3"/>
  <c r="AU320" i="3"/>
  <c r="AT320" i="3"/>
  <c r="AY319" i="3"/>
  <c r="BN321" i="3"/>
  <c r="BM321" i="3"/>
  <c r="AG321" i="3"/>
  <c r="AW320" i="3"/>
  <c r="BB318" i="3"/>
  <c r="BF318" i="3"/>
  <c r="BJ317" i="3" s="1"/>
  <c r="BK317" i="3" s="1"/>
  <c r="BQ318" i="3"/>
  <c r="BD318" i="3" l="1"/>
  <c r="BQ319" i="3"/>
  <c r="AN322" i="3"/>
  <c r="BC319" i="3"/>
  <c r="BD319" i="3" s="1"/>
  <c r="BF319" i="3"/>
  <c r="BJ318" i="3" s="1"/>
  <c r="BK318" i="3" s="1"/>
  <c r="AY320" i="3"/>
  <c r="AW321" i="3"/>
  <c r="AV320" i="3"/>
  <c r="AQ323" i="3"/>
  <c r="B323" i="3"/>
  <c r="A324" i="3"/>
  <c r="AR323" i="3"/>
  <c r="AM323" i="3"/>
  <c r="S323" i="3"/>
  <c r="AK323" i="3"/>
  <c r="R323" i="3"/>
  <c r="P323" i="3"/>
  <c r="T323" i="3"/>
  <c r="Q323" i="3"/>
  <c r="AD323" i="3"/>
  <c r="O323" i="3"/>
  <c r="AF323" i="3"/>
  <c r="U323" i="3"/>
  <c r="V323" i="3"/>
  <c r="M323" i="3"/>
  <c r="AE323" i="3"/>
  <c r="D323" i="3"/>
  <c r="C323" i="3"/>
  <c r="F323" i="3"/>
  <c r="G323" i="3"/>
  <c r="H323" i="3" s="1"/>
  <c r="AX321" i="3"/>
  <c r="AU321" i="3"/>
  <c r="BA320" i="3"/>
  <c r="AT321" i="3"/>
  <c r="Y322" i="3"/>
  <c r="Z322" i="3" s="1"/>
  <c r="BN322" i="3"/>
  <c r="AG322" i="3"/>
  <c r="AH322" i="3"/>
  <c r="AO322" i="3"/>
  <c r="X322" i="3"/>
  <c r="BC320" i="3" l="1"/>
  <c r="BD320" i="3" s="1"/>
  <c r="AG323" i="3"/>
  <c r="AO323" i="3"/>
  <c r="BG319" i="3"/>
  <c r="BH319" i="3" s="1"/>
  <c r="BI319" i="3" s="1"/>
  <c r="AY321" i="3"/>
  <c r="BN323" i="3"/>
  <c r="AT322" i="3"/>
  <c r="AU322" i="3"/>
  <c r="X323" i="3"/>
  <c r="AV321" i="3"/>
  <c r="BA321" i="3"/>
  <c r="Y323" i="3"/>
  <c r="Z323" i="3" s="1"/>
  <c r="A325" i="3"/>
  <c r="B324" i="3"/>
  <c r="AR324" i="3"/>
  <c r="AQ324" i="3"/>
  <c r="D324" i="3"/>
  <c r="AM324" i="3"/>
  <c r="AK324" i="3"/>
  <c r="R324" i="3"/>
  <c r="Q324" i="3"/>
  <c r="AD324" i="3"/>
  <c r="T324" i="3"/>
  <c r="P324" i="3"/>
  <c r="O324" i="3"/>
  <c r="V324" i="3"/>
  <c r="AE324" i="3"/>
  <c r="AF324" i="3"/>
  <c r="M324" i="3"/>
  <c r="U324" i="3"/>
  <c r="F324" i="3"/>
  <c r="C324" i="3"/>
  <c r="G324" i="3"/>
  <c r="H324" i="3" s="1"/>
  <c r="BN324" i="3" s="1"/>
  <c r="S324" i="3"/>
  <c r="AX322" i="3"/>
  <c r="BM323" i="3"/>
  <c r="AN323" i="3"/>
  <c r="BF320" i="3"/>
  <c r="BJ319" i="3" s="1"/>
  <c r="BK319" i="3" s="1"/>
  <c r="BQ320" i="3"/>
  <c r="BB320" i="3"/>
  <c r="AW322" i="3"/>
  <c r="AH323" i="3"/>
  <c r="BG320" i="3" l="1"/>
  <c r="BH320" i="3" s="1"/>
  <c r="BI320" i="3" s="1"/>
  <c r="BC321" i="3"/>
  <c r="BG321" i="3" s="1"/>
  <c r="BH321" i="3" s="1"/>
  <c r="BI321" i="3" s="1"/>
  <c r="BM324" i="3"/>
  <c r="AV322" i="3"/>
  <c r="BA322" i="3"/>
  <c r="BB322" i="3" s="1"/>
  <c r="AW323" i="3"/>
  <c r="AO324" i="3"/>
  <c r="AG324" i="3"/>
  <c r="AT323" i="3"/>
  <c r="Y324" i="3"/>
  <c r="Z324" i="3" s="1"/>
  <c r="AR325" i="3"/>
  <c r="B325" i="3"/>
  <c r="AQ325" i="3"/>
  <c r="A326" i="3"/>
  <c r="C325" i="3"/>
  <c r="AM325" i="3"/>
  <c r="AK325" i="3"/>
  <c r="S325" i="3"/>
  <c r="R325" i="3"/>
  <c r="D325" i="3"/>
  <c r="AD325" i="3"/>
  <c r="P325" i="3"/>
  <c r="O325" i="3"/>
  <c r="M325" i="3"/>
  <c r="V325" i="3"/>
  <c r="AF325" i="3"/>
  <c r="AE325" i="3"/>
  <c r="U325" i="3"/>
  <c r="Q325" i="3"/>
  <c r="G325" i="3"/>
  <c r="H325" i="3" s="1"/>
  <c r="F325" i="3"/>
  <c r="BM325" i="3" s="1"/>
  <c r="T325" i="3"/>
  <c r="BB321" i="3"/>
  <c r="BF321" i="3"/>
  <c r="BJ320" i="3" s="1"/>
  <c r="BK320" i="3" s="1"/>
  <c r="BQ321" i="3"/>
  <c r="AX323" i="3"/>
  <c r="AY322" i="3"/>
  <c r="AU323" i="3"/>
  <c r="X324" i="3"/>
  <c r="AH324" i="3"/>
  <c r="AN324" i="3"/>
  <c r="BN325" i="3" l="1"/>
  <c r="BD321" i="3"/>
  <c r="BC322" i="3"/>
  <c r="BD322" i="3" s="1"/>
  <c r="AO325" i="3"/>
  <c r="BQ322" i="3"/>
  <c r="BF322" i="3"/>
  <c r="BJ321" i="3" s="1"/>
  <c r="BK321" i="3" s="1"/>
  <c r="AG325" i="3"/>
  <c r="BA323" i="3"/>
  <c r="BB323" i="3" s="1"/>
  <c r="AY323" i="3"/>
  <c r="AX324" i="3"/>
  <c r="Y325" i="3"/>
  <c r="Z325" i="3" s="1"/>
  <c r="AR326" i="3"/>
  <c r="B326" i="3"/>
  <c r="AQ326" i="3"/>
  <c r="A327" i="3"/>
  <c r="AK326" i="3"/>
  <c r="T326" i="3"/>
  <c r="S326" i="3"/>
  <c r="AM326" i="3"/>
  <c r="R326" i="3"/>
  <c r="AD326" i="3"/>
  <c r="P326" i="3"/>
  <c r="O326" i="3"/>
  <c r="M326" i="3"/>
  <c r="AE326" i="3"/>
  <c r="AF326" i="3"/>
  <c r="V326" i="3"/>
  <c r="U326" i="3"/>
  <c r="C326" i="3"/>
  <c r="G326" i="3"/>
  <c r="H326" i="3" s="1"/>
  <c r="F326" i="3"/>
  <c r="Q326" i="3"/>
  <c r="D326" i="3"/>
  <c r="AU324" i="3"/>
  <c r="AW324" i="3"/>
  <c r="AN325" i="3"/>
  <c r="AV323" i="3"/>
  <c r="AT324" i="3"/>
  <c r="AH325" i="3"/>
  <c r="X325" i="3"/>
  <c r="BM326" i="3" l="1"/>
  <c r="BG322" i="3"/>
  <c r="BH322" i="3" s="1"/>
  <c r="BI322" i="3" s="1"/>
  <c r="AO326" i="3"/>
  <c r="BN326" i="3"/>
  <c r="BQ323" i="3"/>
  <c r="AY324" i="3"/>
  <c r="BF323" i="3"/>
  <c r="BJ322" i="3" s="1"/>
  <c r="BK322" i="3" s="1"/>
  <c r="BC323" i="3"/>
  <c r="BG323" i="3" s="1"/>
  <c r="BH323" i="3" s="1"/>
  <c r="BI323" i="3" s="1"/>
  <c r="AX325" i="3"/>
  <c r="AT325" i="3"/>
  <c r="AU325" i="3"/>
  <c r="Y326" i="3"/>
  <c r="Z326" i="3" s="1"/>
  <c r="AQ327" i="3"/>
  <c r="B327" i="3"/>
  <c r="A328" i="3"/>
  <c r="AR327" i="3"/>
  <c r="D327" i="3"/>
  <c r="AM327" i="3"/>
  <c r="S327" i="3"/>
  <c r="AK327" i="3"/>
  <c r="R327" i="3"/>
  <c r="Q327" i="3"/>
  <c r="P327" i="3"/>
  <c r="AD327" i="3"/>
  <c r="O327" i="3"/>
  <c r="AE327" i="3"/>
  <c r="U327" i="3"/>
  <c r="M327" i="3"/>
  <c r="AF327" i="3"/>
  <c r="V327" i="3"/>
  <c r="C327" i="3"/>
  <c r="G327" i="3"/>
  <c r="H327" i="3" s="1"/>
  <c r="F327" i="3"/>
  <c r="T327" i="3"/>
  <c r="AW325" i="3"/>
  <c r="X326" i="3"/>
  <c r="AG326" i="3"/>
  <c r="AH326" i="3"/>
  <c r="AN326" i="3"/>
  <c r="AV324" i="3"/>
  <c r="BA324" i="3"/>
  <c r="BM327" i="3" l="1"/>
  <c r="BD323" i="3"/>
  <c r="BC324" i="3"/>
  <c r="BG324" i="3" s="1"/>
  <c r="BH324" i="3" s="1"/>
  <c r="BI324" i="3" s="1"/>
  <c r="AY325" i="3"/>
  <c r="BN327" i="3"/>
  <c r="AT326" i="3"/>
  <c r="AV325" i="3"/>
  <c r="AG327" i="3"/>
  <c r="AU326" i="3"/>
  <c r="AN327" i="3"/>
  <c r="AO327" i="3"/>
  <c r="A329" i="3"/>
  <c r="B328" i="3"/>
  <c r="AR328" i="3"/>
  <c r="AQ328" i="3"/>
  <c r="C328" i="3"/>
  <c r="D328" i="3"/>
  <c r="AM328" i="3"/>
  <c r="AK328" i="3"/>
  <c r="R328" i="3"/>
  <c r="Q328" i="3"/>
  <c r="S328" i="3"/>
  <c r="AD328" i="3"/>
  <c r="P328" i="3"/>
  <c r="O328" i="3"/>
  <c r="M328" i="3"/>
  <c r="AE328" i="3"/>
  <c r="AF328" i="3"/>
  <c r="U328" i="3"/>
  <c r="V328" i="3"/>
  <c r="G328" i="3"/>
  <c r="H328" i="3" s="1"/>
  <c r="F328" i="3"/>
  <c r="T328" i="3"/>
  <c r="AX326" i="3"/>
  <c r="X327" i="3"/>
  <c r="BQ324" i="3"/>
  <c r="BF324" i="3"/>
  <c r="BJ323" i="3" s="1"/>
  <c r="BK323" i="3" s="1"/>
  <c r="BB324" i="3"/>
  <c r="AW326" i="3"/>
  <c r="Y327" i="3"/>
  <c r="Z327" i="3" s="1"/>
  <c r="AH327" i="3"/>
  <c r="BA325" i="3"/>
  <c r="BD324" i="3" l="1"/>
  <c r="BM328" i="3"/>
  <c r="BN328" i="3"/>
  <c r="BC325" i="3"/>
  <c r="BD325" i="3" s="1"/>
  <c r="AO328" i="3"/>
  <c r="AV326" i="3"/>
  <c r="AY326" i="3"/>
  <c r="AG328" i="3"/>
  <c r="AW327" i="3"/>
  <c r="AT327" i="3"/>
  <c r="Y328" i="3"/>
  <c r="Z328" i="3" s="1"/>
  <c r="BA326" i="3"/>
  <c r="BQ326" i="3" s="1"/>
  <c r="BB325" i="3"/>
  <c r="BQ325" i="3"/>
  <c r="BF325" i="3"/>
  <c r="BJ324" i="3" s="1"/>
  <c r="BK324" i="3" s="1"/>
  <c r="AR329" i="3"/>
  <c r="B329" i="3"/>
  <c r="AQ329" i="3"/>
  <c r="A330" i="3"/>
  <c r="AK329" i="3"/>
  <c r="AM329" i="3"/>
  <c r="S329" i="3"/>
  <c r="R329" i="3"/>
  <c r="AD329" i="3"/>
  <c r="P329" i="3"/>
  <c r="O329" i="3"/>
  <c r="M329" i="3"/>
  <c r="AF329" i="3"/>
  <c r="V329" i="3"/>
  <c r="U329" i="3"/>
  <c r="AE329" i="3"/>
  <c r="Q329" i="3"/>
  <c r="D329" i="3"/>
  <c r="G329" i="3"/>
  <c r="H329" i="3" s="1"/>
  <c r="F329" i="3"/>
  <c r="C329" i="3"/>
  <c r="T329" i="3"/>
  <c r="AN328" i="3"/>
  <c r="X328" i="3"/>
  <c r="AU327" i="3"/>
  <c r="AH328" i="3"/>
  <c r="AX327" i="3"/>
  <c r="BG325" i="3" l="1"/>
  <c r="BH325" i="3" s="1"/>
  <c r="BI325" i="3" s="1"/>
  <c r="BN329" i="3"/>
  <c r="AY327" i="3"/>
  <c r="BC326" i="3"/>
  <c r="BD326" i="3" s="1"/>
  <c r="AX328" i="3"/>
  <c r="AO329" i="3"/>
  <c r="AV327" i="3"/>
  <c r="BF326" i="3"/>
  <c r="BJ325" i="3" s="1"/>
  <c r="BK325" i="3" s="1"/>
  <c r="AW328" i="3"/>
  <c r="AU328" i="3"/>
  <c r="BB326" i="3"/>
  <c r="X329" i="3"/>
  <c r="AR330" i="3"/>
  <c r="B330" i="3"/>
  <c r="AQ330" i="3"/>
  <c r="A331" i="3"/>
  <c r="D330" i="3"/>
  <c r="C330" i="3"/>
  <c r="S330" i="3"/>
  <c r="R330" i="3"/>
  <c r="AM330" i="3"/>
  <c r="AK330" i="3"/>
  <c r="Q330" i="3"/>
  <c r="AD330" i="3"/>
  <c r="P330" i="3"/>
  <c r="O330" i="3"/>
  <c r="M330" i="3"/>
  <c r="V330" i="3"/>
  <c r="AE330" i="3"/>
  <c r="AF330" i="3"/>
  <c r="U330" i="3"/>
  <c r="F330" i="3"/>
  <c r="G330" i="3"/>
  <c r="H330" i="3" s="1"/>
  <c r="BN330" i="3" s="1"/>
  <c r="T330" i="3"/>
  <c r="AH329" i="3"/>
  <c r="AT328" i="3"/>
  <c r="Y329" i="3"/>
  <c r="Z329" i="3" s="1"/>
  <c r="BM329" i="3"/>
  <c r="AG329" i="3"/>
  <c r="AN329" i="3"/>
  <c r="BA327" i="3"/>
  <c r="BM330" i="3" l="1"/>
  <c r="BG326" i="3"/>
  <c r="BH326" i="3" s="1"/>
  <c r="BI326" i="3" s="1"/>
  <c r="BC327" i="3"/>
  <c r="BG327" i="3" s="1"/>
  <c r="BH327" i="3" s="1"/>
  <c r="BI327" i="3" s="1"/>
  <c r="AN330" i="3"/>
  <c r="AY328" i="3"/>
  <c r="AT329" i="3"/>
  <c r="AG330" i="3"/>
  <c r="BB327" i="3"/>
  <c r="BQ327" i="3"/>
  <c r="BF327" i="3"/>
  <c r="BJ326" i="3" s="1"/>
  <c r="BK326" i="3" s="1"/>
  <c r="BA328" i="3"/>
  <c r="AV328" i="3"/>
  <c r="AQ331" i="3"/>
  <c r="B331" i="3"/>
  <c r="A332" i="3"/>
  <c r="AR331" i="3"/>
  <c r="AM331" i="3"/>
  <c r="AK331" i="3"/>
  <c r="T331" i="3"/>
  <c r="R331" i="3"/>
  <c r="Q331" i="3"/>
  <c r="AD331" i="3"/>
  <c r="M331" i="3"/>
  <c r="AF331" i="3"/>
  <c r="O331" i="3"/>
  <c r="AE331" i="3"/>
  <c r="V331" i="3"/>
  <c r="U331" i="3"/>
  <c r="D331" i="3"/>
  <c r="C331" i="3"/>
  <c r="F331" i="3"/>
  <c r="G331" i="3"/>
  <c r="H331" i="3" s="1"/>
  <c r="P331" i="3"/>
  <c r="S331" i="3"/>
  <c r="AX329" i="3"/>
  <c r="AU329" i="3"/>
  <c r="AW329" i="3"/>
  <c r="Y330" i="3"/>
  <c r="Z330" i="3" s="1"/>
  <c r="AH330" i="3"/>
  <c r="AO330" i="3"/>
  <c r="X330" i="3"/>
  <c r="BD327" i="3" l="1"/>
  <c r="AG331" i="3"/>
  <c r="AY329" i="3"/>
  <c r="AT330" i="3"/>
  <c r="BM331" i="3"/>
  <c r="BC328" i="3"/>
  <c r="BD328" i="3" s="1"/>
  <c r="AX330" i="3"/>
  <c r="AN331" i="3"/>
  <c r="Y331" i="3"/>
  <c r="Z331" i="3" s="1"/>
  <c r="BA329" i="3"/>
  <c r="BB329" i="3" s="1"/>
  <c r="AU330" i="3"/>
  <c r="AW330" i="3"/>
  <c r="X331" i="3"/>
  <c r="BN331" i="3"/>
  <c r="AH331" i="3"/>
  <c r="AO331" i="3"/>
  <c r="AV329" i="3"/>
  <c r="A333" i="3"/>
  <c r="B332" i="3"/>
  <c r="AR332" i="3"/>
  <c r="AQ332" i="3"/>
  <c r="C332" i="3"/>
  <c r="AK332" i="3"/>
  <c r="Q332" i="3"/>
  <c r="AM332" i="3"/>
  <c r="D332" i="3"/>
  <c r="AD332" i="3"/>
  <c r="S332" i="3"/>
  <c r="R332" i="3"/>
  <c r="P332" i="3"/>
  <c r="M332" i="3"/>
  <c r="AE332" i="3"/>
  <c r="O332" i="3"/>
  <c r="AF332" i="3"/>
  <c r="V332" i="3"/>
  <c r="U332" i="3"/>
  <c r="G332" i="3"/>
  <c r="H332" i="3" s="1"/>
  <c r="F332" i="3"/>
  <c r="BM332" i="3" s="1"/>
  <c r="T332" i="3"/>
  <c r="BF328" i="3"/>
  <c r="BJ327" i="3" s="1"/>
  <c r="BK327" i="3" s="1"/>
  <c r="BB328" i="3"/>
  <c r="BQ328" i="3"/>
  <c r="BC329" i="3" l="1"/>
  <c r="BD329" i="3" s="1"/>
  <c r="AN332" i="3"/>
  <c r="AV330" i="3"/>
  <c r="BG328" i="3"/>
  <c r="BH328" i="3" s="1"/>
  <c r="BI328" i="3" s="1"/>
  <c r="AY330" i="3"/>
  <c r="AX331" i="3"/>
  <c r="AU331" i="3"/>
  <c r="AG332" i="3"/>
  <c r="BF329" i="3"/>
  <c r="BJ328" i="3" s="1"/>
  <c r="BK328" i="3" s="1"/>
  <c r="BA330" i="3"/>
  <c r="BB330" i="3" s="1"/>
  <c r="BQ329" i="3"/>
  <c r="X332" i="3"/>
  <c r="Y332" i="3"/>
  <c r="Z332" i="3" s="1"/>
  <c r="BN332" i="3"/>
  <c r="AH332" i="3"/>
  <c r="AO332" i="3"/>
  <c r="AW331" i="3"/>
  <c r="AR333" i="3"/>
  <c r="B333" i="3"/>
  <c r="AQ333" i="3"/>
  <c r="A334" i="3"/>
  <c r="AK333" i="3"/>
  <c r="AM333" i="3"/>
  <c r="T333" i="3"/>
  <c r="Q333" i="3"/>
  <c r="S333" i="3"/>
  <c r="R333" i="3"/>
  <c r="AD333" i="3"/>
  <c r="P333" i="3"/>
  <c r="AE333" i="3"/>
  <c r="O333" i="3"/>
  <c r="M333" i="3"/>
  <c r="AF333" i="3"/>
  <c r="V333" i="3"/>
  <c r="U333" i="3"/>
  <c r="D333" i="3"/>
  <c r="C333" i="3"/>
  <c r="G333" i="3"/>
  <c r="H333" i="3" s="1"/>
  <c r="F333" i="3"/>
  <c r="AT331" i="3"/>
  <c r="BM333" i="3" l="1"/>
  <c r="BG329" i="3"/>
  <c r="BH329" i="3" s="1"/>
  <c r="BI329" i="3" s="1"/>
  <c r="BN333" i="3"/>
  <c r="AY331" i="3"/>
  <c r="BC330" i="3"/>
  <c r="BD330" i="3" s="1"/>
  <c r="AN333" i="3"/>
  <c r="BQ330" i="3"/>
  <c r="AW332" i="3"/>
  <c r="AU332" i="3"/>
  <c r="AT332" i="3"/>
  <c r="BF330" i="3"/>
  <c r="BJ329" i="3" s="1"/>
  <c r="BK329" i="3" s="1"/>
  <c r="AV331" i="3"/>
  <c r="BA331" i="3"/>
  <c r="Y333" i="3"/>
  <c r="Z333" i="3" s="1"/>
  <c r="X333" i="3"/>
  <c r="AG333" i="3"/>
  <c r="AH333" i="3"/>
  <c r="AO333" i="3"/>
  <c r="AX332" i="3"/>
  <c r="AR334" i="3"/>
  <c r="B334" i="3"/>
  <c r="AQ334" i="3"/>
  <c r="A335" i="3"/>
  <c r="D334" i="3"/>
  <c r="AM334" i="3"/>
  <c r="AK334" i="3"/>
  <c r="S334" i="3"/>
  <c r="Q334" i="3"/>
  <c r="R334" i="3"/>
  <c r="T334" i="3"/>
  <c r="AD334" i="3"/>
  <c r="P334" i="3"/>
  <c r="O334" i="3"/>
  <c r="M334" i="3"/>
  <c r="AF334" i="3"/>
  <c r="AE334" i="3"/>
  <c r="V334" i="3"/>
  <c r="U334" i="3"/>
  <c r="G334" i="3"/>
  <c r="H334" i="3" s="1"/>
  <c r="C334" i="3"/>
  <c r="F334" i="3"/>
  <c r="BC331" i="3" l="1"/>
  <c r="BD331" i="3" s="1"/>
  <c r="AV332" i="3"/>
  <c r="BG330" i="3"/>
  <c r="BH330" i="3" s="1"/>
  <c r="BI330" i="3" s="1"/>
  <c r="BA332" i="3"/>
  <c r="BB332" i="3" s="1"/>
  <c r="AT333" i="3"/>
  <c r="AO334" i="3"/>
  <c r="AG334" i="3"/>
  <c r="AY332" i="3"/>
  <c r="X334" i="3"/>
  <c r="BB331" i="3"/>
  <c r="BQ331" i="3"/>
  <c r="BF331" i="3"/>
  <c r="BJ330" i="3" s="1"/>
  <c r="BK330" i="3" s="1"/>
  <c r="AW333" i="3"/>
  <c r="Y334" i="3"/>
  <c r="Z334" i="3" s="1"/>
  <c r="AQ335" i="3"/>
  <c r="B335" i="3"/>
  <c r="A336" i="3"/>
  <c r="AR335" i="3"/>
  <c r="D335" i="3"/>
  <c r="AM335" i="3"/>
  <c r="T335" i="3"/>
  <c r="Q335" i="3"/>
  <c r="AK335" i="3"/>
  <c r="S335" i="3"/>
  <c r="R335" i="3"/>
  <c r="AD335" i="3"/>
  <c r="P335" i="3"/>
  <c r="O335" i="3"/>
  <c r="AE335" i="3"/>
  <c r="M335" i="3"/>
  <c r="AF335" i="3"/>
  <c r="U335" i="3"/>
  <c r="V335" i="3"/>
  <c r="C335" i="3"/>
  <c r="G335" i="3"/>
  <c r="H335" i="3" s="1"/>
  <c r="BN335" i="3" s="1"/>
  <c r="F335" i="3"/>
  <c r="BM334" i="3"/>
  <c r="BN334" i="3"/>
  <c r="AH334" i="3"/>
  <c r="AN334" i="3"/>
  <c r="AU333" i="3"/>
  <c r="AX333" i="3"/>
  <c r="BC332" i="3" l="1"/>
  <c r="BG332" i="3" s="1"/>
  <c r="BH332" i="3" s="1"/>
  <c r="BI332" i="3" s="1"/>
  <c r="BM335" i="3"/>
  <c r="BG331" i="3"/>
  <c r="BH331" i="3" s="1"/>
  <c r="BI331" i="3" s="1"/>
  <c r="AO335" i="3"/>
  <c r="BF332" i="3"/>
  <c r="BJ331" i="3" s="1"/>
  <c r="BK331" i="3" s="1"/>
  <c r="AY333" i="3"/>
  <c r="BQ332" i="3"/>
  <c r="AU334" i="3"/>
  <c r="BA333" i="3"/>
  <c r="BF333" i="3" s="1"/>
  <c r="AG335" i="3"/>
  <c r="AX334" i="3"/>
  <c r="X335" i="3"/>
  <c r="AH335" i="3"/>
  <c r="AN335" i="3"/>
  <c r="AV333" i="3"/>
  <c r="AW334" i="3"/>
  <c r="Y335" i="3"/>
  <c r="Z335" i="3" s="1"/>
  <c r="A337" i="3"/>
  <c r="B336" i="3"/>
  <c r="AR336" i="3"/>
  <c r="AQ336" i="3"/>
  <c r="C336" i="3"/>
  <c r="AM336" i="3"/>
  <c r="T336" i="3"/>
  <c r="S336" i="3"/>
  <c r="AK336" i="3"/>
  <c r="Q336" i="3"/>
  <c r="R336" i="3"/>
  <c r="P336" i="3"/>
  <c r="AD336" i="3"/>
  <c r="AE336" i="3"/>
  <c r="O336" i="3"/>
  <c r="M336" i="3"/>
  <c r="AF336" i="3"/>
  <c r="V336" i="3"/>
  <c r="U336" i="3"/>
  <c r="D336" i="3"/>
  <c r="G336" i="3"/>
  <c r="H336" i="3" s="1"/>
  <c r="F336" i="3"/>
  <c r="AT334" i="3"/>
  <c r="BC333" i="3" l="1"/>
  <c r="BD333" i="3" s="1"/>
  <c r="BD332" i="3"/>
  <c r="BM336" i="3"/>
  <c r="BJ332" i="3"/>
  <c r="BK332" i="3" s="1"/>
  <c r="BN336" i="3"/>
  <c r="AT335" i="3"/>
  <c r="AO336" i="3"/>
  <c r="BQ333" i="3"/>
  <c r="AY334" i="3"/>
  <c r="AX335" i="3"/>
  <c r="BB333" i="3"/>
  <c r="AU335" i="3"/>
  <c r="AH336" i="3"/>
  <c r="AR337" i="3"/>
  <c r="B337" i="3"/>
  <c r="AQ337" i="3"/>
  <c r="A338" i="3"/>
  <c r="AK337" i="3"/>
  <c r="AM337" i="3"/>
  <c r="R337" i="3"/>
  <c r="Q337" i="3"/>
  <c r="AD337" i="3"/>
  <c r="P337" i="3"/>
  <c r="O337" i="3"/>
  <c r="AE337" i="3"/>
  <c r="AF337" i="3"/>
  <c r="M337" i="3"/>
  <c r="V337" i="3"/>
  <c r="U337" i="3"/>
  <c r="C337" i="3"/>
  <c r="G337" i="3"/>
  <c r="H337" i="3" s="1"/>
  <c r="F337" i="3"/>
  <c r="D337" i="3"/>
  <c r="T337" i="3"/>
  <c r="S337" i="3"/>
  <c r="X336" i="3"/>
  <c r="AV334" i="3"/>
  <c r="BA334" i="3"/>
  <c r="Y336" i="3"/>
  <c r="Z336" i="3" s="1"/>
  <c r="AG336" i="3"/>
  <c r="AN336" i="3"/>
  <c r="AW335" i="3"/>
  <c r="BG333" i="3" l="1"/>
  <c r="BH333" i="3" s="1"/>
  <c r="BI333" i="3" s="1"/>
  <c r="BM337" i="3"/>
  <c r="AV335" i="3"/>
  <c r="BC334" i="3"/>
  <c r="BD334" i="3" s="1"/>
  <c r="AO337" i="3"/>
  <c r="AY335" i="3"/>
  <c r="AW336" i="3"/>
  <c r="AU336" i="3"/>
  <c r="AX336" i="3"/>
  <c r="Y337" i="3"/>
  <c r="Z337" i="3" s="1"/>
  <c r="AT336" i="3"/>
  <c r="BA335" i="3"/>
  <c r="AH337" i="3"/>
  <c r="BF334" i="3"/>
  <c r="BJ333" i="3" s="1"/>
  <c r="BK333" i="3" s="1"/>
  <c r="BQ334" i="3"/>
  <c r="BB334" i="3"/>
  <c r="AR338" i="3"/>
  <c r="B338" i="3"/>
  <c r="AQ338" i="3"/>
  <c r="A339" i="3"/>
  <c r="D338" i="3"/>
  <c r="AM338" i="3"/>
  <c r="AK338" i="3"/>
  <c r="S338" i="3"/>
  <c r="Q338" i="3"/>
  <c r="AD338" i="3"/>
  <c r="P338" i="3"/>
  <c r="T338" i="3"/>
  <c r="O338" i="3"/>
  <c r="AE338" i="3"/>
  <c r="AF338" i="3"/>
  <c r="M338" i="3"/>
  <c r="U338" i="3"/>
  <c r="V338" i="3"/>
  <c r="R338" i="3"/>
  <c r="C338" i="3"/>
  <c r="F338" i="3"/>
  <c r="G338" i="3"/>
  <c r="H338" i="3" s="1"/>
  <c r="X337" i="3"/>
  <c r="BN337" i="3"/>
  <c r="AG337" i="3"/>
  <c r="AN337" i="3"/>
  <c r="BC335" i="3" l="1"/>
  <c r="BG335" i="3" s="1"/>
  <c r="BH335" i="3" s="1"/>
  <c r="BI335" i="3" s="1"/>
  <c r="AN338" i="3"/>
  <c r="BN338" i="3"/>
  <c r="BG334" i="3"/>
  <c r="BH334" i="3" s="1"/>
  <c r="BI334" i="3" s="1"/>
  <c r="AY336" i="3"/>
  <c r="AG338" i="3"/>
  <c r="AT337" i="3"/>
  <c r="X338" i="3"/>
  <c r="AQ339" i="3"/>
  <c r="B339" i="3"/>
  <c r="A340" i="3"/>
  <c r="AR339" i="3"/>
  <c r="D339" i="3"/>
  <c r="AM339" i="3"/>
  <c r="C339" i="3"/>
  <c r="AK339" i="3"/>
  <c r="S339" i="3"/>
  <c r="Q339" i="3"/>
  <c r="R339" i="3"/>
  <c r="AD339" i="3"/>
  <c r="P339" i="3"/>
  <c r="O339" i="3"/>
  <c r="M339" i="3"/>
  <c r="AF339" i="3"/>
  <c r="AE339" i="3"/>
  <c r="U339" i="3"/>
  <c r="V339" i="3"/>
  <c r="F339" i="3"/>
  <c r="G339" i="3"/>
  <c r="H339" i="3" s="1"/>
  <c r="T339" i="3"/>
  <c r="AU337" i="3"/>
  <c r="AW337" i="3"/>
  <c r="Y338" i="3"/>
  <c r="Z338" i="3" s="1"/>
  <c r="BQ335" i="3"/>
  <c r="BB335" i="3"/>
  <c r="BF335" i="3"/>
  <c r="BJ334" i="3" s="1"/>
  <c r="BK334" i="3" s="1"/>
  <c r="BM338" i="3"/>
  <c r="AO338" i="3"/>
  <c r="BA336" i="3"/>
  <c r="AV336" i="3"/>
  <c r="AH338" i="3"/>
  <c r="AX337" i="3"/>
  <c r="AV337" i="3" l="1"/>
  <c r="BN339" i="3"/>
  <c r="BD335" i="3"/>
  <c r="AO339" i="3"/>
  <c r="BM339" i="3"/>
  <c r="BC336" i="3"/>
  <c r="BG336" i="3" s="1"/>
  <c r="BH336" i="3" s="1"/>
  <c r="BI336" i="3" s="1"/>
  <c r="AX338" i="3"/>
  <c r="AU338" i="3"/>
  <c r="AW338" i="3"/>
  <c r="Y339" i="3"/>
  <c r="Z339" i="3" s="1"/>
  <c r="BQ336" i="3"/>
  <c r="BB336" i="3"/>
  <c r="BF336" i="3"/>
  <c r="BJ335" i="3" s="1"/>
  <c r="BK335" i="3" s="1"/>
  <c r="A341" i="3"/>
  <c r="B340" i="3"/>
  <c r="AR340" i="3"/>
  <c r="AQ340" i="3"/>
  <c r="AK340" i="3"/>
  <c r="AM340" i="3"/>
  <c r="S340" i="3"/>
  <c r="Q340" i="3"/>
  <c r="C340" i="3"/>
  <c r="AD340" i="3"/>
  <c r="P340" i="3"/>
  <c r="R340" i="3"/>
  <c r="O340" i="3"/>
  <c r="M340" i="3"/>
  <c r="AF340" i="3"/>
  <c r="AE340" i="3"/>
  <c r="U340" i="3"/>
  <c r="V340" i="3"/>
  <c r="G340" i="3"/>
  <c r="H340" i="3" s="1"/>
  <c r="D340" i="3"/>
  <c r="F340" i="3"/>
  <c r="T340" i="3"/>
  <c r="AT338" i="3"/>
  <c r="AG339" i="3"/>
  <c r="X339" i="3"/>
  <c r="BA337" i="3"/>
  <c r="AY337" i="3"/>
  <c r="AH339" i="3"/>
  <c r="AN339" i="3"/>
  <c r="BM340" i="3" l="1"/>
  <c r="BC337" i="3"/>
  <c r="BD337" i="3" s="1"/>
  <c r="BD336" i="3"/>
  <c r="AY338" i="3"/>
  <c r="AG340" i="3"/>
  <c r="AN340" i="3"/>
  <c r="Y340" i="3"/>
  <c r="Z340" i="3" s="1"/>
  <c r="BQ337" i="3"/>
  <c r="BB337" i="3"/>
  <c r="BF337" i="3"/>
  <c r="BJ336" i="3" s="1"/>
  <c r="BK336" i="3" s="1"/>
  <c r="AT339" i="3"/>
  <c r="AX339" i="3"/>
  <c r="AV338" i="3"/>
  <c r="BA338" i="3"/>
  <c r="AR341" i="3"/>
  <c r="B341" i="3"/>
  <c r="A342" i="3"/>
  <c r="AQ341" i="3"/>
  <c r="AK341" i="3"/>
  <c r="T341" i="3"/>
  <c r="S341" i="3"/>
  <c r="AM341" i="3"/>
  <c r="R341" i="3"/>
  <c r="AD341" i="3"/>
  <c r="P341" i="3"/>
  <c r="Q341" i="3"/>
  <c r="O341" i="3"/>
  <c r="AE341" i="3"/>
  <c r="M341" i="3"/>
  <c r="AF341" i="3"/>
  <c r="U341" i="3"/>
  <c r="V341" i="3"/>
  <c r="C341" i="3"/>
  <c r="G341" i="3"/>
  <c r="H341" i="3" s="1"/>
  <c r="D341" i="3"/>
  <c r="F341" i="3"/>
  <c r="AU339" i="3"/>
  <c r="BN340" i="3"/>
  <c r="X340" i="3"/>
  <c r="AO340" i="3"/>
  <c r="AW339" i="3"/>
  <c r="AH340" i="3"/>
  <c r="BG337" i="3" l="1"/>
  <c r="BH337" i="3" s="1"/>
  <c r="BI337" i="3" s="1"/>
  <c r="BC338" i="3"/>
  <c r="BD338" i="3" s="1"/>
  <c r="AX340" i="3"/>
  <c r="BM341" i="3"/>
  <c r="AO341" i="3"/>
  <c r="AU340" i="3"/>
  <c r="AW340" i="3"/>
  <c r="AY339" i="3"/>
  <c r="BB338" i="3"/>
  <c r="BF338" i="3"/>
  <c r="BJ337" i="3" s="1"/>
  <c r="BK337" i="3" s="1"/>
  <c r="BQ338" i="3"/>
  <c r="BN341" i="3"/>
  <c r="AG341" i="3"/>
  <c r="AH341" i="3"/>
  <c r="AN341" i="3"/>
  <c r="Y341" i="3"/>
  <c r="Z341" i="3" s="1"/>
  <c r="AR342" i="3"/>
  <c r="B342" i="3"/>
  <c r="A343" i="3"/>
  <c r="AQ342" i="3"/>
  <c r="AM342" i="3"/>
  <c r="AK342" i="3"/>
  <c r="Q342" i="3"/>
  <c r="R342" i="3"/>
  <c r="AD342" i="3"/>
  <c r="O342" i="3"/>
  <c r="P342" i="3"/>
  <c r="AF342" i="3"/>
  <c r="AE342" i="3"/>
  <c r="M342" i="3"/>
  <c r="V342" i="3"/>
  <c r="U342" i="3"/>
  <c r="D342" i="3"/>
  <c r="F342" i="3"/>
  <c r="C342" i="3"/>
  <c r="G342" i="3"/>
  <c r="H342" i="3" s="1"/>
  <c r="T342" i="3"/>
  <c r="S342" i="3"/>
  <c r="BA339" i="3"/>
  <c r="AV339" i="3"/>
  <c r="AT340" i="3"/>
  <c r="X341" i="3"/>
  <c r="AY340" i="3" l="1"/>
  <c r="BC339" i="3"/>
  <c r="BD339" i="3" s="1"/>
  <c r="BG338" i="3"/>
  <c r="BH338" i="3" s="1"/>
  <c r="BI338" i="3" s="1"/>
  <c r="AG342" i="3"/>
  <c r="BA340" i="3"/>
  <c r="BQ340" i="3" s="1"/>
  <c r="AV340" i="3"/>
  <c r="AU341" i="3"/>
  <c r="AN342" i="3"/>
  <c r="AT341" i="3"/>
  <c r="Y342" i="3"/>
  <c r="Z342" i="3" s="1"/>
  <c r="X342" i="3"/>
  <c r="BN342" i="3"/>
  <c r="BM342" i="3"/>
  <c r="AO342" i="3"/>
  <c r="AX341" i="3"/>
  <c r="BF339" i="3"/>
  <c r="BJ338" i="3" s="1"/>
  <c r="BK338" i="3" s="1"/>
  <c r="BB339" i="3"/>
  <c r="BQ339" i="3"/>
  <c r="AQ343" i="3"/>
  <c r="AR343" i="3"/>
  <c r="B343" i="3"/>
  <c r="A344" i="3"/>
  <c r="D343" i="3"/>
  <c r="AK343" i="3"/>
  <c r="S343" i="3"/>
  <c r="Q343" i="3"/>
  <c r="AM343" i="3"/>
  <c r="T343" i="3"/>
  <c r="R343" i="3"/>
  <c r="AD343" i="3"/>
  <c r="P343" i="3"/>
  <c r="O343" i="3"/>
  <c r="AE343" i="3"/>
  <c r="V343" i="3"/>
  <c r="U343" i="3"/>
  <c r="AF343" i="3"/>
  <c r="M343" i="3"/>
  <c r="G343" i="3"/>
  <c r="H343" i="3" s="1"/>
  <c r="C343" i="3"/>
  <c r="F343" i="3"/>
  <c r="AH342" i="3"/>
  <c r="AW341" i="3"/>
  <c r="BC340" i="3" l="1"/>
  <c r="BD340" i="3" s="1"/>
  <c r="BG339" i="3"/>
  <c r="BH339" i="3" s="1"/>
  <c r="BI339" i="3" s="1"/>
  <c r="AV341" i="3"/>
  <c r="BF340" i="3"/>
  <c r="BJ339" i="3" s="1"/>
  <c r="BK339" i="3" s="1"/>
  <c r="BM343" i="3"/>
  <c r="BN343" i="3"/>
  <c r="BB340" i="3"/>
  <c r="AX342" i="3"/>
  <c r="AO343" i="3"/>
  <c r="AY341" i="3"/>
  <c r="Y343" i="3"/>
  <c r="Z343" i="3" s="1"/>
  <c r="AH343" i="3"/>
  <c r="AT342" i="3"/>
  <c r="AW342" i="3"/>
  <c r="X343" i="3"/>
  <c r="AG343" i="3"/>
  <c r="AN343" i="3"/>
  <c r="BA341" i="3"/>
  <c r="A345" i="3"/>
  <c r="B344" i="3"/>
  <c r="AR344" i="3"/>
  <c r="AQ344" i="3"/>
  <c r="C344" i="3"/>
  <c r="AM344" i="3"/>
  <c r="AK344" i="3"/>
  <c r="S344" i="3"/>
  <c r="T344" i="3"/>
  <c r="R344" i="3"/>
  <c r="Q344" i="3"/>
  <c r="AD344" i="3"/>
  <c r="P344" i="3"/>
  <c r="O344" i="3"/>
  <c r="M344" i="3"/>
  <c r="AF344" i="3"/>
  <c r="AE344" i="3"/>
  <c r="V344" i="3"/>
  <c r="U344" i="3"/>
  <c r="D344" i="3"/>
  <c r="G344" i="3"/>
  <c r="H344" i="3" s="1"/>
  <c r="F344" i="3"/>
  <c r="AU342" i="3"/>
  <c r="BC341" i="3" l="1"/>
  <c r="BD341" i="3" s="1"/>
  <c r="BG340" i="3"/>
  <c r="BH340" i="3" s="1"/>
  <c r="BI340" i="3" s="1"/>
  <c r="AY342" i="3"/>
  <c r="BM344" i="3"/>
  <c r="AN344" i="3"/>
  <c r="AW343" i="3"/>
  <c r="AU343" i="3"/>
  <c r="Y344" i="3"/>
  <c r="Z344" i="3" s="1"/>
  <c r="AR345" i="3"/>
  <c r="B345" i="3"/>
  <c r="AQ345" i="3"/>
  <c r="A346" i="3"/>
  <c r="D345" i="3"/>
  <c r="C345" i="3"/>
  <c r="AK345" i="3"/>
  <c r="AM345" i="3"/>
  <c r="T345" i="3"/>
  <c r="S345" i="3"/>
  <c r="Q345" i="3"/>
  <c r="AD345" i="3"/>
  <c r="P345" i="3"/>
  <c r="O345" i="3"/>
  <c r="M345" i="3"/>
  <c r="AE345" i="3"/>
  <c r="U345" i="3"/>
  <c r="AF345" i="3"/>
  <c r="V345" i="3"/>
  <c r="R345" i="3"/>
  <c r="F345" i="3"/>
  <c r="G345" i="3"/>
  <c r="H345" i="3" s="1"/>
  <c r="BF341" i="3"/>
  <c r="BJ340" i="3" s="1"/>
  <c r="BK340" i="3" s="1"/>
  <c r="BB341" i="3"/>
  <c r="BQ341" i="3"/>
  <c r="AV342" i="3"/>
  <c r="BA342" i="3"/>
  <c r="BN344" i="3"/>
  <c r="AG344" i="3"/>
  <c r="AO344" i="3"/>
  <c r="X344" i="3"/>
  <c r="AX343" i="3"/>
  <c r="AH344" i="3"/>
  <c r="AT343" i="3"/>
  <c r="BC342" i="3" l="1"/>
  <c r="BD342" i="3" s="1"/>
  <c r="BG341" i="3"/>
  <c r="BH341" i="3" s="1"/>
  <c r="BI341" i="3" s="1"/>
  <c r="AY343" i="3"/>
  <c r="BN345" i="3"/>
  <c r="AN345" i="3"/>
  <c r="AG345" i="3"/>
  <c r="AX344" i="3"/>
  <c r="AV343" i="3"/>
  <c r="BA343" i="3"/>
  <c r="BF342" i="3"/>
  <c r="BJ341" i="3" s="1"/>
  <c r="BK341" i="3" s="1"/>
  <c r="BB342" i="3"/>
  <c r="BQ342" i="3"/>
  <c r="Y345" i="3"/>
  <c r="Z345" i="3" s="1"/>
  <c r="AU344" i="3"/>
  <c r="AW344" i="3"/>
  <c r="BM345" i="3"/>
  <c r="AO345" i="3"/>
  <c r="AR346" i="3"/>
  <c r="B346" i="3"/>
  <c r="AQ346" i="3"/>
  <c r="A347" i="3"/>
  <c r="D346" i="3"/>
  <c r="T346" i="3"/>
  <c r="AM346" i="3"/>
  <c r="AK346" i="3"/>
  <c r="R346" i="3"/>
  <c r="Q346" i="3"/>
  <c r="AD346" i="3"/>
  <c r="P346" i="3"/>
  <c r="S346" i="3"/>
  <c r="O346" i="3"/>
  <c r="M346" i="3"/>
  <c r="AE346" i="3"/>
  <c r="AF346" i="3"/>
  <c r="U346" i="3"/>
  <c r="V346" i="3"/>
  <c r="C346" i="3"/>
  <c r="G346" i="3"/>
  <c r="H346" i="3" s="1"/>
  <c r="F346" i="3"/>
  <c r="AT344" i="3"/>
  <c r="AH345" i="3"/>
  <c r="X345" i="3"/>
  <c r="BN346" i="3" l="1"/>
  <c r="BG342" i="3"/>
  <c r="BH342" i="3" s="1"/>
  <c r="BI342" i="3" s="1"/>
  <c r="BM346" i="3"/>
  <c r="BC343" i="3"/>
  <c r="BG343" i="3" s="1"/>
  <c r="BH343" i="3" s="1"/>
  <c r="BI343" i="3" s="1"/>
  <c r="AY344" i="3"/>
  <c r="AX345" i="3"/>
  <c r="AG346" i="3"/>
  <c r="AO346" i="3"/>
  <c r="AV344" i="3"/>
  <c r="BA344" i="3"/>
  <c r="Y346" i="3"/>
  <c r="Z346" i="3" s="1"/>
  <c r="AH346" i="3"/>
  <c r="AN346" i="3"/>
  <c r="AU345" i="3"/>
  <c r="AQ347" i="3"/>
  <c r="B347" i="3"/>
  <c r="A348" i="3"/>
  <c r="AR347" i="3"/>
  <c r="AM347" i="3"/>
  <c r="AK347" i="3"/>
  <c r="S347" i="3"/>
  <c r="R347" i="3"/>
  <c r="Q347" i="3"/>
  <c r="P347" i="3"/>
  <c r="AD347" i="3"/>
  <c r="O347" i="3"/>
  <c r="M347" i="3"/>
  <c r="AE347" i="3"/>
  <c r="V347" i="3"/>
  <c r="U347" i="3"/>
  <c r="AF347" i="3"/>
  <c r="D347" i="3"/>
  <c r="C347" i="3"/>
  <c r="G347" i="3"/>
  <c r="H347" i="3" s="1"/>
  <c r="F347" i="3"/>
  <c r="T347" i="3"/>
  <c r="BQ343" i="3"/>
  <c r="BB343" i="3"/>
  <c r="BF343" i="3"/>
  <c r="BJ342" i="3" s="1"/>
  <c r="BK342" i="3" s="1"/>
  <c r="X346" i="3"/>
  <c r="AT345" i="3"/>
  <c r="AW345" i="3"/>
  <c r="BD343" i="3" l="1"/>
  <c r="BN347" i="3"/>
  <c r="BM347" i="3"/>
  <c r="BC344" i="3"/>
  <c r="BG344" i="3" s="1"/>
  <c r="BH344" i="3" s="1"/>
  <c r="BI344" i="3" s="1"/>
  <c r="AY345" i="3"/>
  <c r="AO347" i="3"/>
  <c r="AU346" i="3"/>
  <c r="AX346" i="3"/>
  <c r="AG347" i="3"/>
  <c r="BA345" i="3"/>
  <c r="AV345" i="3"/>
  <c r="A349" i="3"/>
  <c r="B348" i="3"/>
  <c r="AR348" i="3"/>
  <c r="AQ348" i="3"/>
  <c r="AM348" i="3"/>
  <c r="S348" i="3"/>
  <c r="D348" i="3"/>
  <c r="AK348" i="3"/>
  <c r="T348" i="3"/>
  <c r="Q348" i="3"/>
  <c r="AD348" i="3"/>
  <c r="P348" i="3"/>
  <c r="AE348" i="3"/>
  <c r="O348" i="3"/>
  <c r="AF348" i="3"/>
  <c r="V348" i="3"/>
  <c r="M348" i="3"/>
  <c r="U348" i="3"/>
  <c r="R348" i="3"/>
  <c r="F348" i="3"/>
  <c r="C348" i="3"/>
  <c r="G348" i="3"/>
  <c r="H348" i="3" s="1"/>
  <c r="X347" i="3"/>
  <c r="AH347" i="3"/>
  <c r="AN347" i="3"/>
  <c r="AT346" i="3"/>
  <c r="AW346" i="3"/>
  <c r="BQ344" i="3"/>
  <c r="BB344" i="3"/>
  <c r="BF344" i="3"/>
  <c r="BJ343" i="3" s="1"/>
  <c r="BK343" i="3" s="1"/>
  <c r="Y347" i="3"/>
  <c r="Z347" i="3" s="1"/>
  <c r="AU347" i="3" l="1"/>
  <c r="BC345" i="3"/>
  <c r="BD345" i="3" s="1"/>
  <c r="BD344" i="3"/>
  <c r="BN348" i="3"/>
  <c r="BM348" i="3"/>
  <c r="AY346" i="3"/>
  <c r="AW347" i="3"/>
  <c r="AO348" i="3"/>
  <c r="BA346" i="3"/>
  <c r="BQ346" i="3" s="1"/>
  <c r="AT347" i="3"/>
  <c r="AX347" i="3"/>
  <c r="Y348" i="3"/>
  <c r="Z348" i="3" s="1"/>
  <c r="AR349" i="3"/>
  <c r="B349" i="3"/>
  <c r="AQ349" i="3"/>
  <c r="A350" i="3"/>
  <c r="C349" i="3"/>
  <c r="AK349" i="3"/>
  <c r="S349" i="3"/>
  <c r="AM349" i="3"/>
  <c r="R349" i="3"/>
  <c r="AD349" i="3"/>
  <c r="Q349" i="3"/>
  <c r="P349" i="3"/>
  <c r="O349" i="3"/>
  <c r="AE349" i="3"/>
  <c r="M349" i="3"/>
  <c r="AF349" i="3"/>
  <c r="V349" i="3"/>
  <c r="U349" i="3"/>
  <c r="F349" i="3"/>
  <c r="D349" i="3"/>
  <c r="G349" i="3"/>
  <c r="H349" i="3" s="1"/>
  <c r="T349" i="3"/>
  <c r="BF345" i="3"/>
  <c r="BJ344" i="3" s="1"/>
  <c r="BK344" i="3" s="1"/>
  <c r="BQ345" i="3"/>
  <c r="BB345" i="3"/>
  <c r="AV346" i="3"/>
  <c r="X348" i="3"/>
  <c r="AG348" i="3"/>
  <c r="AH348" i="3"/>
  <c r="AN348" i="3"/>
  <c r="BC346" i="3" l="1"/>
  <c r="BD346" i="3" s="1"/>
  <c r="BM349" i="3"/>
  <c r="BG345" i="3"/>
  <c r="BH345" i="3" s="1"/>
  <c r="BI345" i="3" s="1"/>
  <c r="AN349" i="3"/>
  <c r="AY347" i="3"/>
  <c r="BN349" i="3"/>
  <c r="AU348" i="3"/>
  <c r="AX348" i="3"/>
  <c r="BB346" i="3"/>
  <c r="BF346" i="3"/>
  <c r="BJ345" i="3" s="1"/>
  <c r="BK345" i="3" s="1"/>
  <c r="AR350" i="3"/>
  <c r="B350" i="3"/>
  <c r="AQ350" i="3"/>
  <c r="A351" i="3"/>
  <c r="D350" i="3"/>
  <c r="AM350" i="3"/>
  <c r="R350" i="3"/>
  <c r="AK350" i="3"/>
  <c r="Q350" i="3"/>
  <c r="P350" i="3"/>
  <c r="AD350" i="3"/>
  <c r="M350" i="3"/>
  <c r="AF350" i="3"/>
  <c r="AE350" i="3"/>
  <c r="U350" i="3"/>
  <c r="O350" i="3"/>
  <c r="V350" i="3"/>
  <c r="G350" i="3"/>
  <c r="H350" i="3" s="1"/>
  <c r="C350" i="3"/>
  <c r="F350" i="3"/>
  <c r="T350" i="3"/>
  <c r="S350" i="3"/>
  <c r="AW348" i="3"/>
  <c r="Y349" i="3"/>
  <c r="Z349" i="3" s="1"/>
  <c r="AG349" i="3"/>
  <c r="AH349" i="3"/>
  <c r="AO349" i="3"/>
  <c r="AV347" i="3"/>
  <c r="BA347" i="3"/>
  <c r="AT348" i="3"/>
  <c r="X349" i="3"/>
  <c r="BG346" i="3" l="1"/>
  <c r="BH346" i="3" s="1"/>
  <c r="BI346" i="3" s="1"/>
  <c r="AO350" i="3"/>
  <c r="BC347" i="3"/>
  <c r="BG347" i="3" s="1"/>
  <c r="BH347" i="3" s="1"/>
  <c r="BI347" i="3" s="1"/>
  <c r="BM350" i="3"/>
  <c r="BN350" i="3"/>
  <c r="AY348" i="3"/>
  <c r="AX349" i="3"/>
  <c r="AG350" i="3"/>
  <c r="AV348" i="3"/>
  <c r="BA348" i="3"/>
  <c r="AU349" i="3"/>
  <c r="AW349" i="3"/>
  <c r="AT349" i="3"/>
  <c r="Y350" i="3"/>
  <c r="Z350" i="3" s="1"/>
  <c r="AH350" i="3"/>
  <c r="BB347" i="3"/>
  <c r="BQ347" i="3"/>
  <c r="BF347" i="3"/>
  <c r="BJ346" i="3" s="1"/>
  <c r="BK346" i="3" s="1"/>
  <c r="AQ351" i="3"/>
  <c r="B351" i="3"/>
  <c r="A352" i="3"/>
  <c r="AR351" i="3"/>
  <c r="D351" i="3"/>
  <c r="AM351" i="3"/>
  <c r="AK351" i="3"/>
  <c r="Q351" i="3"/>
  <c r="S351" i="3"/>
  <c r="AD351" i="3"/>
  <c r="AE351" i="3"/>
  <c r="M351" i="3"/>
  <c r="U351" i="3"/>
  <c r="V351" i="3"/>
  <c r="P351" i="3"/>
  <c r="O351" i="3"/>
  <c r="AF351" i="3"/>
  <c r="R351" i="3"/>
  <c r="C351" i="3"/>
  <c r="F351" i="3"/>
  <c r="G351" i="3"/>
  <c r="H351" i="3" s="1"/>
  <c r="BN351" i="3" s="1"/>
  <c r="T351" i="3"/>
  <c r="X350" i="3"/>
  <c r="AN350" i="3"/>
  <c r="BD347" i="3" l="1"/>
  <c r="AU350" i="3"/>
  <c r="BM351" i="3"/>
  <c r="BC348" i="3"/>
  <c r="BD348" i="3" s="1"/>
  <c r="AW350" i="3"/>
  <c r="AY349" i="3"/>
  <c r="AT350" i="3"/>
  <c r="AN351" i="3"/>
  <c r="Y351" i="3"/>
  <c r="Z351" i="3" s="1"/>
  <c r="AH351" i="3"/>
  <c r="A353" i="3"/>
  <c r="B352" i="3"/>
  <c r="AR352" i="3"/>
  <c r="AQ352" i="3"/>
  <c r="AM352" i="3"/>
  <c r="S352" i="3"/>
  <c r="AK352" i="3"/>
  <c r="C352" i="3"/>
  <c r="R352" i="3"/>
  <c r="Q352" i="3"/>
  <c r="AD352" i="3"/>
  <c r="P352" i="3"/>
  <c r="M352" i="3"/>
  <c r="AF352" i="3"/>
  <c r="V352" i="3"/>
  <c r="O352" i="3"/>
  <c r="AE352" i="3"/>
  <c r="U352" i="3"/>
  <c r="G352" i="3"/>
  <c r="H352" i="3" s="1"/>
  <c r="F352" i="3"/>
  <c r="D352" i="3"/>
  <c r="T352" i="3"/>
  <c r="AV349" i="3"/>
  <c r="BA349" i="3"/>
  <c r="X351" i="3"/>
  <c r="AG351" i="3"/>
  <c r="AO351" i="3"/>
  <c r="AX350" i="3"/>
  <c r="BB348" i="3"/>
  <c r="BQ348" i="3"/>
  <c r="BF348" i="3"/>
  <c r="BJ347" i="3" s="1"/>
  <c r="BK347" i="3" s="1"/>
  <c r="BM352" i="3" l="1"/>
  <c r="AO352" i="3"/>
  <c r="AV350" i="3"/>
  <c r="BC349" i="3"/>
  <c r="BD349" i="3" s="1"/>
  <c r="BG348" i="3"/>
  <c r="BH348" i="3" s="1"/>
  <c r="BI348" i="3" s="1"/>
  <c r="AY350" i="3"/>
  <c r="AG352" i="3"/>
  <c r="AU351" i="3"/>
  <c r="AX351" i="3"/>
  <c r="BA350" i="3"/>
  <c r="BQ350" i="3" s="1"/>
  <c r="BF349" i="3"/>
  <c r="BJ348" i="3" s="1"/>
  <c r="BK348" i="3" s="1"/>
  <c r="BB349" i="3"/>
  <c r="BQ349" i="3"/>
  <c r="BN352" i="3"/>
  <c r="AH352" i="3"/>
  <c r="AW351" i="3"/>
  <c r="AT351" i="3"/>
  <c r="Y352" i="3"/>
  <c r="Z352" i="3" s="1"/>
  <c r="X352" i="3"/>
  <c r="AR353" i="3"/>
  <c r="B353" i="3"/>
  <c r="AQ353" i="3"/>
  <c r="A354" i="3"/>
  <c r="AM353" i="3"/>
  <c r="AK353" i="3"/>
  <c r="R353" i="3"/>
  <c r="T353" i="3"/>
  <c r="AD353" i="3"/>
  <c r="S353" i="3"/>
  <c r="Q353" i="3"/>
  <c r="P353" i="3"/>
  <c r="O353" i="3"/>
  <c r="M353" i="3"/>
  <c r="V353" i="3"/>
  <c r="U353" i="3"/>
  <c r="AF353" i="3"/>
  <c r="AE353" i="3"/>
  <c r="D353" i="3"/>
  <c r="G353" i="3"/>
  <c r="H353" i="3" s="1"/>
  <c r="F353" i="3"/>
  <c r="C353" i="3"/>
  <c r="AN352" i="3"/>
  <c r="BC350" i="3" l="1"/>
  <c r="BD350" i="3" s="1"/>
  <c r="BG349" i="3"/>
  <c r="BH349" i="3" s="1"/>
  <c r="BI349" i="3" s="1"/>
  <c r="AU352" i="3"/>
  <c r="BM353" i="3"/>
  <c r="AN353" i="3"/>
  <c r="AY351" i="3"/>
  <c r="AW352" i="3"/>
  <c r="AT352" i="3"/>
  <c r="BF350" i="3"/>
  <c r="BJ349" i="3" s="1"/>
  <c r="BK349" i="3" s="1"/>
  <c r="BB350" i="3"/>
  <c r="Y353" i="3"/>
  <c r="Z353" i="3" s="1"/>
  <c r="AR354" i="3"/>
  <c r="B354" i="3"/>
  <c r="AQ354" i="3"/>
  <c r="A355" i="3"/>
  <c r="D354" i="3"/>
  <c r="C354" i="3"/>
  <c r="R354" i="3"/>
  <c r="AM354" i="3"/>
  <c r="AK354" i="3"/>
  <c r="S354" i="3"/>
  <c r="Q354" i="3"/>
  <c r="AD354" i="3"/>
  <c r="P354" i="3"/>
  <c r="M354" i="3"/>
  <c r="AE354" i="3"/>
  <c r="V354" i="3"/>
  <c r="O354" i="3"/>
  <c r="AF354" i="3"/>
  <c r="U354" i="3"/>
  <c r="F354" i="3"/>
  <c r="G354" i="3"/>
  <c r="H354" i="3" s="1"/>
  <c r="BN354" i="3" s="1"/>
  <c r="T354" i="3"/>
  <c r="AV351" i="3"/>
  <c r="BA351" i="3"/>
  <c r="X353" i="3"/>
  <c r="BN353" i="3"/>
  <c r="AG353" i="3"/>
  <c r="AO353" i="3"/>
  <c r="AX352" i="3"/>
  <c r="AH353" i="3"/>
  <c r="BG350" i="3" l="1"/>
  <c r="BH350" i="3" s="1"/>
  <c r="BI350" i="3" s="1"/>
  <c r="BM354" i="3"/>
  <c r="AV352" i="3"/>
  <c r="BA352" i="3"/>
  <c r="BF352" i="3" s="1"/>
  <c r="BC351" i="3"/>
  <c r="BD351" i="3" s="1"/>
  <c r="AG354" i="3"/>
  <c r="AX353" i="3"/>
  <c r="AO354" i="3"/>
  <c r="BB351" i="3"/>
  <c r="BQ351" i="3"/>
  <c r="BF351" i="3"/>
  <c r="BJ350" i="3" s="1"/>
  <c r="BK350" i="3" s="1"/>
  <c r="AQ355" i="3"/>
  <c r="B355" i="3"/>
  <c r="A356" i="3"/>
  <c r="AR355" i="3"/>
  <c r="D355" i="3"/>
  <c r="AM355" i="3"/>
  <c r="T355" i="3"/>
  <c r="AK355" i="3"/>
  <c r="S355" i="3"/>
  <c r="Q355" i="3"/>
  <c r="R355" i="3"/>
  <c r="AD355" i="3"/>
  <c r="P355" i="3"/>
  <c r="M355" i="3"/>
  <c r="AF355" i="3"/>
  <c r="V355" i="3"/>
  <c r="O355" i="3"/>
  <c r="AE355" i="3"/>
  <c r="U355" i="3"/>
  <c r="F355" i="3"/>
  <c r="G355" i="3"/>
  <c r="H355" i="3" s="1"/>
  <c r="C355" i="3"/>
  <c r="AW353" i="3"/>
  <c r="AY352" i="3"/>
  <c r="AT353" i="3"/>
  <c r="AU353" i="3"/>
  <c r="Y354" i="3"/>
  <c r="Z354" i="3" s="1"/>
  <c r="AH354" i="3"/>
  <c r="AN354" i="3"/>
  <c r="X354" i="3"/>
  <c r="BC352" i="3" l="1"/>
  <c r="BG352" i="3" s="1"/>
  <c r="BH352" i="3" s="1"/>
  <c r="BI352" i="3" s="1"/>
  <c r="BN355" i="3"/>
  <c r="AO355" i="3"/>
  <c r="AT354" i="3"/>
  <c r="AG355" i="3"/>
  <c r="BB352" i="3"/>
  <c r="BQ352" i="3"/>
  <c r="AY353" i="3"/>
  <c r="BG351" i="3"/>
  <c r="BH351" i="3" s="1"/>
  <c r="BI351" i="3" s="1"/>
  <c r="X355" i="3"/>
  <c r="Y355" i="3"/>
  <c r="Z355" i="3" s="1"/>
  <c r="A357" i="3"/>
  <c r="B356" i="3"/>
  <c r="AR356" i="3"/>
  <c r="AQ356" i="3"/>
  <c r="AK356" i="3"/>
  <c r="T356" i="3"/>
  <c r="AM356" i="3"/>
  <c r="S356" i="3"/>
  <c r="R356" i="3"/>
  <c r="AD356" i="3"/>
  <c r="P356" i="3"/>
  <c r="O356" i="3"/>
  <c r="AE356" i="3"/>
  <c r="V356" i="3"/>
  <c r="AF356" i="3"/>
  <c r="M356" i="3"/>
  <c r="U356" i="3"/>
  <c r="D356" i="3"/>
  <c r="C356" i="3"/>
  <c r="Q356" i="3"/>
  <c r="F356" i="3"/>
  <c r="G356" i="3"/>
  <c r="H356" i="3" s="1"/>
  <c r="AH355" i="3"/>
  <c r="AN355" i="3"/>
  <c r="AX354" i="3"/>
  <c r="AW354" i="3"/>
  <c r="BJ351" i="3"/>
  <c r="BK351" i="3" s="1"/>
  <c r="AV353" i="3"/>
  <c r="BA353" i="3"/>
  <c r="BM355" i="3"/>
  <c r="AU354" i="3"/>
  <c r="BN356" i="3" l="1"/>
  <c r="BD352" i="3"/>
  <c r="BM356" i="3"/>
  <c r="AN356" i="3"/>
  <c r="BC353" i="3"/>
  <c r="BG353" i="3" s="1"/>
  <c r="BH353" i="3" s="1"/>
  <c r="BI353" i="3" s="1"/>
  <c r="AX355" i="3"/>
  <c r="AT355" i="3"/>
  <c r="AU355" i="3"/>
  <c r="AH356" i="3"/>
  <c r="BA354" i="3"/>
  <c r="BB354" i="3" s="1"/>
  <c r="BB353" i="3"/>
  <c r="BQ353" i="3"/>
  <c r="BF353" i="3"/>
  <c r="BJ352" i="3" s="1"/>
  <c r="BK352" i="3" s="1"/>
  <c r="AR357" i="3"/>
  <c r="B357" i="3"/>
  <c r="AQ357" i="3"/>
  <c r="A358" i="3"/>
  <c r="AM357" i="3"/>
  <c r="S357" i="3"/>
  <c r="R357" i="3"/>
  <c r="Q357" i="3"/>
  <c r="C357" i="3"/>
  <c r="AK357" i="3"/>
  <c r="AD357" i="3"/>
  <c r="P357" i="3"/>
  <c r="O357" i="3"/>
  <c r="AE357" i="3"/>
  <c r="AF357" i="3"/>
  <c r="U357" i="3"/>
  <c r="V357" i="3"/>
  <c r="M357" i="3"/>
  <c r="G357" i="3"/>
  <c r="H357" i="3" s="1"/>
  <c r="F357" i="3"/>
  <c r="D357" i="3"/>
  <c r="T357" i="3"/>
  <c r="AY354" i="3"/>
  <c r="AW355" i="3"/>
  <c r="X356" i="3"/>
  <c r="AG356" i="3"/>
  <c r="AO356" i="3"/>
  <c r="AV354" i="3"/>
  <c r="Y356" i="3"/>
  <c r="Z356" i="3" s="1"/>
  <c r="BD353" i="3" l="1"/>
  <c r="BM357" i="3"/>
  <c r="AY355" i="3"/>
  <c r="AG357" i="3"/>
  <c r="AV355" i="3"/>
  <c r="AW356" i="3"/>
  <c r="AO357" i="3"/>
  <c r="AX356" i="3"/>
  <c r="BF354" i="3"/>
  <c r="BJ353" i="3" s="1"/>
  <c r="BK353" i="3" s="1"/>
  <c r="AT356" i="3"/>
  <c r="BQ354" i="3"/>
  <c r="Y357" i="3"/>
  <c r="Z357" i="3" s="1"/>
  <c r="AU356" i="3"/>
  <c r="BA355" i="3"/>
  <c r="BC354" i="3"/>
  <c r="BN357" i="3"/>
  <c r="AH357" i="3"/>
  <c r="X357" i="3"/>
  <c r="AN357" i="3"/>
  <c r="AR358" i="3"/>
  <c r="B358" i="3"/>
  <c r="AQ358" i="3"/>
  <c r="A359" i="3"/>
  <c r="C358" i="3"/>
  <c r="AK358" i="3"/>
  <c r="S358" i="3"/>
  <c r="AM358" i="3"/>
  <c r="T358" i="3"/>
  <c r="AD358" i="3"/>
  <c r="R358" i="3"/>
  <c r="P358" i="3"/>
  <c r="O358" i="3"/>
  <c r="AE358" i="3"/>
  <c r="M358" i="3"/>
  <c r="V358" i="3"/>
  <c r="AF358" i="3"/>
  <c r="U358" i="3"/>
  <c r="Q358" i="3"/>
  <c r="D358" i="3"/>
  <c r="F358" i="3"/>
  <c r="G358" i="3"/>
  <c r="H358" i="3" s="1"/>
  <c r="BM358" i="3" l="1"/>
  <c r="BN358" i="3"/>
  <c r="AY356" i="3"/>
  <c r="BC355" i="3"/>
  <c r="BD355" i="3" s="1"/>
  <c r="AN358" i="3"/>
  <c r="AG358" i="3"/>
  <c r="AV356" i="3"/>
  <c r="AW357" i="3"/>
  <c r="AX357" i="3"/>
  <c r="AU357" i="3"/>
  <c r="BA356" i="3"/>
  <c r="BQ356" i="3" s="1"/>
  <c r="AT357" i="3"/>
  <c r="Y358" i="3"/>
  <c r="Z358" i="3" s="1"/>
  <c r="BB355" i="3"/>
  <c r="BQ355" i="3"/>
  <c r="BF355" i="3"/>
  <c r="BJ354" i="3" s="1"/>
  <c r="BK354" i="3" s="1"/>
  <c r="X358" i="3"/>
  <c r="AQ359" i="3"/>
  <c r="B359" i="3"/>
  <c r="A360" i="3"/>
  <c r="AR359" i="3"/>
  <c r="C359" i="3"/>
  <c r="AK359" i="3"/>
  <c r="S359" i="3"/>
  <c r="AM359" i="3"/>
  <c r="R359" i="3"/>
  <c r="Q359" i="3"/>
  <c r="P359" i="3"/>
  <c r="AD359" i="3"/>
  <c r="M359" i="3"/>
  <c r="AF359" i="3"/>
  <c r="AE359" i="3"/>
  <c r="O359" i="3"/>
  <c r="V359" i="3"/>
  <c r="U359" i="3"/>
  <c r="G359" i="3"/>
  <c r="H359" i="3" s="1"/>
  <c r="D359" i="3"/>
  <c r="F359" i="3"/>
  <c r="T359" i="3"/>
  <c r="BD354" i="3"/>
  <c r="BG354" i="3"/>
  <c r="BH354" i="3" s="1"/>
  <c r="BI354" i="3" s="1"/>
  <c r="AH358" i="3"/>
  <c r="AO358" i="3"/>
  <c r="BM359" i="3" l="1"/>
  <c r="BC356" i="3"/>
  <c r="BG356" i="3" s="1"/>
  <c r="BH356" i="3" s="1"/>
  <c r="BI356" i="3" s="1"/>
  <c r="AN359" i="3"/>
  <c r="BG355" i="3"/>
  <c r="BH355" i="3" s="1"/>
  <c r="BI355" i="3" s="1"/>
  <c r="AV357" i="3"/>
  <c r="BN359" i="3"/>
  <c r="BB356" i="3"/>
  <c r="AY357" i="3"/>
  <c r="BF356" i="3"/>
  <c r="BJ355" i="3" s="1"/>
  <c r="BK355" i="3" s="1"/>
  <c r="BA357" i="3"/>
  <c r="BF357" i="3" s="1"/>
  <c r="AG359" i="3"/>
  <c r="AW358" i="3"/>
  <c r="AX358" i="3"/>
  <c r="Y359" i="3"/>
  <c r="Z359" i="3" s="1"/>
  <c r="AH359" i="3"/>
  <c r="AO359" i="3"/>
  <c r="AT358" i="3"/>
  <c r="A361" i="3"/>
  <c r="B360" i="3"/>
  <c r="AR360" i="3"/>
  <c r="AQ360" i="3"/>
  <c r="C360" i="3"/>
  <c r="AK360" i="3"/>
  <c r="R360" i="3"/>
  <c r="AM360" i="3"/>
  <c r="Q360" i="3"/>
  <c r="P360" i="3"/>
  <c r="S360" i="3"/>
  <c r="AD360" i="3"/>
  <c r="O360" i="3"/>
  <c r="M360" i="3"/>
  <c r="AE360" i="3"/>
  <c r="AF360" i="3"/>
  <c r="U360" i="3"/>
  <c r="V360" i="3"/>
  <c r="D360" i="3"/>
  <c r="G360" i="3"/>
  <c r="H360" i="3" s="1"/>
  <c r="F360" i="3"/>
  <c r="T360" i="3"/>
  <c r="X359" i="3"/>
  <c r="AU358" i="3"/>
  <c r="BM360" i="3" l="1"/>
  <c r="BD356" i="3"/>
  <c r="AU359" i="3"/>
  <c r="BC357" i="3"/>
  <c r="BD357" i="3" s="1"/>
  <c r="AN360" i="3"/>
  <c r="BN360" i="3"/>
  <c r="BB357" i="3"/>
  <c r="Y360" i="3"/>
  <c r="Z360" i="3" s="1"/>
  <c r="BJ356" i="3"/>
  <c r="BK356" i="3" s="1"/>
  <c r="AT359" i="3"/>
  <c r="BQ357" i="3"/>
  <c r="AW359" i="3"/>
  <c r="AY358" i="3"/>
  <c r="AG360" i="3"/>
  <c r="AR361" i="3"/>
  <c r="B361" i="3"/>
  <c r="AQ361" i="3"/>
  <c r="A362" i="3"/>
  <c r="AK361" i="3"/>
  <c r="S361" i="3"/>
  <c r="R361" i="3"/>
  <c r="Q361" i="3"/>
  <c r="AM361" i="3"/>
  <c r="AD361" i="3"/>
  <c r="P361" i="3"/>
  <c r="AF361" i="3"/>
  <c r="V361" i="3"/>
  <c r="O361" i="3"/>
  <c r="M361" i="3"/>
  <c r="AE361" i="3"/>
  <c r="U361" i="3"/>
  <c r="C361" i="3"/>
  <c r="G361" i="3"/>
  <c r="H361" i="3" s="1"/>
  <c r="F361" i="3"/>
  <c r="D361" i="3"/>
  <c r="T361" i="3"/>
  <c r="BA358" i="3"/>
  <c r="AV358" i="3"/>
  <c r="X360" i="3"/>
  <c r="AH360" i="3"/>
  <c r="AO360" i="3"/>
  <c r="AX359" i="3"/>
  <c r="BM361" i="3" l="1"/>
  <c r="BC358" i="3"/>
  <c r="BD358" i="3" s="1"/>
  <c r="BG357" i="3"/>
  <c r="BH357" i="3" s="1"/>
  <c r="BI357" i="3" s="1"/>
  <c r="AV359" i="3"/>
  <c r="AN361" i="3"/>
  <c r="AG361" i="3"/>
  <c r="AY359" i="3"/>
  <c r="Y361" i="3"/>
  <c r="Z361" i="3" s="1"/>
  <c r="AX360" i="3"/>
  <c r="BA359" i="3"/>
  <c r="BF359" i="3" s="1"/>
  <c r="BQ358" i="3"/>
  <c r="BB358" i="3"/>
  <c r="BF358" i="3"/>
  <c r="BJ357" i="3" s="1"/>
  <c r="BK357" i="3" s="1"/>
  <c r="X361" i="3"/>
  <c r="AT360" i="3"/>
  <c r="AW360" i="3"/>
  <c r="BN361" i="3"/>
  <c r="AO361" i="3"/>
  <c r="AR362" i="3"/>
  <c r="B362" i="3"/>
  <c r="AQ362" i="3"/>
  <c r="A363" i="3"/>
  <c r="AK362" i="3"/>
  <c r="AM362" i="3"/>
  <c r="R362" i="3"/>
  <c r="D362" i="3"/>
  <c r="S362" i="3"/>
  <c r="Q362" i="3"/>
  <c r="AD362" i="3"/>
  <c r="P362" i="3"/>
  <c r="M362" i="3"/>
  <c r="O362" i="3"/>
  <c r="AE362" i="3"/>
  <c r="V362" i="3"/>
  <c r="AF362" i="3"/>
  <c r="U362" i="3"/>
  <c r="C362" i="3"/>
  <c r="F362" i="3"/>
  <c r="G362" i="3"/>
  <c r="H362" i="3" s="1"/>
  <c r="T362" i="3"/>
  <c r="AU360" i="3"/>
  <c r="AH361" i="3"/>
  <c r="BG358" i="3" l="1"/>
  <c r="BH358" i="3" s="1"/>
  <c r="BI358" i="3" s="1"/>
  <c r="AY360" i="3"/>
  <c r="BC359" i="3"/>
  <c r="BD359" i="3" s="1"/>
  <c r="BQ359" i="3"/>
  <c r="AX361" i="3"/>
  <c r="BN362" i="3"/>
  <c r="BJ358" i="3"/>
  <c r="BK358" i="3" s="1"/>
  <c r="AO362" i="3"/>
  <c r="BB359" i="3"/>
  <c r="AV360" i="3"/>
  <c r="X362" i="3"/>
  <c r="AQ363" i="3"/>
  <c r="B363" i="3"/>
  <c r="A364" i="3"/>
  <c r="AR363" i="3"/>
  <c r="D363" i="3"/>
  <c r="AK363" i="3"/>
  <c r="R363" i="3"/>
  <c r="AM363" i="3"/>
  <c r="T363" i="3"/>
  <c r="AD363" i="3"/>
  <c r="Q363" i="3"/>
  <c r="O363" i="3"/>
  <c r="AE363" i="3"/>
  <c r="V363" i="3"/>
  <c r="U363" i="3"/>
  <c r="M363" i="3"/>
  <c r="AF363" i="3"/>
  <c r="G363" i="3"/>
  <c r="H363" i="3" s="1"/>
  <c r="F363" i="3"/>
  <c r="C363" i="3"/>
  <c r="S363" i="3"/>
  <c r="P363" i="3"/>
  <c r="AG362" i="3"/>
  <c r="AH362" i="3"/>
  <c r="AW361" i="3"/>
  <c r="Y362" i="3"/>
  <c r="Z362" i="3" s="1"/>
  <c r="BM362" i="3"/>
  <c r="AN362" i="3"/>
  <c r="AU361" i="3"/>
  <c r="AT361" i="3"/>
  <c r="BA360" i="3"/>
  <c r="BC360" i="3" l="1"/>
  <c r="BG360" i="3" s="1"/>
  <c r="BH360" i="3" s="1"/>
  <c r="BI360" i="3" s="1"/>
  <c r="BG359" i="3"/>
  <c r="BH359" i="3" s="1"/>
  <c r="BI359" i="3" s="1"/>
  <c r="AN363" i="3"/>
  <c r="AY361" i="3"/>
  <c r="BN363" i="3"/>
  <c r="AU362" i="3"/>
  <c r="Y363" i="3"/>
  <c r="Z363" i="3" s="1"/>
  <c r="AV361" i="3"/>
  <c r="BA361" i="3"/>
  <c r="BB360" i="3"/>
  <c r="BQ360" i="3"/>
  <c r="BF360" i="3"/>
  <c r="BJ359" i="3" s="1"/>
  <c r="BK359" i="3" s="1"/>
  <c r="A365" i="3"/>
  <c r="B364" i="3"/>
  <c r="AR364" i="3"/>
  <c r="AQ364" i="3"/>
  <c r="D364" i="3"/>
  <c r="C364" i="3"/>
  <c r="R364" i="3"/>
  <c r="Q364" i="3"/>
  <c r="AM364" i="3"/>
  <c r="AK364" i="3"/>
  <c r="S364" i="3"/>
  <c r="AD364" i="3"/>
  <c r="M364" i="3"/>
  <c r="V364" i="3"/>
  <c r="U364" i="3"/>
  <c r="P364" i="3"/>
  <c r="O364" i="3"/>
  <c r="AE364" i="3"/>
  <c r="AF364" i="3"/>
  <c r="G364" i="3"/>
  <c r="H364" i="3" s="1"/>
  <c r="F364" i="3"/>
  <c r="T364" i="3"/>
  <c r="AT362" i="3"/>
  <c r="AW362" i="3"/>
  <c r="X363" i="3"/>
  <c r="BM363" i="3"/>
  <c r="AG363" i="3"/>
  <c r="AX362" i="3"/>
  <c r="AH363" i="3"/>
  <c r="AO363" i="3"/>
  <c r="BD360" i="3" l="1"/>
  <c r="BC361" i="3"/>
  <c r="BG361" i="3" s="1"/>
  <c r="BH361" i="3" s="1"/>
  <c r="BI361" i="3" s="1"/>
  <c r="BN364" i="3"/>
  <c r="Y364" i="3"/>
  <c r="Z364" i="3" s="1"/>
  <c r="AV362" i="3"/>
  <c r="BM364" i="3"/>
  <c r="AN364" i="3"/>
  <c r="AR365" i="3"/>
  <c r="B365" i="3"/>
  <c r="AQ365" i="3"/>
  <c r="A366" i="3"/>
  <c r="AM365" i="3"/>
  <c r="T365" i="3"/>
  <c r="AK365" i="3"/>
  <c r="Q365" i="3"/>
  <c r="P365" i="3"/>
  <c r="S365" i="3"/>
  <c r="R365" i="3"/>
  <c r="AD365" i="3"/>
  <c r="O365" i="3"/>
  <c r="M365" i="3"/>
  <c r="AF365" i="3"/>
  <c r="AE365" i="3"/>
  <c r="U365" i="3"/>
  <c r="V365" i="3"/>
  <c r="D365" i="3"/>
  <c r="G365" i="3"/>
  <c r="H365" i="3" s="1"/>
  <c r="F365" i="3"/>
  <c r="C365" i="3"/>
  <c r="BQ361" i="3"/>
  <c r="BF361" i="3"/>
  <c r="BJ360" i="3" s="1"/>
  <c r="BK360" i="3" s="1"/>
  <c r="BB361" i="3"/>
  <c r="AY362" i="3"/>
  <c r="AT363" i="3"/>
  <c r="AW363" i="3"/>
  <c r="AX363" i="3"/>
  <c r="AU363" i="3"/>
  <c r="BA362" i="3"/>
  <c r="AG364" i="3"/>
  <c r="AH364" i="3"/>
  <c r="AO364" i="3"/>
  <c r="X364" i="3"/>
  <c r="BD361" i="3" l="1"/>
  <c r="BC362" i="3"/>
  <c r="BD362" i="3" s="1"/>
  <c r="AO365" i="3"/>
  <c r="BN365" i="3"/>
  <c r="AG365" i="3"/>
  <c r="AU364" i="3"/>
  <c r="X365" i="3"/>
  <c r="AY363" i="3"/>
  <c r="BB362" i="3"/>
  <c r="BF362" i="3"/>
  <c r="BJ361" i="3" s="1"/>
  <c r="BK361" i="3" s="1"/>
  <c r="BQ362" i="3"/>
  <c r="Y365" i="3"/>
  <c r="Z365" i="3" s="1"/>
  <c r="AX364" i="3"/>
  <c r="AV363" i="3"/>
  <c r="BM365" i="3"/>
  <c r="AN365" i="3"/>
  <c r="AR366" i="3"/>
  <c r="B366" i="3"/>
  <c r="AQ366" i="3"/>
  <c r="A367" i="3"/>
  <c r="T366" i="3"/>
  <c r="S366" i="3"/>
  <c r="AK366" i="3"/>
  <c r="AM366" i="3"/>
  <c r="Q366" i="3"/>
  <c r="R366" i="3"/>
  <c r="AD366" i="3"/>
  <c r="P366" i="3"/>
  <c r="O366" i="3"/>
  <c r="AF366" i="3"/>
  <c r="V366" i="3"/>
  <c r="M366" i="3"/>
  <c r="AE366" i="3"/>
  <c r="U366" i="3"/>
  <c r="F366" i="3"/>
  <c r="C366" i="3"/>
  <c r="D366" i="3"/>
  <c r="G366" i="3"/>
  <c r="H366" i="3" s="1"/>
  <c r="AW364" i="3"/>
  <c r="BA363" i="3"/>
  <c r="AT364" i="3"/>
  <c r="AH365" i="3"/>
  <c r="BC363" i="3" l="1"/>
  <c r="BD363" i="3" s="1"/>
  <c r="BG362" i="3"/>
  <c r="BH362" i="3" s="1"/>
  <c r="BI362" i="3" s="1"/>
  <c r="AY364" i="3"/>
  <c r="AX365" i="3"/>
  <c r="AG366" i="3"/>
  <c r="AO366" i="3"/>
  <c r="AV364" i="3"/>
  <c r="BA364" i="3"/>
  <c r="X366" i="3"/>
  <c r="BM366" i="3"/>
  <c r="BF363" i="3"/>
  <c r="BJ362" i="3" s="1"/>
  <c r="BK362" i="3" s="1"/>
  <c r="BB363" i="3"/>
  <c r="BQ363" i="3"/>
  <c r="AQ367" i="3"/>
  <c r="B367" i="3"/>
  <c r="A368" i="3"/>
  <c r="AR367" i="3"/>
  <c r="D367" i="3"/>
  <c r="AM367" i="3"/>
  <c r="AK367" i="3"/>
  <c r="S367" i="3"/>
  <c r="R367" i="3"/>
  <c r="Q367" i="3"/>
  <c r="T367" i="3"/>
  <c r="AD367" i="3"/>
  <c r="P367" i="3"/>
  <c r="AE367" i="3"/>
  <c r="O367" i="3"/>
  <c r="AF367" i="3"/>
  <c r="U367" i="3"/>
  <c r="V367" i="3"/>
  <c r="M367" i="3"/>
  <c r="G367" i="3"/>
  <c r="H367" i="3" s="1"/>
  <c r="C367" i="3"/>
  <c r="F367" i="3"/>
  <c r="AW365" i="3"/>
  <c r="BN366" i="3"/>
  <c r="AN366" i="3"/>
  <c r="AT365" i="3"/>
  <c r="Y366" i="3"/>
  <c r="Z366" i="3" s="1"/>
  <c r="AH366" i="3"/>
  <c r="AU365" i="3"/>
  <c r="BG363" i="3" l="1"/>
  <c r="BH363" i="3" s="1"/>
  <c r="BI363" i="3" s="1"/>
  <c r="AY365" i="3"/>
  <c r="BC364" i="3"/>
  <c r="BG364" i="3" s="1"/>
  <c r="BH364" i="3" s="1"/>
  <c r="BI364" i="3" s="1"/>
  <c r="AX366" i="3"/>
  <c r="BM367" i="3"/>
  <c r="BN367" i="3"/>
  <c r="AN367" i="3"/>
  <c r="AO367" i="3"/>
  <c r="BA365" i="3"/>
  <c r="AV365" i="3"/>
  <c r="AT366" i="3"/>
  <c r="AG367" i="3"/>
  <c r="AH367" i="3"/>
  <c r="Y367" i="3"/>
  <c r="Z367" i="3" s="1"/>
  <c r="A369" i="3"/>
  <c r="B368" i="3"/>
  <c r="AR368" i="3"/>
  <c r="AQ368" i="3"/>
  <c r="D368" i="3"/>
  <c r="S368" i="3"/>
  <c r="Q368" i="3"/>
  <c r="C368" i="3"/>
  <c r="AM368" i="3"/>
  <c r="AK368" i="3"/>
  <c r="P368" i="3"/>
  <c r="T368" i="3"/>
  <c r="R368" i="3"/>
  <c r="AD368" i="3"/>
  <c r="O368" i="3"/>
  <c r="M368" i="3"/>
  <c r="AE368" i="3"/>
  <c r="AF368" i="3"/>
  <c r="V368" i="3"/>
  <c r="U368" i="3"/>
  <c r="G368" i="3"/>
  <c r="H368" i="3" s="1"/>
  <c r="BN368" i="3" s="1"/>
  <c r="F368" i="3"/>
  <c r="BB364" i="3"/>
  <c r="BQ364" i="3"/>
  <c r="BF364" i="3"/>
  <c r="BJ363" i="3" s="1"/>
  <c r="BK363" i="3" s="1"/>
  <c r="AU366" i="3"/>
  <c r="AW366" i="3"/>
  <c r="X367" i="3"/>
  <c r="BC365" i="3" l="1"/>
  <c r="BG365" i="3" s="1"/>
  <c r="BH365" i="3" s="1"/>
  <c r="BI365" i="3" s="1"/>
  <c r="BD364" i="3"/>
  <c r="BM368" i="3"/>
  <c r="AY366" i="3"/>
  <c r="AO368" i="3"/>
  <c r="AT367" i="3"/>
  <c r="AU367" i="3"/>
  <c r="AW367" i="3"/>
  <c r="AH368" i="3"/>
  <c r="Y368" i="3"/>
  <c r="Z368" i="3" s="1"/>
  <c r="AR369" i="3"/>
  <c r="B369" i="3"/>
  <c r="AQ369" i="3"/>
  <c r="A370" i="3"/>
  <c r="D369" i="3"/>
  <c r="AM369" i="3"/>
  <c r="R369" i="3"/>
  <c r="AK369" i="3"/>
  <c r="Q369" i="3"/>
  <c r="S369" i="3"/>
  <c r="AD369" i="3"/>
  <c r="O369" i="3"/>
  <c r="AE369" i="3"/>
  <c r="V369" i="3"/>
  <c r="P369" i="3"/>
  <c r="M369" i="3"/>
  <c r="AF369" i="3"/>
  <c r="U369" i="3"/>
  <c r="C369" i="3"/>
  <c r="G369" i="3"/>
  <c r="H369" i="3" s="1"/>
  <c r="F369" i="3"/>
  <c r="T369" i="3"/>
  <c r="BA366" i="3"/>
  <c r="AV366" i="3"/>
  <c r="BQ365" i="3"/>
  <c r="BF365" i="3"/>
  <c r="BJ364" i="3" s="1"/>
  <c r="BK364" i="3" s="1"/>
  <c r="BB365" i="3"/>
  <c r="AG368" i="3"/>
  <c r="AN368" i="3"/>
  <c r="AX367" i="3"/>
  <c r="X368" i="3"/>
  <c r="BD365" i="3" l="1"/>
  <c r="BM369" i="3"/>
  <c r="AO369" i="3"/>
  <c r="BC366" i="3"/>
  <c r="BD366" i="3" s="1"/>
  <c r="AH369" i="3"/>
  <c r="BN369" i="3"/>
  <c r="AV367" i="3"/>
  <c r="AT368" i="3"/>
  <c r="AU368" i="3"/>
  <c r="Y369" i="3"/>
  <c r="Z369" i="3" s="1"/>
  <c r="AY367" i="3"/>
  <c r="BA367" i="3"/>
  <c r="BB367" i="3" s="1"/>
  <c r="AX368" i="3"/>
  <c r="BQ366" i="3"/>
  <c r="BB366" i="3"/>
  <c r="BF366" i="3"/>
  <c r="BJ365" i="3" s="1"/>
  <c r="BK365" i="3" s="1"/>
  <c r="X369" i="3"/>
  <c r="AG369" i="3"/>
  <c r="AR370" i="3"/>
  <c r="B370" i="3"/>
  <c r="AQ370" i="3"/>
  <c r="A371" i="3"/>
  <c r="AK370" i="3"/>
  <c r="AM370" i="3"/>
  <c r="T370" i="3"/>
  <c r="Q370" i="3"/>
  <c r="C370" i="3"/>
  <c r="S370" i="3"/>
  <c r="AD370" i="3"/>
  <c r="P370" i="3"/>
  <c r="O370" i="3"/>
  <c r="AF370" i="3"/>
  <c r="U370" i="3"/>
  <c r="V370" i="3"/>
  <c r="AE370" i="3"/>
  <c r="M370" i="3"/>
  <c r="D370" i="3"/>
  <c r="R370" i="3"/>
  <c r="F370" i="3"/>
  <c r="G370" i="3"/>
  <c r="H370" i="3" s="1"/>
  <c r="AW368" i="3"/>
  <c r="AN369" i="3"/>
  <c r="BM370" i="3" l="1"/>
  <c r="BG366" i="3"/>
  <c r="BH366" i="3" s="1"/>
  <c r="BI366" i="3" s="1"/>
  <c r="BC367" i="3"/>
  <c r="BD367" i="3" s="1"/>
  <c r="AG370" i="3"/>
  <c r="AO370" i="3"/>
  <c r="BF367" i="3"/>
  <c r="BJ366" i="3" s="1"/>
  <c r="BK366" i="3" s="1"/>
  <c r="AV368" i="3"/>
  <c r="BQ367" i="3"/>
  <c r="AY368" i="3"/>
  <c r="AW369" i="3"/>
  <c r="AX369" i="3"/>
  <c r="AQ371" i="3"/>
  <c r="B371" i="3"/>
  <c r="A372" i="3"/>
  <c r="AR371" i="3"/>
  <c r="C371" i="3"/>
  <c r="AK371" i="3"/>
  <c r="AM371" i="3"/>
  <c r="S371" i="3"/>
  <c r="AD371" i="3"/>
  <c r="Q371" i="3"/>
  <c r="R371" i="3"/>
  <c r="P371" i="3"/>
  <c r="O371" i="3"/>
  <c r="M371" i="3"/>
  <c r="AF371" i="3"/>
  <c r="AE371" i="3"/>
  <c r="V371" i="3"/>
  <c r="U371" i="3"/>
  <c r="D371" i="3"/>
  <c r="F371" i="3"/>
  <c r="G371" i="3"/>
  <c r="H371" i="3" s="1"/>
  <c r="T371" i="3"/>
  <c r="BA368" i="3"/>
  <c r="AU369" i="3"/>
  <c r="BN370" i="3"/>
  <c r="AH370" i="3"/>
  <c r="AN370" i="3"/>
  <c r="AT369" i="3"/>
  <c r="Y370" i="3"/>
  <c r="Z370" i="3" s="1"/>
  <c r="X370" i="3"/>
  <c r="BN371" i="3" l="1"/>
  <c r="BC368" i="3"/>
  <c r="BD368" i="3" s="1"/>
  <c r="BG367" i="3"/>
  <c r="BH367" i="3" s="1"/>
  <c r="BI367" i="3" s="1"/>
  <c r="BM371" i="3"/>
  <c r="AY369" i="3"/>
  <c r="AX370" i="3"/>
  <c r="AO371" i="3"/>
  <c r="AG371" i="3"/>
  <c r="AU370" i="3"/>
  <c r="Y371" i="3"/>
  <c r="Z371" i="3" s="1"/>
  <c r="BA369" i="3"/>
  <c r="AV369" i="3"/>
  <c r="BQ368" i="3"/>
  <c r="BB368" i="3"/>
  <c r="BF368" i="3"/>
  <c r="BJ367" i="3" s="1"/>
  <c r="BK367" i="3" s="1"/>
  <c r="A373" i="3"/>
  <c r="B372" i="3"/>
  <c r="AR372" i="3"/>
  <c r="AQ372" i="3"/>
  <c r="AK372" i="3"/>
  <c r="AM372" i="3"/>
  <c r="S372" i="3"/>
  <c r="R372" i="3"/>
  <c r="P372" i="3"/>
  <c r="Q372" i="3"/>
  <c r="AD372" i="3"/>
  <c r="AE372" i="3"/>
  <c r="O372" i="3"/>
  <c r="U372" i="3"/>
  <c r="M372" i="3"/>
  <c r="AF372" i="3"/>
  <c r="V372" i="3"/>
  <c r="G372" i="3"/>
  <c r="H372" i="3" s="1"/>
  <c r="F372" i="3"/>
  <c r="C372" i="3"/>
  <c r="D372" i="3"/>
  <c r="T372" i="3"/>
  <c r="AW370" i="3"/>
  <c r="AH371" i="3"/>
  <c r="AN371" i="3"/>
  <c r="X371" i="3"/>
  <c r="AT370" i="3"/>
  <c r="AY370" i="3" l="1"/>
  <c r="BG368" i="3"/>
  <c r="BH368" i="3" s="1"/>
  <c r="BI368" i="3" s="1"/>
  <c r="BM372" i="3"/>
  <c r="BC369" i="3"/>
  <c r="BG369" i="3" s="1"/>
  <c r="BH369" i="3" s="1"/>
  <c r="BI369" i="3" s="1"/>
  <c r="AU371" i="3"/>
  <c r="AO372" i="3"/>
  <c r="AT371" i="3"/>
  <c r="AW371" i="3"/>
  <c r="AH372" i="3"/>
  <c r="AV370" i="3"/>
  <c r="BA370" i="3"/>
  <c r="BF369" i="3"/>
  <c r="BJ368" i="3" s="1"/>
  <c r="BK368" i="3" s="1"/>
  <c r="BB369" i="3"/>
  <c r="BQ369" i="3"/>
  <c r="AX371" i="3"/>
  <c r="Y372" i="3"/>
  <c r="Z372" i="3" s="1"/>
  <c r="X372" i="3"/>
  <c r="BN372" i="3"/>
  <c r="AG372" i="3"/>
  <c r="AN372" i="3"/>
  <c r="AR373" i="3"/>
  <c r="B373" i="3"/>
  <c r="AQ373" i="3"/>
  <c r="A374" i="3"/>
  <c r="D373" i="3"/>
  <c r="AM373" i="3"/>
  <c r="AK373" i="3"/>
  <c r="T373" i="3"/>
  <c r="S373" i="3"/>
  <c r="R373" i="3"/>
  <c r="AD373" i="3"/>
  <c r="P373" i="3"/>
  <c r="AE373" i="3"/>
  <c r="AF373" i="3"/>
  <c r="V373" i="3"/>
  <c r="O373" i="3"/>
  <c r="M373" i="3"/>
  <c r="U373" i="3"/>
  <c r="C373" i="3"/>
  <c r="G373" i="3"/>
  <c r="H373" i="3" s="1"/>
  <c r="F373" i="3"/>
  <c r="Q373" i="3"/>
  <c r="BM373" i="3" l="1"/>
  <c r="AV371" i="3"/>
  <c r="BD369" i="3"/>
  <c r="BC370" i="3"/>
  <c r="BD370" i="3" s="1"/>
  <c r="BN373" i="3"/>
  <c r="AU372" i="3"/>
  <c r="AT372" i="3"/>
  <c r="AN373" i="3"/>
  <c r="AW372" i="3"/>
  <c r="BA371" i="3"/>
  <c r="BB371" i="3" s="1"/>
  <c r="AX372" i="3"/>
  <c r="AY371" i="3"/>
  <c r="Y373" i="3"/>
  <c r="Z373" i="3" s="1"/>
  <c r="BB370" i="3"/>
  <c r="BQ370" i="3"/>
  <c r="BF370" i="3"/>
  <c r="BJ369" i="3" s="1"/>
  <c r="BK369" i="3" s="1"/>
  <c r="X373" i="3"/>
  <c r="AG373" i="3"/>
  <c r="AH373" i="3"/>
  <c r="AO373" i="3"/>
  <c r="AR374" i="3"/>
  <c r="B374" i="3"/>
  <c r="AQ374" i="3"/>
  <c r="A375" i="3"/>
  <c r="C374" i="3"/>
  <c r="AM374" i="3"/>
  <c r="AK374" i="3"/>
  <c r="Q374" i="3"/>
  <c r="R374" i="3"/>
  <c r="AD374" i="3"/>
  <c r="M374" i="3"/>
  <c r="AE374" i="3"/>
  <c r="AF374" i="3"/>
  <c r="V374" i="3"/>
  <c r="P374" i="3"/>
  <c r="O374" i="3"/>
  <c r="U374" i="3"/>
  <c r="D374" i="3"/>
  <c r="G374" i="3"/>
  <c r="H374" i="3" s="1"/>
  <c r="F374" i="3"/>
  <c r="T374" i="3"/>
  <c r="S374" i="3"/>
  <c r="BC371" i="3" l="1"/>
  <c r="BD371" i="3" s="1"/>
  <c r="BG370" i="3"/>
  <c r="BH370" i="3" s="1"/>
  <c r="BI370" i="3" s="1"/>
  <c r="BA372" i="3"/>
  <c r="BB372" i="3" s="1"/>
  <c r="BM374" i="3"/>
  <c r="AV372" i="3"/>
  <c r="AT373" i="3"/>
  <c r="AG374" i="3"/>
  <c r="BQ371" i="3"/>
  <c r="BF371" i="3"/>
  <c r="BJ370" i="3" s="1"/>
  <c r="BK370" i="3" s="1"/>
  <c r="AY372" i="3"/>
  <c r="AN374" i="3"/>
  <c r="AU373" i="3"/>
  <c r="Y374" i="3"/>
  <c r="Z374" i="3" s="1"/>
  <c r="BN374" i="3"/>
  <c r="AO374" i="3"/>
  <c r="AX373" i="3"/>
  <c r="AQ375" i="3"/>
  <c r="B375" i="3"/>
  <c r="A376" i="3"/>
  <c r="AR375" i="3"/>
  <c r="AK375" i="3"/>
  <c r="AM375" i="3"/>
  <c r="T375" i="3"/>
  <c r="S375" i="3"/>
  <c r="C375" i="3"/>
  <c r="Q375" i="3"/>
  <c r="R375" i="3"/>
  <c r="AD375" i="3"/>
  <c r="P375" i="3"/>
  <c r="O375" i="3"/>
  <c r="AE375" i="3"/>
  <c r="AF375" i="3"/>
  <c r="M375" i="3"/>
  <c r="V375" i="3"/>
  <c r="U375" i="3"/>
  <c r="D375" i="3"/>
  <c r="F375" i="3"/>
  <c r="G375" i="3"/>
  <c r="H375" i="3" s="1"/>
  <c r="X374" i="3"/>
  <c r="AH374" i="3"/>
  <c r="AW373" i="3"/>
  <c r="BM375" i="3" l="1"/>
  <c r="BN375" i="3"/>
  <c r="BF372" i="3"/>
  <c r="BJ371" i="3" s="1"/>
  <c r="BK371" i="3" s="1"/>
  <c r="BG371" i="3"/>
  <c r="BH371" i="3" s="1"/>
  <c r="BI371" i="3" s="1"/>
  <c r="AV373" i="3"/>
  <c r="BQ372" i="3"/>
  <c r="BC372" i="3"/>
  <c r="AG375" i="3"/>
  <c r="AX374" i="3"/>
  <c r="BA373" i="3"/>
  <c r="AY373" i="3"/>
  <c r="Y375" i="3"/>
  <c r="Z375" i="3" s="1"/>
  <c r="X375" i="3"/>
  <c r="AH375" i="3"/>
  <c r="AT374" i="3"/>
  <c r="AN375" i="3"/>
  <c r="AO375" i="3"/>
  <c r="A377" i="3"/>
  <c r="B376" i="3"/>
  <c r="AR376" i="3"/>
  <c r="AQ376" i="3"/>
  <c r="D376" i="3"/>
  <c r="T376" i="3"/>
  <c r="AM376" i="3"/>
  <c r="AK376" i="3"/>
  <c r="S376" i="3"/>
  <c r="R376" i="3"/>
  <c r="AD376" i="3"/>
  <c r="P376" i="3"/>
  <c r="M376" i="3"/>
  <c r="AE376" i="3"/>
  <c r="O376" i="3"/>
  <c r="AF376" i="3"/>
  <c r="U376" i="3"/>
  <c r="V376" i="3"/>
  <c r="Q376" i="3"/>
  <c r="C376" i="3"/>
  <c r="F376" i="3"/>
  <c r="G376" i="3"/>
  <c r="H376" i="3" s="1"/>
  <c r="AU374" i="3"/>
  <c r="AW374" i="3"/>
  <c r="AU375" i="3" l="1"/>
  <c r="BC373" i="3"/>
  <c r="BG373" i="3" s="1"/>
  <c r="BH373" i="3" s="1"/>
  <c r="BI373" i="3" s="1"/>
  <c r="BG372" i="3"/>
  <c r="BH372" i="3" s="1"/>
  <c r="BI372" i="3" s="1"/>
  <c r="BD372" i="3"/>
  <c r="BN376" i="3"/>
  <c r="BM376" i="3"/>
  <c r="AY374" i="3"/>
  <c r="AW375" i="3"/>
  <c r="AN376" i="3"/>
  <c r="AV374" i="3"/>
  <c r="BA374" i="3"/>
  <c r="BF373" i="3"/>
  <c r="BJ372" i="3" s="1"/>
  <c r="BK372" i="3" s="1"/>
  <c r="BB373" i="3"/>
  <c r="BQ373" i="3"/>
  <c r="X376" i="3"/>
  <c r="AG376" i="3"/>
  <c r="AO376" i="3"/>
  <c r="AX375" i="3"/>
  <c r="Y376" i="3"/>
  <c r="Z376" i="3" s="1"/>
  <c r="AR377" i="3"/>
  <c r="B377" i="3"/>
  <c r="AQ377" i="3"/>
  <c r="A378" i="3"/>
  <c r="S377" i="3"/>
  <c r="C377" i="3"/>
  <c r="AK377" i="3"/>
  <c r="AM377" i="3"/>
  <c r="T377" i="3"/>
  <c r="Q377" i="3"/>
  <c r="AD377" i="3"/>
  <c r="P377" i="3"/>
  <c r="O377" i="3"/>
  <c r="AE377" i="3"/>
  <c r="M377" i="3"/>
  <c r="U377" i="3"/>
  <c r="V377" i="3"/>
  <c r="AF377" i="3"/>
  <c r="G377" i="3"/>
  <c r="H377" i="3" s="1"/>
  <c r="R377" i="3"/>
  <c r="D377" i="3"/>
  <c r="F377" i="3"/>
  <c r="AH376" i="3"/>
  <c r="AT375" i="3"/>
  <c r="BD373" i="3" l="1"/>
  <c r="BM377" i="3"/>
  <c r="BC374" i="3"/>
  <c r="BD374" i="3" s="1"/>
  <c r="AY375" i="3"/>
  <c r="AO377" i="3"/>
  <c r="AH377" i="3"/>
  <c r="AU376" i="3"/>
  <c r="AX376" i="3"/>
  <c r="Y377" i="3"/>
  <c r="Z377" i="3" s="1"/>
  <c r="AT376" i="3"/>
  <c r="BN377" i="3"/>
  <c r="AV375" i="3"/>
  <c r="BA375" i="3"/>
  <c r="AR378" i="3"/>
  <c r="B378" i="3"/>
  <c r="AQ378" i="3"/>
  <c r="A379" i="3"/>
  <c r="AM378" i="3"/>
  <c r="AK378" i="3"/>
  <c r="Q378" i="3"/>
  <c r="T378" i="3"/>
  <c r="S378" i="3"/>
  <c r="P378" i="3"/>
  <c r="R378" i="3"/>
  <c r="AD378" i="3"/>
  <c r="M378" i="3"/>
  <c r="O378" i="3"/>
  <c r="AE378" i="3"/>
  <c r="AF378" i="3"/>
  <c r="V378" i="3"/>
  <c r="U378" i="3"/>
  <c r="C378" i="3"/>
  <c r="D378" i="3"/>
  <c r="G378" i="3"/>
  <c r="H378" i="3" s="1"/>
  <c r="F378" i="3"/>
  <c r="BB374" i="3"/>
  <c r="BF374" i="3"/>
  <c r="BJ373" i="3" s="1"/>
  <c r="BK373" i="3" s="1"/>
  <c r="BQ374" i="3"/>
  <c r="AG377" i="3"/>
  <c r="AN377" i="3"/>
  <c r="X377" i="3"/>
  <c r="AW376" i="3"/>
  <c r="BC375" i="3" l="1"/>
  <c r="BG375" i="3" s="1"/>
  <c r="BH375" i="3" s="1"/>
  <c r="BI375" i="3" s="1"/>
  <c r="AY376" i="3"/>
  <c r="BG374" i="3"/>
  <c r="BH374" i="3" s="1"/>
  <c r="BI374" i="3" s="1"/>
  <c r="AN378" i="3"/>
  <c r="BN378" i="3"/>
  <c r="AW377" i="3"/>
  <c r="AX377" i="3"/>
  <c r="AG378" i="3"/>
  <c r="X378" i="3"/>
  <c r="Y378" i="3"/>
  <c r="Z378" i="3" s="1"/>
  <c r="AQ379" i="3"/>
  <c r="B379" i="3"/>
  <c r="A380" i="3"/>
  <c r="AR379" i="3"/>
  <c r="C379" i="3"/>
  <c r="AK379" i="3"/>
  <c r="S379" i="3"/>
  <c r="AM379" i="3"/>
  <c r="R379" i="3"/>
  <c r="Q379" i="3"/>
  <c r="AD379" i="3"/>
  <c r="P379" i="3"/>
  <c r="M379" i="3"/>
  <c r="AE379" i="3"/>
  <c r="O379" i="3"/>
  <c r="AF379" i="3"/>
  <c r="U379" i="3"/>
  <c r="V379" i="3"/>
  <c r="D379" i="3"/>
  <c r="G379" i="3"/>
  <c r="H379" i="3" s="1"/>
  <c r="F379" i="3"/>
  <c r="T379" i="3"/>
  <c r="BQ375" i="3"/>
  <c r="BB375" i="3"/>
  <c r="BF375" i="3"/>
  <c r="BJ374" i="3" s="1"/>
  <c r="BK374" i="3" s="1"/>
  <c r="BA376" i="3"/>
  <c r="AV376" i="3"/>
  <c r="BM378" i="3"/>
  <c r="AH378" i="3"/>
  <c r="AO378" i="3"/>
  <c r="AT377" i="3"/>
  <c r="AU377" i="3"/>
  <c r="BD375" i="3" l="1"/>
  <c r="BM379" i="3"/>
  <c r="BC376" i="3"/>
  <c r="BG376" i="3" s="1"/>
  <c r="BH376" i="3" s="1"/>
  <c r="BI376" i="3" s="1"/>
  <c r="AN379" i="3"/>
  <c r="AY377" i="3"/>
  <c r="AW378" i="3"/>
  <c r="AX378" i="3"/>
  <c r="AT378" i="3"/>
  <c r="AV377" i="3"/>
  <c r="BA377" i="3"/>
  <c r="A381" i="3"/>
  <c r="B380" i="3"/>
  <c r="AR380" i="3"/>
  <c r="AQ380" i="3"/>
  <c r="D380" i="3"/>
  <c r="AM380" i="3"/>
  <c r="T380" i="3"/>
  <c r="AK380" i="3"/>
  <c r="Q380" i="3"/>
  <c r="S380" i="3"/>
  <c r="AD380" i="3"/>
  <c r="P380" i="3"/>
  <c r="AE380" i="3"/>
  <c r="M380" i="3"/>
  <c r="AF380" i="3"/>
  <c r="V380" i="3"/>
  <c r="O380" i="3"/>
  <c r="U380" i="3"/>
  <c r="C380" i="3"/>
  <c r="F380" i="3"/>
  <c r="R380" i="3"/>
  <c r="G380" i="3"/>
  <c r="H380" i="3" s="1"/>
  <c r="X379" i="3"/>
  <c r="BB376" i="3"/>
  <c r="BQ376" i="3"/>
  <c r="BF376" i="3"/>
  <c r="BJ375" i="3" s="1"/>
  <c r="BK375" i="3" s="1"/>
  <c r="AU378" i="3"/>
  <c r="Y379" i="3"/>
  <c r="Z379" i="3" s="1"/>
  <c r="BN379" i="3"/>
  <c r="AH379" i="3"/>
  <c r="AG379" i="3"/>
  <c r="AO379" i="3"/>
  <c r="BD376" i="3" l="1"/>
  <c r="AO380" i="3"/>
  <c r="BC377" i="3"/>
  <c r="BG377" i="3" s="1"/>
  <c r="BH377" i="3" s="1"/>
  <c r="BI377" i="3" s="1"/>
  <c r="AH380" i="3"/>
  <c r="BN380" i="3"/>
  <c r="BM380" i="3"/>
  <c r="AV378" i="3"/>
  <c r="AY378" i="3"/>
  <c r="Y380" i="3"/>
  <c r="Z380" i="3" s="1"/>
  <c r="AR381" i="3"/>
  <c r="B381" i="3"/>
  <c r="AQ381" i="3"/>
  <c r="A382" i="3"/>
  <c r="AM381" i="3"/>
  <c r="Q381" i="3"/>
  <c r="C381" i="3"/>
  <c r="AK381" i="3"/>
  <c r="R381" i="3"/>
  <c r="S381" i="3"/>
  <c r="AD381" i="3"/>
  <c r="P381" i="3"/>
  <c r="O381" i="3"/>
  <c r="M381" i="3"/>
  <c r="AF381" i="3"/>
  <c r="U381" i="3"/>
  <c r="AE381" i="3"/>
  <c r="V381" i="3"/>
  <c r="D381" i="3"/>
  <c r="F381" i="3"/>
  <c r="G381" i="3"/>
  <c r="H381" i="3" s="1"/>
  <c r="T381" i="3"/>
  <c r="AX379" i="3"/>
  <c r="BA378" i="3"/>
  <c r="AU379" i="3"/>
  <c r="AT379" i="3"/>
  <c r="AW379" i="3"/>
  <c r="X380" i="3"/>
  <c r="AG380" i="3"/>
  <c r="BB377" i="3"/>
  <c r="BQ377" i="3"/>
  <c r="BF377" i="3"/>
  <c r="BJ376" i="3" s="1"/>
  <c r="BK376" i="3" s="1"/>
  <c r="AN380" i="3"/>
  <c r="BN381" i="3" l="1"/>
  <c r="BD377" i="3"/>
  <c r="AT380" i="3"/>
  <c r="AG381" i="3"/>
  <c r="AN381" i="3"/>
  <c r="BM381" i="3"/>
  <c r="AY379" i="3"/>
  <c r="BC378" i="3"/>
  <c r="BD378" i="3" s="1"/>
  <c r="AU380" i="3"/>
  <c r="AX380" i="3"/>
  <c r="AH381" i="3"/>
  <c r="X381" i="3"/>
  <c r="AV379" i="3"/>
  <c r="BA379" i="3"/>
  <c r="BB378" i="3"/>
  <c r="BQ378" i="3"/>
  <c r="BF378" i="3"/>
  <c r="BJ377" i="3" s="1"/>
  <c r="BK377" i="3" s="1"/>
  <c r="AR382" i="3"/>
  <c r="B382" i="3"/>
  <c r="AQ382" i="3"/>
  <c r="A383" i="3"/>
  <c r="C382" i="3"/>
  <c r="D382" i="3"/>
  <c r="AK382" i="3"/>
  <c r="S382" i="3"/>
  <c r="R382" i="3"/>
  <c r="AM382" i="3"/>
  <c r="AD382" i="3"/>
  <c r="P382" i="3"/>
  <c r="O382" i="3"/>
  <c r="AE382" i="3"/>
  <c r="U382" i="3"/>
  <c r="AF382" i="3"/>
  <c r="M382" i="3"/>
  <c r="V382" i="3"/>
  <c r="Q382" i="3"/>
  <c r="G382" i="3"/>
  <c r="H382" i="3" s="1"/>
  <c r="F382" i="3"/>
  <c r="T382" i="3"/>
  <c r="AW380" i="3"/>
  <c r="Y381" i="3"/>
  <c r="Z381" i="3" s="1"/>
  <c r="AO381" i="3"/>
  <c r="BN382" i="3" l="1"/>
  <c r="AY380" i="3"/>
  <c r="AV380" i="3"/>
  <c r="BC379" i="3"/>
  <c r="BG379" i="3" s="1"/>
  <c r="BH379" i="3" s="1"/>
  <c r="BI379" i="3" s="1"/>
  <c r="AU381" i="3"/>
  <c r="AO382" i="3"/>
  <c r="BG378" i="3"/>
  <c r="BH378" i="3" s="1"/>
  <c r="BI378" i="3" s="1"/>
  <c r="AN382" i="3"/>
  <c r="Y382" i="3"/>
  <c r="Z382" i="3" s="1"/>
  <c r="AQ383" i="3"/>
  <c r="B383" i="3"/>
  <c r="A384" i="3"/>
  <c r="AR383" i="3"/>
  <c r="Q383" i="3"/>
  <c r="AK383" i="3"/>
  <c r="AM383" i="3"/>
  <c r="S383" i="3"/>
  <c r="AD383" i="3"/>
  <c r="O383" i="3"/>
  <c r="P383" i="3"/>
  <c r="M383" i="3"/>
  <c r="AE383" i="3"/>
  <c r="AF383" i="3"/>
  <c r="V383" i="3"/>
  <c r="U383" i="3"/>
  <c r="D383" i="3"/>
  <c r="F383" i="3"/>
  <c r="R383" i="3"/>
  <c r="C383" i="3"/>
  <c r="G383" i="3"/>
  <c r="H383" i="3" s="1"/>
  <c r="BN383" i="3" s="1"/>
  <c r="T383" i="3"/>
  <c r="AG382" i="3"/>
  <c r="BA380" i="3"/>
  <c r="AX381" i="3"/>
  <c r="X382" i="3"/>
  <c r="BM382" i="3"/>
  <c r="BQ379" i="3"/>
  <c r="BF379" i="3"/>
  <c r="BJ378" i="3" s="1"/>
  <c r="BK378" i="3" s="1"/>
  <c r="BB379" i="3"/>
  <c r="AH382" i="3"/>
  <c r="AT381" i="3"/>
  <c r="AW381" i="3"/>
  <c r="BC380" i="3" l="1"/>
  <c r="BD380" i="3" s="1"/>
  <c r="BD379" i="3"/>
  <c r="AX382" i="3"/>
  <c r="AN383" i="3"/>
  <c r="AG383" i="3"/>
  <c r="X383" i="3"/>
  <c r="AT382" i="3"/>
  <c r="AU382" i="3"/>
  <c r="AY381" i="3"/>
  <c r="BB380" i="3"/>
  <c r="BF380" i="3"/>
  <c r="BJ379" i="3" s="1"/>
  <c r="BK379" i="3" s="1"/>
  <c r="BQ380" i="3"/>
  <c r="A385" i="3"/>
  <c r="B384" i="3"/>
  <c r="AR384" i="3"/>
  <c r="AQ384" i="3"/>
  <c r="D384" i="3"/>
  <c r="AK384" i="3"/>
  <c r="AM384" i="3"/>
  <c r="S384" i="3"/>
  <c r="R384" i="3"/>
  <c r="Q384" i="3"/>
  <c r="AD384" i="3"/>
  <c r="P384" i="3"/>
  <c r="M384" i="3"/>
  <c r="O384" i="3"/>
  <c r="AE384" i="3"/>
  <c r="AF384" i="3"/>
  <c r="V384" i="3"/>
  <c r="U384" i="3"/>
  <c r="F384" i="3"/>
  <c r="C384" i="3"/>
  <c r="G384" i="3"/>
  <c r="H384" i="3" s="1"/>
  <c r="T384" i="3"/>
  <c r="AW382" i="3"/>
  <c r="AH383" i="3"/>
  <c r="AV381" i="3"/>
  <c r="BA381" i="3"/>
  <c r="Y383" i="3"/>
  <c r="Z383" i="3" s="1"/>
  <c r="BM383" i="3"/>
  <c r="AO383" i="3"/>
  <c r="BN384" i="3" l="1"/>
  <c r="BG380" i="3"/>
  <c r="BH380" i="3" s="1"/>
  <c r="BI380" i="3" s="1"/>
  <c r="BC381" i="3"/>
  <c r="BG381" i="3" s="1"/>
  <c r="BH381" i="3" s="1"/>
  <c r="BI381" i="3" s="1"/>
  <c r="AY382" i="3"/>
  <c r="BM384" i="3"/>
  <c r="AN384" i="3"/>
  <c r="AG384" i="3"/>
  <c r="AV382" i="3"/>
  <c r="AW383" i="3"/>
  <c r="BA382" i="3"/>
  <c r="BQ382" i="3" s="1"/>
  <c r="BB381" i="3"/>
  <c r="BQ381" i="3"/>
  <c r="BF381" i="3"/>
  <c r="BJ380" i="3" s="1"/>
  <c r="BK380" i="3" s="1"/>
  <c r="AT383" i="3"/>
  <c r="AU383" i="3"/>
  <c r="Y384" i="3"/>
  <c r="Z384" i="3" s="1"/>
  <c r="X384" i="3"/>
  <c r="AO384" i="3"/>
  <c r="AR385" i="3"/>
  <c r="B385" i="3"/>
  <c r="AQ385" i="3"/>
  <c r="A386" i="3"/>
  <c r="AM385" i="3"/>
  <c r="T385" i="3"/>
  <c r="S385" i="3"/>
  <c r="Q385" i="3"/>
  <c r="AK385" i="3"/>
  <c r="AD385" i="3"/>
  <c r="R385" i="3"/>
  <c r="P385" i="3"/>
  <c r="O385" i="3"/>
  <c r="AE385" i="3"/>
  <c r="M385" i="3"/>
  <c r="U385" i="3"/>
  <c r="AF385" i="3"/>
  <c r="V385" i="3"/>
  <c r="D385" i="3"/>
  <c r="F385" i="3"/>
  <c r="C385" i="3"/>
  <c r="G385" i="3"/>
  <c r="H385" i="3" s="1"/>
  <c r="AX383" i="3"/>
  <c r="AH384" i="3"/>
  <c r="BD381" i="3" l="1"/>
  <c r="AO385" i="3"/>
  <c r="BC382" i="3"/>
  <c r="BG382" i="3" s="1"/>
  <c r="BH382" i="3" s="1"/>
  <c r="BI382" i="3" s="1"/>
  <c r="AY383" i="3"/>
  <c r="AX384" i="3"/>
  <c r="AH385" i="3"/>
  <c r="AV383" i="3"/>
  <c r="X385" i="3"/>
  <c r="BF382" i="3"/>
  <c r="BJ381" i="3" s="1"/>
  <c r="BK381" i="3" s="1"/>
  <c r="BB382" i="3"/>
  <c r="Y385" i="3"/>
  <c r="Z385" i="3" s="1"/>
  <c r="AR386" i="3"/>
  <c r="B386" i="3"/>
  <c r="AQ386" i="3"/>
  <c r="A387" i="3"/>
  <c r="C386" i="3"/>
  <c r="D386" i="3"/>
  <c r="AM386" i="3"/>
  <c r="S386" i="3"/>
  <c r="AK386" i="3"/>
  <c r="R386" i="3"/>
  <c r="AD386" i="3"/>
  <c r="Q386" i="3"/>
  <c r="P386" i="3"/>
  <c r="O386" i="3"/>
  <c r="AE386" i="3"/>
  <c r="M386" i="3"/>
  <c r="U386" i="3"/>
  <c r="AF386" i="3"/>
  <c r="V386" i="3"/>
  <c r="G386" i="3"/>
  <c r="H386" i="3" s="1"/>
  <c r="F386" i="3"/>
  <c r="T386" i="3"/>
  <c r="AT384" i="3"/>
  <c r="AW384" i="3"/>
  <c r="BN385" i="3"/>
  <c r="BM385" i="3"/>
  <c r="AG385" i="3"/>
  <c r="AU384" i="3"/>
  <c r="AN385" i="3"/>
  <c r="BA383" i="3"/>
  <c r="BC383" i="3" l="1"/>
  <c r="BD383" i="3" s="1"/>
  <c r="BD382" i="3"/>
  <c r="BN386" i="3"/>
  <c r="BM386" i="3"/>
  <c r="AO386" i="3"/>
  <c r="AY384" i="3"/>
  <c r="AX385" i="3"/>
  <c r="AG386" i="3"/>
  <c r="AV384" i="3"/>
  <c r="AT385" i="3"/>
  <c r="AH386" i="3"/>
  <c r="AN386" i="3"/>
  <c r="X386" i="3"/>
  <c r="BB383" i="3"/>
  <c r="BF383" i="3"/>
  <c r="BJ382" i="3" s="1"/>
  <c r="BK382" i="3" s="1"/>
  <c r="BQ383" i="3"/>
  <c r="AQ387" i="3"/>
  <c r="B387" i="3"/>
  <c r="A388" i="3"/>
  <c r="AR387" i="3"/>
  <c r="D387" i="3"/>
  <c r="S387" i="3"/>
  <c r="AK387" i="3"/>
  <c r="AM387" i="3"/>
  <c r="T387" i="3"/>
  <c r="R387" i="3"/>
  <c r="Q387" i="3"/>
  <c r="AD387" i="3"/>
  <c r="P387" i="3"/>
  <c r="O387" i="3"/>
  <c r="M387" i="3"/>
  <c r="AF387" i="3"/>
  <c r="V387" i="3"/>
  <c r="U387" i="3"/>
  <c r="AE387" i="3"/>
  <c r="C387" i="3"/>
  <c r="G387" i="3"/>
  <c r="H387" i="3" s="1"/>
  <c r="F387" i="3"/>
  <c r="AW385" i="3"/>
  <c r="AU385" i="3"/>
  <c r="BA384" i="3"/>
  <c r="Y386" i="3"/>
  <c r="Z386" i="3" s="1"/>
  <c r="BG383" i="3" l="1"/>
  <c r="BH383" i="3" s="1"/>
  <c r="BI383" i="3" s="1"/>
  <c r="BM387" i="3"/>
  <c r="AY385" i="3"/>
  <c r="BN387" i="3"/>
  <c r="BC384" i="3"/>
  <c r="BG384" i="3" s="1"/>
  <c r="BH384" i="3" s="1"/>
  <c r="BI384" i="3" s="1"/>
  <c r="AN387" i="3"/>
  <c r="BA385" i="3"/>
  <c r="BF385" i="3" s="1"/>
  <c r="AU386" i="3"/>
  <c r="AX386" i="3"/>
  <c r="BB384" i="3"/>
  <c r="BF384" i="3"/>
  <c r="BJ383" i="3" s="1"/>
  <c r="BK383" i="3" s="1"/>
  <c r="BQ384" i="3"/>
  <c r="Y387" i="3"/>
  <c r="Z387" i="3" s="1"/>
  <c r="A389" i="3"/>
  <c r="B388" i="3"/>
  <c r="AR388" i="3"/>
  <c r="AQ388" i="3"/>
  <c r="AK388" i="3"/>
  <c r="AM388" i="3"/>
  <c r="T388" i="3"/>
  <c r="R388" i="3"/>
  <c r="Q388" i="3"/>
  <c r="AD388" i="3"/>
  <c r="P388" i="3"/>
  <c r="O388" i="3"/>
  <c r="M388" i="3"/>
  <c r="AF388" i="3"/>
  <c r="V388" i="3"/>
  <c r="AE388" i="3"/>
  <c r="U388" i="3"/>
  <c r="D388" i="3"/>
  <c r="F388" i="3"/>
  <c r="G388" i="3"/>
  <c r="H388" i="3" s="1"/>
  <c r="C388" i="3"/>
  <c r="S388" i="3"/>
  <c r="X387" i="3"/>
  <c r="AH387" i="3"/>
  <c r="AV385" i="3"/>
  <c r="AG387" i="3"/>
  <c r="AO387" i="3"/>
  <c r="AT386" i="3"/>
  <c r="AW386" i="3"/>
  <c r="BN388" i="3" l="1"/>
  <c r="BC385" i="3"/>
  <c r="BG385" i="3" s="1"/>
  <c r="BH385" i="3" s="1"/>
  <c r="BI385" i="3" s="1"/>
  <c r="BD384" i="3"/>
  <c r="AN388" i="3"/>
  <c r="AG388" i="3"/>
  <c r="BQ385" i="3"/>
  <c r="X388" i="3"/>
  <c r="BB385" i="3"/>
  <c r="AY386" i="3"/>
  <c r="AV386" i="3"/>
  <c r="BA386" i="3"/>
  <c r="AR389" i="3"/>
  <c r="B389" i="3"/>
  <c r="AQ389" i="3"/>
  <c r="A390" i="3"/>
  <c r="D389" i="3"/>
  <c r="C389" i="3"/>
  <c r="AK389" i="3"/>
  <c r="S389" i="3"/>
  <c r="Q389" i="3"/>
  <c r="R389" i="3"/>
  <c r="AM389" i="3"/>
  <c r="AD389" i="3"/>
  <c r="P389" i="3"/>
  <c r="O389" i="3"/>
  <c r="AE389" i="3"/>
  <c r="U389" i="3"/>
  <c r="M389" i="3"/>
  <c r="AF389" i="3"/>
  <c r="V389" i="3"/>
  <c r="F389" i="3"/>
  <c r="G389" i="3"/>
  <c r="H389" i="3" s="1"/>
  <c r="BN389" i="3" s="1"/>
  <c r="T389" i="3"/>
  <c r="AX387" i="3"/>
  <c r="AH388" i="3"/>
  <c r="AU387" i="3"/>
  <c r="AW387" i="3"/>
  <c r="AT387" i="3"/>
  <c r="BM388" i="3"/>
  <c r="AO388" i="3"/>
  <c r="BJ384" i="3"/>
  <c r="BK384" i="3" s="1"/>
  <c r="Y388" i="3"/>
  <c r="Z388" i="3" s="1"/>
  <c r="BD385" i="3" l="1"/>
  <c r="BM389" i="3"/>
  <c r="AY387" i="3"/>
  <c r="BC386" i="3"/>
  <c r="BG386" i="3" s="1"/>
  <c r="BH386" i="3" s="1"/>
  <c r="BI386" i="3" s="1"/>
  <c r="AG389" i="3"/>
  <c r="AT388" i="3"/>
  <c r="AX388" i="3"/>
  <c r="AN389" i="3"/>
  <c r="AO389" i="3"/>
  <c r="BA387" i="3"/>
  <c r="AV387" i="3"/>
  <c r="AR390" i="3"/>
  <c r="B390" i="3"/>
  <c r="AQ390" i="3"/>
  <c r="A391" i="3"/>
  <c r="AK390" i="3"/>
  <c r="T390" i="3"/>
  <c r="AM390" i="3"/>
  <c r="S390" i="3"/>
  <c r="Q390" i="3"/>
  <c r="R390" i="3"/>
  <c r="AD390" i="3"/>
  <c r="P390" i="3"/>
  <c r="O390" i="3"/>
  <c r="AF390" i="3"/>
  <c r="U390" i="3"/>
  <c r="M390" i="3"/>
  <c r="AE390" i="3"/>
  <c r="V390" i="3"/>
  <c r="D390" i="3"/>
  <c r="C390" i="3"/>
  <c r="G390" i="3"/>
  <c r="H390" i="3" s="1"/>
  <c r="F390" i="3"/>
  <c r="BQ386" i="3"/>
  <c r="BB386" i="3"/>
  <c r="BF386" i="3"/>
  <c r="BJ385" i="3" s="1"/>
  <c r="BK385" i="3" s="1"/>
  <c r="AU388" i="3"/>
  <c r="AW388" i="3"/>
  <c r="Y389" i="3"/>
  <c r="Z389" i="3" s="1"/>
  <c r="AH389" i="3"/>
  <c r="X389" i="3"/>
  <c r="BM390" i="3" l="1"/>
  <c r="BN390" i="3"/>
  <c r="AN390" i="3"/>
  <c r="BD386" i="3"/>
  <c r="AG390" i="3"/>
  <c r="AX389" i="3"/>
  <c r="BC387" i="3"/>
  <c r="BD387" i="3" s="1"/>
  <c r="AY388" i="3"/>
  <c r="Y390" i="3"/>
  <c r="Z390" i="3" s="1"/>
  <c r="BB387" i="3"/>
  <c r="BF387" i="3"/>
  <c r="BJ386" i="3" s="1"/>
  <c r="BK386" i="3" s="1"/>
  <c r="BQ387" i="3"/>
  <c r="BA388" i="3"/>
  <c r="AV388" i="3"/>
  <c r="AH390" i="3"/>
  <c r="AO390" i="3"/>
  <c r="AU389" i="3"/>
  <c r="AW389" i="3"/>
  <c r="AQ391" i="3"/>
  <c r="B391" i="3"/>
  <c r="A392" i="3"/>
  <c r="AR391" i="3"/>
  <c r="C391" i="3"/>
  <c r="AM391" i="3"/>
  <c r="AK391" i="3"/>
  <c r="S391" i="3"/>
  <c r="R391" i="3"/>
  <c r="AD391" i="3"/>
  <c r="P391" i="3"/>
  <c r="Q391" i="3"/>
  <c r="O391" i="3"/>
  <c r="M391" i="3"/>
  <c r="AE391" i="3"/>
  <c r="V391" i="3"/>
  <c r="U391" i="3"/>
  <c r="AF391" i="3"/>
  <c r="D391" i="3"/>
  <c r="F391" i="3"/>
  <c r="G391" i="3"/>
  <c r="H391" i="3" s="1"/>
  <c r="T391" i="3"/>
  <c r="X390" i="3"/>
  <c r="AT389" i="3"/>
  <c r="BN391" i="3" l="1"/>
  <c r="AT390" i="3"/>
  <c r="AU390" i="3"/>
  <c r="BC388" i="3"/>
  <c r="BG388" i="3" s="1"/>
  <c r="BH388" i="3" s="1"/>
  <c r="BI388" i="3" s="1"/>
  <c r="AY389" i="3"/>
  <c r="BG387" i="3"/>
  <c r="BH387" i="3" s="1"/>
  <c r="BI387" i="3" s="1"/>
  <c r="BM391" i="3"/>
  <c r="AN391" i="3"/>
  <c r="AW390" i="3"/>
  <c r="Y391" i="3"/>
  <c r="Z391" i="3" s="1"/>
  <c r="BA389" i="3"/>
  <c r="AV389" i="3"/>
  <c r="A393" i="3"/>
  <c r="B392" i="3"/>
  <c r="AR392" i="3"/>
  <c r="AQ392" i="3"/>
  <c r="R392" i="3"/>
  <c r="AK392" i="3"/>
  <c r="C392" i="3"/>
  <c r="AM392" i="3"/>
  <c r="S392" i="3"/>
  <c r="Q392" i="3"/>
  <c r="AD392" i="3"/>
  <c r="P392" i="3"/>
  <c r="O392" i="3"/>
  <c r="M392" i="3"/>
  <c r="AF392" i="3"/>
  <c r="AE392" i="3"/>
  <c r="U392" i="3"/>
  <c r="V392" i="3"/>
  <c r="G392" i="3"/>
  <c r="H392" i="3" s="1"/>
  <c r="D392" i="3"/>
  <c r="F392" i="3"/>
  <c r="T392" i="3"/>
  <c r="AG391" i="3"/>
  <c r="AO391" i="3"/>
  <c r="X391" i="3"/>
  <c r="AX390" i="3"/>
  <c r="BQ388" i="3"/>
  <c r="BB388" i="3"/>
  <c r="BF388" i="3"/>
  <c r="BJ387" i="3" s="1"/>
  <c r="BK387" i="3" s="1"/>
  <c r="AH391" i="3"/>
  <c r="BM392" i="3" l="1"/>
  <c r="BD388" i="3"/>
  <c r="BC389" i="3"/>
  <c r="BG389" i="3" s="1"/>
  <c r="BH389" i="3" s="1"/>
  <c r="BI389" i="3" s="1"/>
  <c r="AV390" i="3"/>
  <c r="AY390" i="3"/>
  <c r="AU391" i="3"/>
  <c r="BN392" i="3"/>
  <c r="AT391" i="3"/>
  <c r="AO392" i="3"/>
  <c r="AN392" i="3"/>
  <c r="AX391" i="3"/>
  <c r="AW391" i="3"/>
  <c r="Y392" i="3"/>
  <c r="Z392" i="3" s="1"/>
  <c r="AG392" i="3"/>
  <c r="BA390" i="3"/>
  <c r="A394" i="3"/>
  <c r="B393" i="3"/>
  <c r="AR393" i="3"/>
  <c r="AQ393" i="3"/>
  <c r="D393" i="3"/>
  <c r="AK393" i="3"/>
  <c r="AM393" i="3"/>
  <c r="S393" i="3"/>
  <c r="R393" i="3"/>
  <c r="Q393" i="3"/>
  <c r="AD393" i="3"/>
  <c r="P393" i="3"/>
  <c r="AF393" i="3"/>
  <c r="M393" i="3"/>
  <c r="O393" i="3"/>
  <c r="AE393" i="3"/>
  <c r="U393" i="3"/>
  <c r="V393" i="3"/>
  <c r="C393" i="3"/>
  <c r="F393" i="3"/>
  <c r="G393" i="3"/>
  <c r="H393" i="3" s="1"/>
  <c r="T393" i="3"/>
  <c r="BQ389" i="3"/>
  <c r="BF389" i="3"/>
  <c r="BJ388" i="3" s="1"/>
  <c r="BK388" i="3" s="1"/>
  <c r="BB389" i="3"/>
  <c r="AH392" i="3"/>
  <c r="X392" i="3"/>
  <c r="BN393" i="3" l="1"/>
  <c r="BD389" i="3"/>
  <c r="BC390" i="3"/>
  <c r="BD390" i="3" s="1"/>
  <c r="AV391" i="3"/>
  <c r="AN393" i="3"/>
  <c r="AH393" i="3"/>
  <c r="AT392" i="3"/>
  <c r="AX392" i="3"/>
  <c r="X393" i="3"/>
  <c r="AY391" i="3"/>
  <c r="BF390" i="3"/>
  <c r="BJ389" i="3" s="1"/>
  <c r="BK389" i="3" s="1"/>
  <c r="BB390" i="3"/>
  <c r="BQ390" i="3"/>
  <c r="Y393" i="3"/>
  <c r="Z393" i="3" s="1"/>
  <c r="BM393" i="3"/>
  <c r="AG393" i="3"/>
  <c r="AO393" i="3"/>
  <c r="AW392" i="3"/>
  <c r="AQ394" i="3"/>
  <c r="B394" i="3"/>
  <c r="A395" i="3"/>
  <c r="AR394" i="3"/>
  <c r="AM394" i="3"/>
  <c r="S394" i="3"/>
  <c r="R394" i="3"/>
  <c r="D394" i="3"/>
  <c r="AK394" i="3"/>
  <c r="Q394" i="3"/>
  <c r="AD394" i="3"/>
  <c r="P394" i="3"/>
  <c r="AE394" i="3"/>
  <c r="M394" i="3"/>
  <c r="AF394" i="3"/>
  <c r="V394" i="3"/>
  <c r="O394" i="3"/>
  <c r="U394" i="3"/>
  <c r="G394" i="3"/>
  <c r="H394" i="3" s="1"/>
  <c r="C394" i="3"/>
  <c r="F394" i="3"/>
  <c r="T394" i="3"/>
  <c r="AU392" i="3"/>
  <c r="BA391" i="3"/>
  <c r="AU393" i="3" l="1"/>
  <c r="AO394" i="3"/>
  <c r="BG390" i="3"/>
  <c r="BH390" i="3" s="1"/>
  <c r="BI390" i="3" s="1"/>
  <c r="BC391" i="3"/>
  <c r="BG391" i="3" s="1"/>
  <c r="BH391" i="3" s="1"/>
  <c r="BI391" i="3" s="1"/>
  <c r="AX393" i="3"/>
  <c r="AT393" i="3"/>
  <c r="BM394" i="3"/>
  <c r="BN394" i="3"/>
  <c r="AW393" i="3"/>
  <c r="BA392" i="3"/>
  <c r="BF392" i="3" s="1"/>
  <c r="AY392" i="3"/>
  <c r="BQ391" i="3"/>
  <c r="BF391" i="3"/>
  <c r="BJ390" i="3" s="1"/>
  <c r="BK390" i="3" s="1"/>
  <c r="BB391" i="3"/>
  <c r="Y394" i="3"/>
  <c r="Z394" i="3" s="1"/>
  <c r="X394" i="3"/>
  <c r="AV392" i="3"/>
  <c r="A396" i="3"/>
  <c r="B395" i="3"/>
  <c r="AR395" i="3"/>
  <c r="AQ395" i="3"/>
  <c r="T395" i="3"/>
  <c r="R395" i="3"/>
  <c r="AM395" i="3"/>
  <c r="AK395" i="3"/>
  <c r="S395" i="3"/>
  <c r="Q395" i="3"/>
  <c r="AD395" i="3"/>
  <c r="O395" i="3"/>
  <c r="AE395" i="3"/>
  <c r="M395" i="3"/>
  <c r="V395" i="3"/>
  <c r="AF395" i="3"/>
  <c r="U395" i="3"/>
  <c r="C395" i="3"/>
  <c r="D395" i="3"/>
  <c r="G395" i="3"/>
  <c r="H395" i="3" s="1"/>
  <c r="F395" i="3"/>
  <c r="P395" i="3"/>
  <c r="AG394" i="3"/>
  <c r="AH394" i="3"/>
  <c r="AN394" i="3"/>
  <c r="AV393" i="3" l="1"/>
  <c r="BD391" i="3"/>
  <c r="BA393" i="3"/>
  <c r="BF393" i="3" s="1"/>
  <c r="BJ392" i="3" s="1"/>
  <c r="BK392" i="3" s="1"/>
  <c r="AY393" i="3"/>
  <c r="BQ392" i="3"/>
  <c r="BN395" i="3"/>
  <c r="BB392" i="3"/>
  <c r="AO395" i="3"/>
  <c r="BC392" i="3"/>
  <c r="BG392" i="3" s="1"/>
  <c r="BH392" i="3" s="1"/>
  <c r="BI392" i="3" s="1"/>
  <c r="AX394" i="3"/>
  <c r="BJ391" i="3"/>
  <c r="BK391" i="3" s="1"/>
  <c r="X395" i="3"/>
  <c r="AR396" i="3"/>
  <c r="B396" i="3"/>
  <c r="AQ396" i="3"/>
  <c r="A397" i="3"/>
  <c r="D396" i="3"/>
  <c r="C396" i="3"/>
  <c r="AM396" i="3"/>
  <c r="AK396" i="3"/>
  <c r="R396" i="3"/>
  <c r="S396" i="3"/>
  <c r="Q396" i="3"/>
  <c r="AD396" i="3"/>
  <c r="M396" i="3"/>
  <c r="P396" i="3"/>
  <c r="O396" i="3"/>
  <c r="AF396" i="3"/>
  <c r="AE396" i="3"/>
  <c r="V396" i="3"/>
  <c r="G396" i="3"/>
  <c r="H396" i="3" s="1"/>
  <c r="F396" i="3"/>
  <c r="U396" i="3"/>
  <c r="T396" i="3"/>
  <c r="Y395" i="3"/>
  <c r="Z395" i="3" s="1"/>
  <c r="AW394" i="3"/>
  <c r="BM395" i="3"/>
  <c r="AG395" i="3"/>
  <c r="AH395" i="3"/>
  <c r="AN395" i="3"/>
  <c r="AT394" i="3"/>
  <c r="AU394" i="3"/>
  <c r="BB393" i="3" l="1"/>
  <c r="BN396" i="3"/>
  <c r="BM396" i="3"/>
  <c r="BC393" i="3"/>
  <c r="BD393" i="3" s="1"/>
  <c r="AY394" i="3"/>
  <c r="BQ393" i="3"/>
  <c r="BD392" i="3"/>
  <c r="AN396" i="3"/>
  <c r="AX395" i="3"/>
  <c r="AG396" i="3"/>
  <c r="AU395" i="3"/>
  <c r="AT395" i="3"/>
  <c r="AV394" i="3"/>
  <c r="BA394" i="3"/>
  <c r="AR397" i="3"/>
  <c r="B397" i="3"/>
  <c r="AQ397" i="3"/>
  <c r="A398" i="3"/>
  <c r="C397" i="3"/>
  <c r="AK397" i="3"/>
  <c r="AM397" i="3"/>
  <c r="S397" i="3"/>
  <c r="T397" i="3"/>
  <c r="Q397" i="3"/>
  <c r="R397" i="3"/>
  <c r="AD397" i="3"/>
  <c r="P397" i="3"/>
  <c r="O397" i="3"/>
  <c r="U397" i="3"/>
  <c r="V397" i="3"/>
  <c r="M397" i="3"/>
  <c r="AF397" i="3"/>
  <c r="AE397" i="3"/>
  <c r="G397" i="3"/>
  <c r="H397" i="3" s="1"/>
  <c r="F397" i="3"/>
  <c r="BM397" i="3" s="1"/>
  <c r="D397" i="3"/>
  <c r="AW395" i="3"/>
  <c r="Y396" i="3"/>
  <c r="Z396" i="3" s="1"/>
  <c r="AH396" i="3"/>
  <c r="AO396" i="3"/>
  <c r="X396" i="3"/>
  <c r="BC394" i="3" l="1"/>
  <c r="BD394" i="3" s="1"/>
  <c r="BG393" i="3"/>
  <c r="BH393" i="3" s="1"/>
  <c r="BI393" i="3" s="1"/>
  <c r="AY395" i="3"/>
  <c r="AO397" i="3"/>
  <c r="AW396" i="3"/>
  <c r="AV395" i="3"/>
  <c r="AG397" i="3"/>
  <c r="AN397" i="3"/>
  <c r="X397" i="3"/>
  <c r="AU396" i="3"/>
  <c r="Y397" i="3"/>
  <c r="Z397" i="3" s="1"/>
  <c r="BN397" i="3"/>
  <c r="AQ398" i="3"/>
  <c r="B398" i="3"/>
  <c r="A399" i="3"/>
  <c r="AR398" i="3"/>
  <c r="AK398" i="3"/>
  <c r="S398" i="3"/>
  <c r="AM398" i="3"/>
  <c r="T398" i="3"/>
  <c r="R398" i="3"/>
  <c r="Q398" i="3"/>
  <c r="AD398" i="3"/>
  <c r="P398" i="3"/>
  <c r="O398" i="3"/>
  <c r="AF398" i="3"/>
  <c r="V398" i="3"/>
  <c r="U398" i="3"/>
  <c r="AE398" i="3"/>
  <c r="M398" i="3"/>
  <c r="D398" i="3"/>
  <c r="F398" i="3"/>
  <c r="C398" i="3"/>
  <c r="G398" i="3"/>
  <c r="H398" i="3" s="1"/>
  <c r="BQ394" i="3"/>
  <c r="BF394" i="3"/>
  <c r="BJ393" i="3" s="1"/>
  <c r="BK393" i="3" s="1"/>
  <c r="BB394" i="3"/>
  <c r="AX396" i="3"/>
  <c r="AH397" i="3"/>
  <c r="BA395" i="3"/>
  <c r="AT396" i="3"/>
  <c r="BG394" i="3" l="1"/>
  <c r="BH394" i="3" s="1"/>
  <c r="BI394" i="3" s="1"/>
  <c r="BC395" i="3"/>
  <c r="BG395" i="3" s="1"/>
  <c r="BH395" i="3" s="1"/>
  <c r="BI395" i="3" s="1"/>
  <c r="AN398" i="3"/>
  <c r="AY396" i="3"/>
  <c r="BN398" i="3"/>
  <c r="BM398" i="3"/>
  <c r="AX397" i="3"/>
  <c r="AG398" i="3"/>
  <c r="BQ395" i="3"/>
  <c r="BB395" i="3"/>
  <c r="BF395" i="3"/>
  <c r="BJ394" i="3" s="1"/>
  <c r="BK394" i="3" s="1"/>
  <c r="Y398" i="3"/>
  <c r="Z398" i="3" s="1"/>
  <c r="A400" i="3"/>
  <c r="B399" i="3"/>
  <c r="AR399" i="3"/>
  <c r="AQ399" i="3"/>
  <c r="D399" i="3"/>
  <c r="T399" i="3"/>
  <c r="AM399" i="3"/>
  <c r="AK399" i="3"/>
  <c r="R399" i="3"/>
  <c r="S399" i="3"/>
  <c r="AD399" i="3"/>
  <c r="P399" i="3"/>
  <c r="O399" i="3"/>
  <c r="M399" i="3"/>
  <c r="V399" i="3"/>
  <c r="U399" i="3"/>
  <c r="AF399" i="3"/>
  <c r="AE399" i="3"/>
  <c r="C399" i="3"/>
  <c r="G399" i="3"/>
  <c r="H399" i="3" s="1"/>
  <c r="Q399" i="3"/>
  <c r="F399" i="3"/>
  <c r="X398" i="3"/>
  <c r="AH398" i="3"/>
  <c r="AO398" i="3"/>
  <c r="AU397" i="3"/>
  <c r="BA396" i="3"/>
  <c r="AV396" i="3"/>
  <c r="AT397" i="3"/>
  <c r="AW397" i="3"/>
  <c r="BD395" i="3" l="1"/>
  <c r="BC396" i="3"/>
  <c r="BG396" i="3" s="1"/>
  <c r="BH396" i="3" s="1"/>
  <c r="BI396" i="3" s="1"/>
  <c r="AN399" i="3"/>
  <c r="AV397" i="3"/>
  <c r="AW398" i="3"/>
  <c r="BA397" i="3"/>
  <c r="AY397" i="3"/>
  <c r="BQ396" i="3"/>
  <c r="BB396" i="3"/>
  <c r="BF396" i="3"/>
  <c r="BJ395" i="3" s="1"/>
  <c r="BK395" i="3" s="1"/>
  <c r="AH399" i="3"/>
  <c r="AG399" i="3"/>
  <c r="X399" i="3"/>
  <c r="AT398" i="3"/>
  <c r="AU398" i="3"/>
  <c r="AX398" i="3"/>
  <c r="BM399" i="3"/>
  <c r="BN399" i="3"/>
  <c r="AO399" i="3"/>
  <c r="Y399" i="3"/>
  <c r="Z399" i="3" s="1"/>
  <c r="AR400" i="3"/>
  <c r="B400" i="3"/>
  <c r="AQ400" i="3"/>
  <c r="A401" i="3"/>
  <c r="D400" i="3"/>
  <c r="AK400" i="3"/>
  <c r="T400" i="3"/>
  <c r="S400" i="3"/>
  <c r="AM400" i="3"/>
  <c r="Q400" i="3"/>
  <c r="R400" i="3"/>
  <c r="P400" i="3"/>
  <c r="AD400" i="3"/>
  <c r="M400" i="3"/>
  <c r="O400" i="3"/>
  <c r="AF400" i="3"/>
  <c r="AE400" i="3"/>
  <c r="V400" i="3"/>
  <c r="U400" i="3"/>
  <c r="C400" i="3"/>
  <c r="G400" i="3"/>
  <c r="H400" i="3" s="1"/>
  <c r="BN400" i="3" s="1"/>
  <c r="F400" i="3"/>
  <c r="BD396" i="3" l="1"/>
  <c r="BM400" i="3"/>
  <c r="BC397" i="3"/>
  <c r="BD397" i="3" s="1"/>
  <c r="AY398" i="3"/>
  <c r="AO400" i="3"/>
  <c r="AU399" i="3"/>
  <c r="AT399" i="3"/>
  <c r="AW399" i="3"/>
  <c r="Y400" i="3"/>
  <c r="Z400" i="3" s="1"/>
  <c r="X400" i="3"/>
  <c r="AG400" i="3"/>
  <c r="AH400" i="3"/>
  <c r="AN400" i="3"/>
  <c r="AX399" i="3"/>
  <c r="AR401" i="3"/>
  <c r="B401" i="3"/>
  <c r="AQ401" i="3"/>
  <c r="A402" i="3"/>
  <c r="D401" i="3"/>
  <c r="AM401" i="3"/>
  <c r="S401" i="3"/>
  <c r="Q401" i="3"/>
  <c r="R401" i="3"/>
  <c r="AK401" i="3"/>
  <c r="AD401" i="3"/>
  <c r="P401" i="3"/>
  <c r="O401" i="3"/>
  <c r="AE401" i="3"/>
  <c r="AF401" i="3"/>
  <c r="M401" i="3"/>
  <c r="V401" i="3"/>
  <c r="U401" i="3"/>
  <c r="G401" i="3"/>
  <c r="H401" i="3" s="1"/>
  <c r="F401" i="3"/>
  <c r="C401" i="3"/>
  <c r="T401" i="3"/>
  <c r="AV398" i="3"/>
  <c r="BA398" i="3"/>
  <c r="BQ397" i="3"/>
  <c r="BB397" i="3"/>
  <c r="BF397" i="3"/>
  <c r="BJ396" i="3" s="1"/>
  <c r="BK396" i="3" s="1"/>
  <c r="BN401" i="3" l="1"/>
  <c r="AO401" i="3"/>
  <c r="BG397" i="3"/>
  <c r="BH397" i="3" s="1"/>
  <c r="BI397" i="3" s="1"/>
  <c r="AV399" i="3"/>
  <c r="AY399" i="3"/>
  <c r="BC398" i="3"/>
  <c r="BG398" i="3" s="1"/>
  <c r="BH398" i="3" s="1"/>
  <c r="BI398" i="3" s="1"/>
  <c r="AT400" i="3"/>
  <c r="X401" i="3"/>
  <c r="AH401" i="3"/>
  <c r="BA399" i="3"/>
  <c r="BB399" i="3" s="1"/>
  <c r="AU400" i="3"/>
  <c r="BB398" i="3"/>
  <c r="BQ398" i="3"/>
  <c r="BF398" i="3"/>
  <c r="BJ397" i="3" s="1"/>
  <c r="BK397" i="3" s="1"/>
  <c r="AQ402" i="3"/>
  <c r="B402" i="3"/>
  <c r="A403" i="3"/>
  <c r="AR402" i="3"/>
  <c r="AM402" i="3"/>
  <c r="S402" i="3"/>
  <c r="AK402" i="3"/>
  <c r="T402" i="3"/>
  <c r="Q402" i="3"/>
  <c r="AD402" i="3"/>
  <c r="P402" i="3"/>
  <c r="AE402" i="3"/>
  <c r="U402" i="3"/>
  <c r="V402" i="3"/>
  <c r="O402" i="3"/>
  <c r="M402" i="3"/>
  <c r="AF402" i="3"/>
  <c r="R402" i="3"/>
  <c r="C402" i="3"/>
  <c r="G402" i="3"/>
  <c r="H402" i="3" s="1"/>
  <c r="D402" i="3"/>
  <c r="F402" i="3"/>
  <c r="Y401" i="3"/>
  <c r="Z401" i="3" s="1"/>
  <c r="BM401" i="3"/>
  <c r="AG401" i="3"/>
  <c r="AN401" i="3"/>
  <c r="AX400" i="3"/>
  <c r="AW400" i="3"/>
  <c r="AO402" i="3" l="1"/>
  <c r="BC399" i="3"/>
  <c r="BG399" i="3" s="1"/>
  <c r="BH399" i="3" s="1"/>
  <c r="BI399" i="3" s="1"/>
  <c r="BM402" i="3"/>
  <c r="BD398" i="3"/>
  <c r="AY400" i="3"/>
  <c r="BQ399" i="3"/>
  <c r="AV400" i="3"/>
  <c r="AW401" i="3"/>
  <c r="BF399" i="3"/>
  <c r="BJ398" i="3" s="1"/>
  <c r="BK398" i="3" s="1"/>
  <c r="AH402" i="3"/>
  <c r="Y402" i="3"/>
  <c r="Z402" i="3" s="1"/>
  <c r="A404" i="3"/>
  <c r="B403" i="3"/>
  <c r="AR403" i="3"/>
  <c r="AQ403" i="3"/>
  <c r="D403" i="3"/>
  <c r="AM403" i="3"/>
  <c r="AK403" i="3"/>
  <c r="Q403" i="3"/>
  <c r="R403" i="3"/>
  <c r="S403" i="3"/>
  <c r="AD403" i="3"/>
  <c r="P403" i="3"/>
  <c r="O403" i="3"/>
  <c r="AE403" i="3"/>
  <c r="AF403" i="3"/>
  <c r="M403" i="3"/>
  <c r="V403" i="3"/>
  <c r="U403" i="3"/>
  <c r="G403" i="3"/>
  <c r="H403" i="3" s="1"/>
  <c r="C403" i="3"/>
  <c r="F403" i="3"/>
  <c r="T403" i="3"/>
  <c r="AT401" i="3"/>
  <c r="AX401" i="3"/>
  <c r="AU401" i="3"/>
  <c r="X402" i="3"/>
  <c r="AN402" i="3"/>
  <c r="BA400" i="3"/>
  <c r="BN402" i="3"/>
  <c r="AG402" i="3"/>
  <c r="BN403" i="3" l="1"/>
  <c r="BD399" i="3"/>
  <c r="BC400" i="3"/>
  <c r="BD400" i="3" s="1"/>
  <c r="AW402" i="3"/>
  <c r="AG403" i="3"/>
  <c r="AY401" i="3"/>
  <c r="AN403" i="3"/>
  <c r="AU402" i="3"/>
  <c r="AX402" i="3"/>
  <c r="AT402" i="3"/>
  <c r="Y403" i="3"/>
  <c r="Z403" i="3" s="1"/>
  <c r="X403" i="3"/>
  <c r="BQ400" i="3"/>
  <c r="BF400" i="3"/>
  <c r="BJ399" i="3" s="1"/>
  <c r="BK399" i="3" s="1"/>
  <c r="BB400" i="3"/>
  <c r="BA401" i="3"/>
  <c r="AV401" i="3"/>
  <c r="AR404" i="3"/>
  <c r="B404" i="3"/>
  <c r="AQ404" i="3"/>
  <c r="A405" i="3"/>
  <c r="D404" i="3"/>
  <c r="S404" i="3"/>
  <c r="Q404" i="3"/>
  <c r="AM404" i="3"/>
  <c r="AK404" i="3"/>
  <c r="P404" i="3"/>
  <c r="R404" i="3"/>
  <c r="AD404" i="3"/>
  <c r="M404" i="3"/>
  <c r="O404" i="3"/>
  <c r="AE404" i="3"/>
  <c r="AF404" i="3"/>
  <c r="U404" i="3"/>
  <c r="V404" i="3"/>
  <c r="C404" i="3"/>
  <c r="F404" i="3"/>
  <c r="G404" i="3"/>
  <c r="H404" i="3" s="1"/>
  <c r="T404" i="3"/>
  <c r="BM403" i="3"/>
  <c r="AH403" i="3"/>
  <c r="AO403" i="3"/>
  <c r="BN404" i="3" l="1"/>
  <c r="AV402" i="3"/>
  <c r="BG400" i="3"/>
  <c r="BH400" i="3" s="1"/>
  <c r="BI400" i="3" s="1"/>
  <c r="AO404" i="3"/>
  <c r="AY402" i="3"/>
  <c r="BA402" i="3"/>
  <c r="BF402" i="3" s="1"/>
  <c r="BC401" i="3"/>
  <c r="BD401" i="3" s="1"/>
  <c r="AX403" i="3"/>
  <c r="AW403" i="3"/>
  <c r="AG404" i="3"/>
  <c r="X404" i="3"/>
  <c r="AR405" i="3"/>
  <c r="B405" i="3"/>
  <c r="AQ405" i="3"/>
  <c r="A406" i="3"/>
  <c r="AM405" i="3"/>
  <c r="T405" i="3"/>
  <c r="AK405" i="3"/>
  <c r="C405" i="3"/>
  <c r="S405" i="3"/>
  <c r="Q405" i="3"/>
  <c r="R405" i="3"/>
  <c r="AD405" i="3"/>
  <c r="P405" i="3"/>
  <c r="O405" i="3"/>
  <c r="M405" i="3"/>
  <c r="AF405" i="3"/>
  <c r="U405" i="3"/>
  <c r="V405" i="3"/>
  <c r="AE405" i="3"/>
  <c r="D405" i="3"/>
  <c r="F405" i="3"/>
  <c r="G405" i="3"/>
  <c r="H405" i="3" s="1"/>
  <c r="AU403" i="3"/>
  <c r="AT403" i="3"/>
  <c r="Y404" i="3"/>
  <c r="Z404" i="3" s="1"/>
  <c r="BM404" i="3"/>
  <c r="AH404" i="3"/>
  <c r="AN404" i="3"/>
  <c r="BQ401" i="3"/>
  <c r="BB401" i="3"/>
  <c r="BF401" i="3"/>
  <c r="BJ400" i="3" s="1"/>
  <c r="BK400" i="3" s="1"/>
  <c r="BC402" i="3" l="1"/>
  <c r="BD402" i="3" s="1"/>
  <c r="BN405" i="3"/>
  <c r="BQ402" i="3"/>
  <c r="AO405" i="3"/>
  <c r="BM405" i="3"/>
  <c r="AU404" i="3"/>
  <c r="BB402" i="3"/>
  <c r="BG401" i="3"/>
  <c r="BH401" i="3" s="1"/>
  <c r="BI401" i="3" s="1"/>
  <c r="AG405" i="3"/>
  <c r="AY403" i="3"/>
  <c r="AW404" i="3"/>
  <c r="AT404" i="3"/>
  <c r="AV403" i="3"/>
  <c r="BA403" i="3"/>
  <c r="AN405" i="3"/>
  <c r="BJ401" i="3"/>
  <c r="BK401" i="3" s="1"/>
  <c r="Y405" i="3"/>
  <c r="Z405" i="3" s="1"/>
  <c r="AQ406" i="3"/>
  <c r="B406" i="3"/>
  <c r="A407" i="3"/>
  <c r="AR406" i="3"/>
  <c r="C406" i="3"/>
  <c r="AK406" i="3"/>
  <c r="S406" i="3"/>
  <c r="Q406" i="3"/>
  <c r="AM406" i="3"/>
  <c r="R406" i="3"/>
  <c r="AD406" i="3"/>
  <c r="P406" i="3"/>
  <c r="M406" i="3"/>
  <c r="V406" i="3"/>
  <c r="O406" i="3"/>
  <c r="AF406" i="3"/>
  <c r="AE406" i="3"/>
  <c r="U406" i="3"/>
  <c r="D406" i="3"/>
  <c r="G406" i="3"/>
  <c r="H406" i="3" s="1"/>
  <c r="F406" i="3"/>
  <c r="BM406" i="3" s="1"/>
  <c r="T406" i="3"/>
  <c r="AX404" i="3"/>
  <c r="AH405" i="3"/>
  <c r="X405" i="3"/>
  <c r="AV404" i="3" l="1"/>
  <c r="AY404" i="3"/>
  <c r="BG402" i="3"/>
  <c r="BH402" i="3" s="1"/>
  <c r="BI402" i="3" s="1"/>
  <c r="AX405" i="3"/>
  <c r="BC403" i="3"/>
  <c r="BG403" i="3" s="1"/>
  <c r="BH403" i="3" s="1"/>
  <c r="BI403" i="3" s="1"/>
  <c r="AG406" i="3"/>
  <c r="AN406" i="3"/>
  <c r="AH406" i="3"/>
  <c r="X406" i="3"/>
  <c r="Y406" i="3"/>
  <c r="Z406" i="3" s="1"/>
  <c r="BN406" i="3"/>
  <c r="AO406" i="3"/>
  <c r="BA404" i="3"/>
  <c r="AT405" i="3"/>
  <c r="A408" i="3"/>
  <c r="B407" i="3"/>
  <c r="AR407" i="3"/>
  <c r="AQ407" i="3"/>
  <c r="C407" i="3"/>
  <c r="AM407" i="3"/>
  <c r="Q407" i="3"/>
  <c r="AK407" i="3"/>
  <c r="S407" i="3"/>
  <c r="AD407" i="3"/>
  <c r="T407" i="3"/>
  <c r="R407" i="3"/>
  <c r="P407" i="3"/>
  <c r="O407" i="3"/>
  <c r="U407" i="3"/>
  <c r="M407" i="3"/>
  <c r="AE407" i="3"/>
  <c r="AF407" i="3"/>
  <c r="V407" i="3"/>
  <c r="D407" i="3"/>
  <c r="G407" i="3"/>
  <c r="H407" i="3" s="1"/>
  <c r="F407" i="3"/>
  <c r="BB403" i="3"/>
  <c r="BF403" i="3"/>
  <c r="BJ402" i="3" s="1"/>
  <c r="BK402" i="3" s="1"/>
  <c r="BQ403" i="3"/>
  <c r="AU405" i="3"/>
  <c r="AW405" i="3"/>
  <c r="BC404" i="3" l="1"/>
  <c r="BD404" i="3" s="1"/>
  <c r="AO407" i="3"/>
  <c r="BD403" i="3"/>
  <c r="BN407" i="3"/>
  <c r="AY405" i="3"/>
  <c r="AU406" i="3"/>
  <c r="AW406" i="3"/>
  <c r="AG407" i="3"/>
  <c r="AR408" i="3"/>
  <c r="B408" i="3"/>
  <c r="AQ408" i="3"/>
  <c r="A409" i="3"/>
  <c r="AM408" i="3"/>
  <c r="S408" i="3"/>
  <c r="AK408" i="3"/>
  <c r="D408" i="3"/>
  <c r="Q408" i="3"/>
  <c r="T408" i="3"/>
  <c r="R408" i="3"/>
  <c r="AD408" i="3"/>
  <c r="P408" i="3"/>
  <c r="O408" i="3"/>
  <c r="AE408" i="3"/>
  <c r="AF408" i="3"/>
  <c r="M408" i="3"/>
  <c r="U408" i="3"/>
  <c r="V408" i="3"/>
  <c r="C408" i="3"/>
  <c r="G408" i="3"/>
  <c r="H408" i="3" s="1"/>
  <c r="F408" i="3"/>
  <c r="Y407" i="3"/>
  <c r="Z407" i="3" s="1"/>
  <c r="BA405" i="3"/>
  <c r="AV405" i="3"/>
  <c r="BM407" i="3"/>
  <c r="AH407" i="3"/>
  <c r="AN407" i="3"/>
  <c r="AT406" i="3"/>
  <c r="BF404" i="3"/>
  <c r="BJ403" i="3" s="1"/>
  <c r="BK403" i="3" s="1"/>
  <c r="BB404" i="3"/>
  <c r="BQ404" i="3"/>
  <c r="X407" i="3"/>
  <c r="AX406" i="3"/>
  <c r="BM408" i="3" l="1"/>
  <c r="BG404" i="3"/>
  <c r="BH404" i="3" s="1"/>
  <c r="BI404" i="3" s="1"/>
  <c r="AO408" i="3"/>
  <c r="AY406" i="3"/>
  <c r="BC405" i="3"/>
  <c r="BG405" i="3" s="1"/>
  <c r="BH405" i="3" s="1"/>
  <c r="BI405" i="3" s="1"/>
  <c r="BN408" i="3"/>
  <c r="AU407" i="3"/>
  <c r="AG408" i="3"/>
  <c r="AN408" i="3"/>
  <c r="AW407" i="3"/>
  <c r="Y408" i="3"/>
  <c r="Z408" i="3" s="1"/>
  <c r="AR409" i="3"/>
  <c r="B409" i="3"/>
  <c r="AQ409" i="3"/>
  <c r="A410" i="3"/>
  <c r="AM409" i="3"/>
  <c r="T409" i="3"/>
  <c r="S409" i="3"/>
  <c r="AK409" i="3"/>
  <c r="Q409" i="3"/>
  <c r="P409" i="3"/>
  <c r="AD409" i="3"/>
  <c r="O409" i="3"/>
  <c r="AE409" i="3"/>
  <c r="AF409" i="3"/>
  <c r="V409" i="3"/>
  <c r="M409" i="3"/>
  <c r="U409" i="3"/>
  <c r="R409" i="3"/>
  <c r="F409" i="3"/>
  <c r="C409" i="3"/>
  <c r="D409" i="3"/>
  <c r="G409" i="3"/>
  <c r="H409" i="3" s="1"/>
  <c r="AX407" i="3"/>
  <c r="AT407" i="3"/>
  <c r="X408" i="3"/>
  <c r="AH408" i="3"/>
  <c r="AV406" i="3"/>
  <c r="BA406" i="3"/>
  <c r="BB405" i="3"/>
  <c r="BF405" i="3"/>
  <c r="BQ405" i="3"/>
  <c r="BD405" i="3" l="1"/>
  <c r="BC406" i="3"/>
  <c r="BG406" i="3" s="1"/>
  <c r="BH406" i="3" s="1"/>
  <c r="BI406" i="3" s="1"/>
  <c r="AY407" i="3"/>
  <c r="BN409" i="3"/>
  <c r="AX408" i="3"/>
  <c r="AO409" i="3"/>
  <c r="AW408" i="3"/>
  <c r="AT408" i="3"/>
  <c r="X409" i="3"/>
  <c r="BJ404" i="3"/>
  <c r="BK404" i="3" s="1"/>
  <c r="BF406" i="3"/>
  <c r="BJ405" i="3" s="1"/>
  <c r="BK405" i="3" s="1"/>
  <c r="BB406" i="3"/>
  <c r="BQ406" i="3"/>
  <c r="AV407" i="3"/>
  <c r="BA407" i="3"/>
  <c r="Y409" i="3"/>
  <c r="Z409" i="3" s="1"/>
  <c r="AU408" i="3"/>
  <c r="BM409" i="3"/>
  <c r="AG409" i="3"/>
  <c r="AH409" i="3"/>
  <c r="AN409" i="3"/>
  <c r="AQ410" i="3"/>
  <c r="B410" i="3"/>
  <c r="A411" i="3"/>
  <c r="AR410" i="3"/>
  <c r="D410" i="3"/>
  <c r="C410" i="3"/>
  <c r="AK410" i="3"/>
  <c r="AM410" i="3"/>
  <c r="T410" i="3"/>
  <c r="Q410" i="3"/>
  <c r="S410" i="3"/>
  <c r="R410" i="3"/>
  <c r="AD410" i="3"/>
  <c r="P410" i="3"/>
  <c r="O410" i="3"/>
  <c r="AE410" i="3"/>
  <c r="AF410" i="3"/>
  <c r="M410" i="3"/>
  <c r="U410" i="3"/>
  <c r="V410" i="3"/>
  <c r="F410" i="3"/>
  <c r="G410" i="3"/>
  <c r="H410" i="3" s="1"/>
  <c r="BD406" i="3" l="1"/>
  <c r="AY408" i="3"/>
  <c r="BN410" i="3"/>
  <c r="BC407" i="3"/>
  <c r="BD407" i="3" s="1"/>
  <c r="AN410" i="3"/>
  <c r="BM410" i="3"/>
  <c r="AU409" i="3"/>
  <c r="BA408" i="3"/>
  <c r="BQ408" i="3" s="1"/>
  <c r="AG410" i="3"/>
  <c r="AT409" i="3"/>
  <c r="AV408" i="3"/>
  <c r="BB407" i="3"/>
  <c r="BQ407" i="3"/>
  <c r="BF407" i="3"/>
  <c r="BJ406" i="3" s="1"/>
  <c r="BK406" i="3" s="1"/>
  <c r="X410" i="3"/>
  <c r="AW409" i="3"/>
  <c r="Y410" i="3"/>
  <c r="Z410" i="3" s="1"/>
  <c r="A412" i="3"/>
  <c r="B411" i="3"/>
  <c r="AR411" i="3"/>
  <c r="AQ411" i="3"/>
  <c r="AM411" i="3"/>
  <c r="AK411" i="3"/>
  <c r="AD411" i="3"/>
  <c r="P411" i="3"/>
  <c r="S411" i="3"/>
  <c r="R411" i="3"/>
  <c r="Q411" i="3"/>
  <c r="O411" i="3"/>
  <c r="AE411" i="3"/>
  <c r="U411" i="3"/>
  <c r="AF411" i="3"/>
  <c r="M411" i="3"/>
  <c r="V411" i="3"/>
  <c r="C411" i="3"/>
  <c r="D411" i="3"/>
  <c r="F411" i="3"/>
  <c r="G411" i="3"/>
  <c r="H411" i="3" s="1"/>
  <c r="T411" i="3"/>
  <c r="AH410" i="3"/>
  <c r="AO410" i="3"/>
  <c r="AX409" i="3"/>
  <c r="BN411" i="3" l="1"/>
  <c r="BM411" i="3"/>
  <c r="BC408" i="3"/>
  <c r="BD408" i="3" s="1"/>
  <c r="BG407" i="3"/>
  <c r="BH407" i="3" s="1"/>
  <c r="BI407" i="3" s="1"/>
  <c r="BB408" i="3"/>
  <c r="AV409" i="3"/>
  <c r="BF408" i="3"/>
  <c r="BJ407" i="3" s="1"/>
  <c r="BK407" i="3" s="1"/>
  <c r="AO411" i="3"/>
  <c r="Y411" i="3"/>
  <c r="Z411" i="3" s="1"/>
  <c r="AR412" i="3"/>
  <c r="B412" i="3"/>
  <c r="AQ412" i="3"/>
  <c r="A413" i="3"/>
  <c r="AM412" i="3"/>
  <c r="AK412" i="3"/>
  <c r="T412" i="3"/>
  <c r="S412" i="3"/>
  <c r="Q412" i="3"/>
  <c r="AD412" i="3"/>
  <c r="P412" i="3"/>
  <c r="O412" i="3"/>
  <c r="M412" i="3"/>
  <c r="AE412" i="3"/>
  <c r="AF412" i="3"/>
  <c r="V412" i="3"/>
  <c r="U412" i="3"/>
  <c r="R412" i="3"/>
  <c r="C412" i="3"/>
  <c r="G412" i="3"/>
  <c r="H412" i="3" s="1"/>
  <c r="F412" i="3"/>
  <c r="D412" i="3"/>
  <c r="X411" i="3"/>
  <c r="AX410" i="3"/>
  <c r="AG411" i="3"/>
  <c r="AH411" i="3"/>
  <c r="AN411" i="3"/>
  <c r="AW410" i="3"/>
  <c r="BA409" i="3"/>
  <c r="AY409" i="3"/>
  <c r="AT410" i="3"/>
  <c r="AU410" i="3"/>
  <c r="BM412" i="3" l="1"/>
  <c r="BG408" i="3"/>
  <c r="BH408" i="3" s="1"/>
  <c r="BI408" i="3" s="1"/>
  <c r="AY410" i="3"/>
  <c r="BC409" i="3"/>
  <c r="BD409" i="3" s="1"/>
  <c r="AT411" i="3"/>
  <c r="AN412" i="3"/>
  <c r="AU411" i="3"/>
  <c r="AX411" i="3"/>
  <c r="AV410" i="3"/>
  <c r="BA410" i="3"/>
  <c r="X412" i="3"/>
  <c r="BQ409" i="3"/>
  <c r="BF409" i="3"/>
  <c r="BJ408" i="3" s="1"/>
  <c r="BK408" i="3" s="1"/>
  <c r="BB409" i="3"/>
  <c r="Y412" i="3"/>
  <c r="Z412" i="3" s="1"/>
  <c r="AR413" i="3"/>
  <c r="B413" i="3"/>
  <c r="AQ413" i="3"/>
  <c r="A414" i="3"/>
  <c r="S413" i="3"/>
  <c r="Q413" i="3"/>
  <c r="D413" i="3"/>
  <c r="AM413" i="3"/>
  <c r="AK413" i="3"/>
  <c r="C413" i="3"/>
  <c r="R413" i="3"/>
  <c r="AD413" i="3"/>
  <c r="P413" i="3"/>
  <c r="M413" i="3"/>
  <c r="AE413" i="3"/>
  <c r="AF413" i="3"/>
  <c r="O413" i="3"/>
  <c r="V413" i="3"/>
  <c r="U413" i="3"/>
  <c r="G413" i="3"/>
  <c r="H413" i="3" s="1"/>
  <c r="F413" i="3"/>
  <c r="T413" i="3"/>
  <c r="AW411" i="3"/>
  <c r="BN412" i="3"/>
  <c r="AG412" i="3"/>
  <c r="AH412" i="3"/>
  <c r="AO412" i="3"/>
  <c r="AV411" i="3" l="1"/>
  <c r="BC410" i="3"/>
  <c r="BD410" i="3" s="1"/>
  <c r="AY411" i="3"/>
  <c r="BN413" i="3"/>
  <c r="BG409" i="3"/>
  <c r="BH409" i="3" s="1"/>
  <c r="BI409" i="3" s="1"/>
  <c r="AN413" i="3"/>
  <c r="AH413" i="3"/>
  <c r="Y413" i="3"/>
  <c r="Z413" i="3" s="1"/>
  <c r="X413" i="3"/>
  <c r="AX412" i="3"/>
  <c r="BM413" i="3"/>
  <c r="AG413" i="3"/>
  <c r="AO413" i="3"/>
  <c r="AT412" i="3"/>
  <c r="BA411" i="3"/>
  <c r="AQ414" i="3"/>
  <c r="B414" i="3"/>
  <c r="A415" i="3"/>
  <c r="AR414" i="3"/>
  <c r="D414" i="3"/>
  <c r="AM414" i="3"/>
  <c r="AK414" i="3"/>
  <c r="S414" i="3"/>
  <c r="R414" i="3"/>
  <c r="Q414" i="3"/>
  <c r="AD414" i="3"/>
  <c r="P414" i="3"/>
  <c r="O414" i="3"/>
  <c r="AE414" i="3"/>
  <c r="M414" i="3"/>
  <c r="AF414" i="3"/>
  <c r="V414" i="3"/>
  <c r="U414" i="3"/>
  <c r="F414" i="3"/>
  <c r="C414" i="3"/>
  <c r="G414" i="3"/>
  <c r="H414" i="3" s="1"/>
  <c r="BN414" i="3" s="1"/>
  <c r="T414" i="3"/>
  <c r="BQ410" i="3"/>
  <c r="BF410" i="3"/>
  <c r="BJ409" i="3" s="1"/>
  <c r="BK409" i="3" s="1"/>
  <c r="BB410" i="3"/>
  <c r="AW412" i="3"/>
  <c r="AU412" i="3"/>
  <c r="BC411" i="3" l="1"/>
  <c r="BD411" i="3" s="1"/>
  <c r="AV412" i="3"/>
  <c r="BG410" i="3"/>
  <c r="BH410" i="3" s="1"/>
  <c r="BI410" i="3" s="1"/>
  <c r="AY412" i="3"/>
  <c r="AT413" i="3"/>
  <c r="AN414" i="3"/>
  <c r="AW413" i="3"/>
  <c r="AX413" i="3"/>
  <c r="Y414" i="3"/>
  <c r="Z414" i="3" s="1"/>
  <c r="X414" i="3"/>
  <c r="A416" i="3"/>
  <c r="B415" i="3"/>
  <c r="AR415" i="3"/>
  <c r="AQ415" i="3"/>
  <c r="C415" i="3"/>
  <c r="AK415" i="3"/>
  <c r="AM415" i="3"/>
  <c r="S415" i="3"/>
  <c r="Q415" i="3"/>
  <c r="AD415" i="3"/>
  <c r="O415" i="3"/>
  <c r="M415" i="3"/>
  <c r="AF415" i="3"/>
  <c r="P415" i="3"/>
  <c r="AE415" i="3"/>
  <c r="V415" i="3"/>
  <c r="U415" i="3"/>
  <c r="R415" i="3"/>
  <c r="G415" i="3"/>
  <c r="H415" i="3" s="1"/>
  <c r="D415" i="3"/>
  <c r="F415" i="3"/>
  <c r="BM415" i="3" s="1"/>
  <c r="T415" i="3"/>
  <c r="BM414" i="3"/>
  <c r="AH414" i="3"/>
  <c r="AO414" i="3"/>
  <c r="BA412" i="3"/>
  <c r="AU413" i="3"/>
  <c r="BB411" i="3"/>
  <c r="BQ411" i="3"/>
  <c r="BF411" i="3"/>
  <c r="BJ410" i="3" s="1"/>
  <c r="BK410" i="3" s="1"/>
  <c r="AG414" i="3"/>
  <c r="BG411" i="3" l="1"/>
  <c r="BH411" i="3" s="1"/>
  <c r="BI411" i="3" s="1"/>
  <c r="BC412" i="3"/>
  <c r="BD412" i="3" s="1"/>
  <c r="AO415" i="3"/>
  <c r="AY413" i="3"/>
  <c r="AV413" i="3"/>
  <c r="AT414" i="3"/>
  <c r="BA413" i="3"/>
  <c r="BB413" i="3" s="1"/>
  <c r="AX414" i="3"/>
  <c r="AH415" i="3"/>
  <c r="Y415" i="3"/>
  <c r="Z415" i="3" s="1"/>
  <c r="A417" i="3"/>
  <c r="B416" i="3"/>
  <c r="AQ416" i="3"/>
  <c r="AR416" i="3"/>
  <c r="AM416" i="3"/>
  <c r="AK416" i="3"/>
  <c r="R416" i="3"/>
  <c r="S416" i="3"/>
  <c r="Q416" i="3"/>
  <c r="AD416" i="3"/>
  <c r="P416" i="3"/>
  <c r="O416" i="3"/>
  <c r="AE416" i="3"/>
  <c r="AF416" i="3"/>
  <c r="V416" i="3"/>
  <c r="M416" i="3"/>
  <c r="U416" i="3"/>
  <c r="D416" i="3"/>
  <c r="F416" i="3"/>
  <c r="C416" i="3"/>
  <c r="G416" i="3"/>
  <c r="H416" i="3" s="1"/>
  <c r="T416" i="3"/>
  <c r="AW414" i="3"/>
  <c r="AU414" i="3"/>
  <c r="BN415" i="3"/>
  <c r="AG415" i="3"/>
  <c r="AN415" i="3"/>
  <c r="X415" i="3"/>
  <c r="BF412" i="3"/>
  <c r="BJ411" i="3" s="1"/>
  <c r="BK411" i="3" s="1"/>
  <c r="BQ412" i="3"/>
  <c r="BB412" i="3"/>
  <c r="BG412" i="3" l="1"/>
  <c r="BH412" i="3" s="1"/>
  <c r="BI412" i="3" s="1"/>
  <c r="BC413" i="3"/>
  <c r="BD413" i="3" s="1"/>
  <c r="BN416" i="3"/>
  <c r="BM416" i="3"/>
  <c r="AY414" i="3"/>
  <c r="BF413" i="3"/>
  <c r="BJ412" i="3" s="1"/>
  <c r="BK412" i="3" s="1"/>
  <c r="AV414" i="3"/>
  <c r="AX415" i="3"/>
  <c r="BQ413" i="3"/>
  <c r="AN416" i="3"/>
  <c r="BA414" i="3"/>
  <c r="BB414" i="3" s="1"/>
  <c r="AG416" i="3"/>
  <c r="AT415" i="3"/>
  <c r="AW415" i="3"/>
  <c r="AU415" i="3"/>
  <c r="Y416" i="3"/>
  <c r="Z416" i="3" s="1"/>
  <c r="X416" i="3"/>
  <c r="AH416" i="3"/>
  <c r="AO416" i="3"/>
  <c r="AR417" i="3"/>
  <c r="B417" i="3"/>
  <c r="AQ417" i="3"/>
  <c r="A418" i="3"/>
  <c r="C417" i="3"/>
  <c r="AK417" i="3"/>
  <c r="AM417" i="3"/>
  <c r="S417" i="3"/>
  <c r="Q417" i="3"/>
  <c r="T417" i="3"/>
  <c r="R417" i="3"/>
  <c r="AD417" i="3"/>
  <c r="O417" i="3"/>
  <c r="AE417" i="3"/>
  <c r="M417" i="3"/>
  <c r="P417" i="3"/>
  <c r="U417" i="3"/>
  <c r="AF417" i="3"/>
  <c r="V417" i="3"/>
  <c r="D417" i="3"/>
  <c r="G417" i="3"/>
  <c r="H417" i="3" s="1"/>
  <c r="F417" i="3"/>
  <c r="BC414" i="3" l="1"/>
  <c r="BD414" i="3" s="1"/>
  <c r="BG413" i="3"/>
  <c r="BH413" i="3" s="1"/>
  <c r="BI413" i="3" s="1"/>
  <c r="BM417" i="3"/>
  <c r="AO417" i="3"/>
  <c r="AT416" i="3"/>
  <c r="AU416" i="3"/>
  <c r="AY415" i="3"/>
  <c r="BQ414" i="3"/>
  <c r="AW416" i="3"/>
  <c r="BF414" i="3"/>
  <c r="BJ413" i="3" s="1"/>
  <c r="BK413" i="3" s="1"/>
  <c r="BN417" i="3"/>
  <c r="AN417" i="3"/>
  <c r="X417" i="3"/>
  <c r="AX416" i="3"/>
  <c r="BA415" i="3"/>
  <c r="AV415" i="3"/>
  <c r="Y417" i="3"/>
  <c r="Z417" i="3" s="1"/>
  <c r="AR418" i="3"/>
  <c r="A419" i="3"/>
  <c r="B418" i="3"/>
  <c r="AQ418" i="3"/>
  <c r="D418" i="3"/>
  <c r="S418" i="3"/>
  <c r="R418" i="3"/>
  <c r="Q418" i="3"/>
  <c r="AK418" i="3"/>
  <c r="AM418" i="3"/>
  <c r="P418" i="3"/>
  <c r="AD418" i="3"/>
  <c r="O418" i="3"/>
  <c r="AE418" i="3"/>
  <c r="U418" i="3"/>
  <c r="M418" i="3"/>
  <c r="AF418" i="3"/>
  <c r="V418" i="3"/>
  <c r="C418" i="3"/>
  <c r="G418" i="3"/>
  <c r="H418" i="3" s="1"/>
  <c r="F418" i="3"/>
  <c r="T418" i="3"/>
  <c r="AG417" i="3"/>
  <c r="AH417" i="3"/>
  <c r="BM418" i="3" l="1"/>
  <c r="BG414" i="3"/>
  <c r="BH414" i="3" s="1"/>
  <c r="BI414" i="3" s="1"/>
  <c r="BN418" i="3"/>
  <c r="AV416" i="3"/>
  <c r="BC415" i="3"/>
  <c r="BG415" i="3" s="1"/>
  <c r="BH415" i="3" s="1"/>
  <c r="BI415" i="3" s="1"/>
  <c r="BA416" i="3"/>
  <c r="BB416" i="3" s="1"/>
  <c r="AO418" i="3"/>
  <c r="Y418" i="3"/>
  <c r="Z418" i="3" s="1"/>
  <c r="AN418" i="3"/>
  <c r="AW417" i="3"/>
  <c r="AH418" i="3"/>
  <c r="A420" i="3"/>
  <c r="B419" i="3"/>
  <c r="AR419" i="3"/>
  <c r="AQ419" i="3"/>
  <c r="C419" i="3"/>
  <c r="AM419" i="3"/>
  <c r="T419" i="3"/>
  <c r="AK419" i="3"/>
  <c r="S419" i="3"/>
  <c r="R419" i="3"/>
  <c r="Q419" i="3"/>
  <c r="AD419" i="3"/>
  <c r="P419" i="3"/>
  <c r="M419" i="3"/>
  <c r="V419" i="3"/>
  <c r="U419" i="3"/>
  <c r="O419" i="3"/>
  <c r="AF419" i="3"/>
  <c r="AE419" i="3"/>
  <c r="D419" i="3"/>
  <c r="G419" i="3"/>
  <c r="H419" i="3" s="1"/>
  <c r="F419" i="3"/>
  <c r="AX417" i="3"/>
  <c r="AG418" i="3"/>
  <c r="AU417" i="3"/>
  <c r="AY416" i="3"/>
  <c r="BQ415" i="3"/>
  <c r="BF415" i="3"/>
  <c r="BJ414" i="3" s="1"/>
  <c r="BK414" i="3" s="1"/>
  <c r="BB415" i="3"/>
  <c r="X418" i="3"/>
  <c r="AT417" i="3"/>
  <c r="AO419" i="3" l="1"/>
  <c r="BD415" i="3"/>
  <c r="BQ416" i="3"/>
  <c r="BC416" i="3"/>
  <c r="BD416" i="3" s="1"/>
  <c r="BM419" i="3"/>
  <c r="BN419" i="3"/>
  <c r="AY417" i="3"/>
  <c r="BF416" i="3"/>
  <c r="BJ415" i="3" s="1"/>
  <c r="BK415" i="3" s="1"/>
  <c r="AT418" i="3"/>
  <c r="AW418" i="3"/>
  <c r="BA417" i="3"/>
  <c r="AV417" i="3"/>
  <c r="Y419" i="3"/>
  <c r="Z419" i="3" s="1"/>
  <c r="AH419" i="3"/>
  <c r="AN419" i="3"/>
  <c r="A421" i="3"/>
  <c r="B420" i="3"/>
  <c r="AQ420" i="3"/>
  <c r="AR420" i="3"/>
  <c r="C420" i="3"/>
  <c r="AM420" i="3"/>
  <c r="AK420" i="3"/>
  <c r="T420" i="3"/>
  <c r="S420" i="3"/>
  <c r="R420" i="3"/>
  <c r="Q420" i="3"/>
  <c r="AD420" i="3"/>
  <c r="P420" i="3"/>
  <c r="M420" i="3"/>
  <c r="AF420" i="3"/>
  <c r="V420" i="3"/>
  <c r="O420" i="3"/>
  <c r="AE420" i="3"/>
  <c r="U420" i="3"/>
  <c r="G420" i="3"/>
  <c r="H420" i="3" s="1"/>
  <c r="D420" i="3"/>
  <c r="F420" i="3"/>
  <c r="AX418" i="3"/>
  <c r="AU418" i="3"/>
  <c r="AG419" i="3"/>
  <c r="X419" i="3"/>
  <c r="AV418" i="3" l="1"/>
  <c r="BG416" i="3"/>
  <c r="BH416" i="3" s="1"/>
  <c r="BI416" i="3" s="1"/>
  <c r="BM420" i="3"/>
  <c r="BN420" i="3"/>
  <c r="BC417" i="3"/>
  <c r="BG417" i="3" s="1"/>
  <c r="BH417" i="3" s="1"/>
  <c r="BI417" i="3" s="1"/>
  <c r="AG420" i="3"/>
  <c r="AW419" i="3"/>
  <c r="AY418" i="3"/>
  <c r="AO420" i="3"/>
  <c r="AN420" i="3"/>
  <c r="AT419" i="3"/>
  <c r="Y420" i="3"/>
  <c r="Z420" i="3" s="1"/>
  <c r="AR421" i="3"/>
  <c r="B421" i="3"/>
  <c r="AQ421" i="3"/>
  <c r="A422" i="3"/>
  <c r="C421" i="3"/>
  <c r="AK421" i="3"/>
  <c r="AM421" i="3"/>
  <c r="S421" i="3"/>
  <c r="R421" i="3"/>
  <c r="Q421" i="3"/>
  <c r="AD421" i="3"/>
  <c r="P421" i="3"/>
  <c r="O421" i="3"/>
  <c r="M421" i="3"/>
  <c r="AF421" i="3"/>
  <c r="AE421" i="3"/>
  <c r="U421" i="3"/>
  <c r="V421" i="3"/>
  <c r="D421" i="3"/>
  <c r="F421" i="3"/>
  <c r="G421" i="3"/>
  <c r="H421" i="3" s="1"/>
  <c r="T421" i="3"/>
  <c r="BQ417" i="3"/>
  <c r="BF417" i="3"/>
  <c r="BJ416" i="3" s="1"/>
  <c r="BK416" i="3" s="1"/>
  <c r="BB417" i="3"/>
  <c r="X420" i="3"/>
  <c r="BA418" i="3"/>
  <c r="AH420" i="3"/>
  <c r="AU419" i="3"/>
  <c r="AX419" i="3"/>
  <c r="BN421" i="3" l="1"/>
  <c r="BD417" i="3"/>
  <c r="BC418" i="3"/>
  <c r="BD418" i="3" s="1"/>
  <c r="BM421" i="3"/>
  <c r="AY419" i="3"/>
  <c r="AX420" i="3"/>
  <c r="AV419" i="3"/>
  <c r="AN421" i="3"/>
  <c r="BB418" i="3"/>
  <c r="BF418" i="3"/>
  <c r="BJ417" i="3" s="1"/>
  <c r="BK417" i="3" s="1"/>
  <c r="BQ418" i="3"/>
  <c r="AR422" i="3"/>
  <c r="A423" i="3"/>
  <c r="B422" i="3"/>
  <c r="AQ422" i="3"/>
  <c r="AM422" i="3"/>
  <c r="AK422" i="3"/>
  <c r="S422" i="3"/>
  <c r="AD422" i="3"/>
  <c r="T422" i="3"/>
  <c r="Q422" i="3"/>
  <c r="R422" i="3"/>
  <c r="P422" i="3"/>
  <c r="M422" i="3"/>
  <c r="AE422" i="3"/>
  <c r="O422" i="3"/>
  <c r="AF422" i="3"/>
  <c r="U422" i="3"/>
  <c r="V422" i="3"/>
  <c r="C422" i="3"/>
  <c r="F422" i="3"/>
  <c r="D422" i="3"/>
  <c r="G422" i="3"/>
  <c r="H422" i="3" s="1"/>
  <c r="AT420" i="3"/>
  <c r="AW420" i="3"/>
  <c r="Y421" i="3"/>
  <c r="Z421" i="3" s="1"/>
  <c r="AG421" i="3"/>
  <c r="AO421" i="3"/>
  <c r="BA419" i="3"/>
  <c r="AU420" i="3"/>
  <c r="AH421" i="3"/>
  <c r="X421" i="3"/>
  <c r="BG418" i="3" l="1"/>
  <c r="BH418" i="3" s="1"/>
  <c r="BI418" i="3" s="1"/>
  <c r="BC419" i="3"/>
  <c r="BD419" i="3" s="1"/>
  <c r="AY420" i="3"/>
  <c r="BN422" i="3"/>
  <c r="AN422" i="3"/>
  <c r="AX421" i="3"/>
  <c r="AU421" i="3"/>
  <c r="AW421" i="3"/>
  <c r="AT421" i="3"/>
  <c r="X422" i="3"/>
  <c r="BF419" i="3"/>
  <c r="BJ418" i="3" s="1"/>
  <c r="BK418" i="3" s="1"/>
  <c r="BB419" i="3"/>
  <c r="BQ419" i="3"/>
  <c r="A424" i="3"/>
  <c r="B423" i="3"/>
  <c r="AR423" i="3"/>
  <c r="AQ423" i="3"/>
  <c r="AK423" i="3"/>
  <c r="S423" i="3"/>
  <c r="AM423" i="3"/>
  <c r="R423" i="3"/>
  <c r="Q423" i="3"/>
  <c r="P423" i="3"/>
  <c r="AD423" i="3"/>
  <c r="O423" i="3"/>
  <c r="AE423" i="3"/>
  <c r="M423" i="3"/>
  <c r="V423" i="3"/>
  <c r="AF423" i="3"/>
  <c r="U423" i="3"/>
  <c r="D423" i="3"/>
  <c r="G423" i="3"/>
  <c r="H423" i="3" s="1"/>
  <c r="C423" i="3"/>
  <c r="F423" i="3"/>
  <c r="T423" i="3"/>
  <c r="BM422" i="3"/>
  <c r="AG422" i="3"/>
  <c r="AH422" i="3"/>
  <c r="AO422" i="3"/>
  <c r="AV420" i="3"/>
  <c r="BA420" i="3"/>
  <c r="Y422" i="3"/>
  <c r="Z422" i="3" s="1"/>
  <c r="AV421" i="3" l="1"/>
  <c r="AN423" i="3"/>
  <c r="BC420" i="3"/>
  <c r="BD420" i="3" s="1"/>
  <c r="BG419" i="3"/>
  <c r="BH419" i="3" s="1"/>
  <c r="BI419" i="3" s="1"/>
  <c r="AY421" i="3"/>
  <c r="AG423" i="3"/>
  <c r="BM423" i="3"/>
  <c r="BN423" i="3"/>
  <c r="BA421" i="3"/>
  <c r="BB421" i="3" s="1"/>
  <c r="A425" i="3"/>
  <c r="B424" i="3"/>
  <c r="AQ424" i="3"/>
  <c r="AR424" i="3"/>
  <c r="C424" i="3"/>
  <c r="D424" i="3"/>
  <c r="AK424" i="3"/>
  <c r="AM424" i="3"/>
  <c r="R424" i="3"/>
  <c r="S424" i="3"/>
  <c r="P424" i="3"/>
  <c r="Q424" i="3"/>
  <c r="AD424" i="3"/>
  <c r="M424" i="3"/>
  <c r="AF424" i="3"/>
  <c r="AE424" i="3"/>
  <c r="U424" i="3"/>
  <c r="V424" i="3"/>
  <c r="O424" i="3"/>
  <c r="G424" i="3"/>
  <c r="H424" i="3" s="1"/>
  <c r="F424" i="3"/>
  <c r="BM424" i="3" s="1"/>
  <c r="T424" i="3"/>
  <c r="AH423" i="3"/>
  <c r="AO423" i="3"/>
  <c r="BB420" i="3"/>
  <c r="BQ420" i="3"/>
  <c r="BF420" i="3"/>
  <c r="BJ419" i="3" s="1"/>
  <c r="BK419" i="3" s="1"/>
  <c r="AW422" i="3"/>
  <c r="AT422" i="3"/>
  <c r="AU422" i="3"/>
  <c r="AX422" i="3"/>
  <c r="Y423" i="3"/>
  <c r="Z423" i="3" s="1"/>
  <c r="X423" i="3"/>
  <c r="BN424" i="3" l="1"/>
  <c r="BC421" i="3"/>
  <c r="BD421" i="3" s="1"/>
  <c r="AU423" i="3"/>
  <c r="BG420" i="3"/>
  <c r="BH420" i="3" s="1"/>
  <c r="BI420" i="3" s="1"/>
  <c r="BQ421" i="3"/>
  <c r="BF421" i="3"/>
  <c r="BJ420" i="3" s="1"/>
  <c r="BK420" i="3" s="1"/>
  <c r="AN424" i="3"/>
  <c r="AW423" i="3"/>
  <c r="AG424" i="3"/>
  <c r="AR425" i="3"/>
  <c r="B425" i="3"/>
  <c r="AQ425" i="3"/>
  <c r="A426" i="3"/>
  <c r="AK425" i="3"/>
  <c r="R425" i="3"/>
  <c r="AM425" i="3"/>
  <c r="AD425" i="3"/>
  <c r="S425" i="3"/>
  <c r="M425" i="3"/>
  <c r="O425" i="3"/>
  <c r="P425" i="3"/>
  <c r="AE425" i="3"/>
  <c r="AF425" i="3"/>
  <c r="V425" i="3"/>
  <c r="U425" i="3"/>
  <c r="Q425" i="3"/>
  <c r="C425" i="3"/>
  <c r="D425" i="3"/>
  <c r="G425" i="3"/>
  <c r="H425" i="3" s="1"/>
  <c r="F425" i="3"/>
  <c r="T425" i="3"/>
  <c r="Y424" i="3"/>
  <c r="Z424" i="3" s="1"/>
  <c r="AV422" i="3"/>
  <c r="AY422" i="3"/>
  <c r="AX423" i="3"/>
  <c r="AH424" i="3"/>
  <c r="AO424" i="3"/>
  <c r="X424" i="3"/>
  <c r="AT423" i="3"/>
  <c r="BA422" i="3"/>
  <c r="BG421" i="3" l="1"/>
  <c r="BH421" i="3" s="1"/>
  <c r="BI421" i="3" s="1"/>
  <c r="AN425" i="3"/>
  <c r="BM425" i="3"/>
  <c r="AT424" i="3"/>
  <c r="AY423" i="3"/>
  <c r="AO425" i="3"/>
  <c r="AG425" i="3"/>
  <c r="AU424" i="3"/>
  <c r="BC422" i="3"/>
  <c r="BD422" i="3" s="1"/>
  <c r="AV423" i="3"/>
  <c r="BA423" i="3"/>
  <c r="AR426" i="3"/>
  <c r="A427" i="3"/>
  <c r="B426" i="3"/>
  <c r="AQ426" i="3"/>
  <c r="C426" i="3"/>
  <c r="AK426" i="3"/>
  <c r="S426" i="3"/>
  <c r="R426" i="3"/>
  <c r="D426" i="3"/>
  <c r="AM426" i="3"/>
  <c r="AD426" i="3"/>
  <c r="M426" i="3"/>
  <c r="P426" i="3"/>
  <c r="AE426" i="3"/>
  <c r="V426" i="3"/>
  <c r="O426" i="3"/>
  <c r="AF426" i="3"/>
  <c r="U426" i="3"/>
  <c r="Q426" i="3"/>
  <c r="G426" i="3"/>
  <c r="H426" i="3" s="1"/>
  <c r="F426" i="3"/>
  <c r="T426" i="3"/>
  <c r="AX424" i="3"/>
  <c r="AW424" i="3"/>
  <c r="Y425" i="3"/>
  <c r="Z425" i="3" s="1"/>
  <c r="BN425" i="3"/>
  <c r="X425" i="3"/>
  <c r="AH425" i="3"/>
  <c r="BB422" i="3"/>
  <c r="BQ422" i="3"/>
  <c r="BF422" i="3"/>
  <c r="BJ421" i="3" s="1"/>
  <c r="BK421" i="3" s="1"/>
  <c r="BM426" i="3" l="1"/>
  <c r="AV424" i="3"/>
  <c r="BC423" i="3"/>
  <c r="BD423" i="3" s="1"/>
  <c r="AN426" i="3"/>
  <c r="AT425" i="3"/>
  <c r="BG422" i="3"/>
  <c r="BH422" i="3" s="1"/>
  <c r="BI422" i="3" s="1"/>
  <c r="AY424" i="3"/>
  <c r="A428" i="3"/>
  <c r="B427" i="3"/>
  <c r="AR427" i="3"/>
  <c r="AQ427" i="3"/>
  <c r="D427" i="3"/>
  <c r="AM427" i="3"/>
  <c r="AK427" i="3"/>
  <c r="R427" i="3"/>
  <c r="T427" i="3"/>
  <c r="S427" i="3"/>
  <c r="AD427" i="3"/>
  <c r="Q427" i="3"/>
  <c r="O427" i="3"/>
  <c r="AE427" i="3"/>
  <c r="AF427" i="3"/>
  <c r="V427" i="3"/>
  <c r="M427" i="3"/>
  <c r="U427" i="3"/>
  <c r="C427" i="3"/>
  <c r="F427" i="3"/>
  <c r="G427" i="3"/>
  <c r="H427" i="3" s="1"/>
  <c r="BN427" i="3" s="1"/>
  <c r="P427" i="3"/>
  <c r="BQ423" i="3"/>
  <c r="BB423" i="3"/>
  <c r="BF423" i="3"/>
  <c r="BJ422" i="3" s="1"/>
  <c r="BK422" i="3" s="1"/>
  <c r="AW425" i="3"/>
  <c r="Y426" i="3"/>
  <c r="Z426" i="3" s="1"/>
  <c r="BN426" i="3"/>
  <c r="AG426" i="3"/>
  <c r="AO426" i="3"/>
  <c r="BA424" i="3"/>
  <c r="AU425" i="3"/>
  <c r="AX425" i="3"/>
  <c r="AH426" i="3"/>
  <c r="X426" i="3"/>
  <c r="BC424" i="3" l="1"/>
  <c r="BD424" i="3" s="1"/>
  <c r="BG423" i="3"/>
  <c r="BH423" i="3" s="1"/>
  <c r="BI423" i="3" s="1"/>
  <c r="BM427" i="3"/>
  <c r="AN427" i="3"/>
  <c r="AG427" i="3"/>
  <c r="BA425" i="3"/>
  <c r="BB425" i="3" s="1"/>
  <c r="Y427" i="3"/>
  <c r="Z427" i="3" s="1"/>
  <c r="AT426" i="3"/>
  <c r="AX426" i="3"/>
  <c r="A429" i="3"/>
  <c r="B428" i="3"/>
  <c r="AQ428" i="3"/>
  <c r="AR428" i="3"/>
  <c r="C428" i="3"/>
  <c r="S428" i="3"/>
  <c r="R428" i="3"/>
  <c r="D428" i="3"/>
  <c r="AK428" i="3"/>
  <c r="AM428" i="3"/>
  <c r="Q428" i="3"/>
  <c r="AD428" i="3"/>
  <c r="O428" i="3"/>
  <c r="AE428" i="3"/>
  <c r="M428" i="3"/>
  <c r="AF428" i="3"/>
  <c r="U428" i="3"/>
  <c r="P428" i="3"/>
  <c r="V428" i="3"/>
  <c r="F428" i="3"/>
  <c r="G428" i="3"/>
  <c r="H428" i="3" s="1"/>
  <c r="T428" i="3"/>
  <c r="AU426" i="3"/>
  <c r="AW426" i="3"/>
  <c r="X427" i="3"/>
  <c r="AH427" i="3"/>
  <c r="AO427" i="3"/>
  <c r="AV425" i="3"/>
  <c r="BQ424" i="3"/>
  <c r="BF424" i="3"/>
  <c r="BJ423" i="3" s="1"/>
  <c r="BK423" i="3" s="1"/>
  <c r="BB424" i="3"/>
  <c r="AY425" i="3"/>
  <c r="AY426" i="3" l="1"/>
  <c r="BG424" i="3"/>
  <c r="BH424" i="3" s="1"/>
  <c r="BI424" i="3" s="1"/>
  <c r="BQ425" i="3"/>
  <c r="BN428" i="3"/>
  <c r="AU427" i="3"/>
  <c r="AO428" i="3"/>
  <c r="BF425" i="3"/>
  <c r="BJ424" i="3" s="1"/>
  <c r="BK424" i="3" s="1"/>
  <c r="AW427" i="3"/>
  <c r="AT427" i="3"/>
  <c r="BC425" i="3"/>
  <c r="AX427" i="3"/>
  <c r="Y428" i="3"/>
  <c r="Z428" i="3" s="1"/>
  <c r="BM428" i="3"/>
  <c r="AG428" i="3"/>
  <c r="AH428" i="3"/>
  <c r="AN428" i="3"/>
  <c r="BA426" i="3"/>
  <c r="AR429" i="3"/>
  <c r="B429" i="3"/>
  <c r="AQ429" i="3"/>
  <c r="A430" i="3"/>
  <c r="D429" i="3"/>
  <c r="AK429" i="3"/>
  <c r="T429" i="3"/>
  <c r="C429" i="3"/>
  <c r="AM429" i="3"/>
  <c r="S429" i="3"/>
  <c r="Q429" i="3"/>
  <c r="AD429" i="3"/>
  <c r="P429" i="3"/>
  <c r="R429" i="3"/>
  <c r="M429" i="3"/>
  <c r="AE429" i="3"/>
  <c r="O429" i="3"/>
  <c r="V429" i="3"/>
  <c r="AF429" i="3"/>
  <c r="U429" i="3"/>
  <c r="G429" i="3"/>
  <c r="H429" i="3" s="1"/>
  <c r="F429" i="3"/>
  <c r="X428" i="3"/>
  <c r="AV426" i="3"/>
  <c r="BN429" i="3" l="1"/>
  <c r="BC426" i="3"/>
  <c r="BD426" i="3" s="1"/>
  <c r="BM429" i="3"/>
  <c r="AV427" i="3"/>
  <c r="AT428" i="3"/>
  <c r="AN429" i="3"/>
  <c r="AU428" i="3"/>
  <c r="BA427" i="3"/>
  <c r="BB427" i="3" s="1"/>
  <c r="AR430" i="3"/>
  <c r="A431" i="3"/>
  <c r="B430" i="3"/>
  <c r="AQ430" i="3"/>
  <c r="C430" i="3"/>
  <c r="AK430" i="3"/>
  <c r="T430" i="3"/>
  <c r="S430" i="3"/>
  <c r="D430" i="3"/>
  <c r="AM430" i="3"/>
  <c r="Q430" i="3"/>
  <c r="R430" i="3"/>
  <c r="AD430" i="3"/>
  <c r="P430" i="3"/>
  <c r="O430" i="3"/>
  <c r="M430" i="3"/>
  <c r="AF430" i="3"/>
  <c r="V430" i="3"/>
  <c r="AE430" i="3"/>
  <c r="U430" i="3"/>
  <c r="G430" i="3"/>
  <c r="H430" i="3" s="1"/>
  <c r="F430" i="3"/>
  <c r="AG429" i="3"/>
  <c r="AH429" i="3"/>
  <c r="X429" i="3"/>
  <c r="AO429" i="3"/>
  <c r="AW428" i="3"/>
  <c r="AY427" i="3"/>
  <c r="Y429" i="3"/>
  <c r="Z429" i="3" s="1"/>
  <c r="BQ426" i="3"/>
  <c r="BF426" i="3"/>
  <c r="BJ425" i="3" s="1"/>
  <c r="BK425" i="3" s="1"/>
  <c r="BB426" i="3"/>
  <c r="BD425" i="3"/>
  <c r="BG425" i="3"/>
  <c r="BH425" i="3" s="1"/>
  <c r="BI425" i="3" s="1"/>
  <c r="AX428" i="3"/>
  <c r="BN430" i="3" l="1"/>
  <c r="BG426" i="3"/>
  <c r="BH426" i="3" s="1"/>
  <c r="BI426" i="3" s="1"/>
  <c r="BC427" i="3"/>
  <c r="BD427" i="3" s="1"/>
  <c r="AV428" i="3"/>
  <c r="AG430" i="3"/>
  <c r="BM430" i="3"/>
  <c r="AN430" i="3"/>
  <c r="AU429" i="3"/>
  <c r="AT429" i="3"/>
  <c r="BQ427" i="3"/>
  <c r="BF427" i="3"/>
  <c r="BJ426" i="3" s="1"/>
  <c r="BK426" i="3" s="1"/>
  <c r="A432" i="3"/>
  <c r="B431" i="3"/>
  <c r="AR431" i="3"/>
  <c r="AQ431" i="3"/>
  <c r="C431" i="3"/>
  <c r="D431" i="3"/>
  <c r="AM431" i="3"/>
  <c r="S431" i="3"/>
  <c r="R431" i="3"/>
  <c r="AK431" i="3"/>
  <c r="T431" i="3"/>
  <c r="Q431" i="3"/>
  <c r="AD431" i="3"/>
  <c r="P431" i="3"/>
  <c r="M431" i="3"/>
  <c r="AF431" i="3"/>
  <c r="AE431" i="3"/>
  <c r="V431" i="3"/>
  <c r="O431" i="3"/>
  <c r="U431" i="3"/>
  <c r="G431" i="3"/>
  <c r="H431" i="3" s="1"/>
  <c r="F431" i="3"/>
  <c r="AX429" i="3"/>
  <c r="AO430" i="3"/>
  <c r="Y430" i="3"/>
  <c r="Z430" i="3" s="1"/>
  <c r="AY428" i="3"/>
  <c r="AW429" i="3"/>
  <c r="BA428" i="3"/>
  <c r="AH430" i="3"/>
  <c r="X430" i="3"/>
  <c r="BG427" i="3" l="1"/>
  <c r="BH427" i="3" s="1"/>
  <c r="BI427" i="3" s="1"/>
  <c r="BC428" i="3"/>
  <c r="BD428" i="3" s="1"/>
  <c r="AV429" i="3"/>
  <c r="AX430" i="3"/>
  <c r="BM431" i="3"/>
  <c r="BN431" i="3"/>
  <c r="AO431" i="3"/>
  <c r="AY429" i="3"/>
  <c r="A433" i="3"/>
  <c r="B432" i="3"/>
  <c r="AQ432" i="3"/>
  <c r="AR432" i="3"/>
  <c r="D432" i="3"/>
  <c r="C432" i="3"/>
  <c r="AK432" i="3"/>
  <c r="AM432" i="3"/>
  <c r="T432" i="3"/>
  <c r="Q432" i="3"/>
  <c r="S432" i="3"/>
  <c r="P432" i="3"/>
  <c r="R432" i="3"/>
  <c r="AD432" i="3"/>
  <c r="O432" i="3"/>
  <c r="M432" i="3"/>
  <c r="U432" i="3"/>
  <c r="AE432" i="3"/>
  <c r="AF432" i="3"/>
  <c r="V432" i="3"/>
  <c r="G432" i="3"/>
  <c r="H432" i="3" s="1"/>
  <c r="BN432" i="3" s="1"/>
  <c r="F432" i="3"/>
  <c r="BM432" i="3" s="1"/>
  <c r="AT430" i="3"/>
  <c r="AW430" i="3"/>
  <c r="AG431" i="3"/>
  <c r="AH431" i="3"/>
  <c r="AN431" i="3"/>
  <c r="X431" i="3"/>
  <c r="BB428" i="3"/>
  <c r="BF428" i="3"/>
  <c r="BJ427" i="3" s="1"/>
  <c r="BK427" i="3" s="1"/>
  <c r="BQ428" i="3"/>
  <c r="Y431" i="3"/>
  <c r="Z431" i="3" s="1"/>
  <c r="AU430" i="3"/>
  <c r="BA429" i="3"/>
  <c r="AY430" i="3" l="1"/>
  <c r="BG428" i="3"/>
  <c r="BH428" i="3" s="1"/>
  <c r="BI428" i="3" s="1"/>
  <c r="BC429" i="3"/>
  <c r="BD429" i="3" s="1"/>
  <c r="AN432" i="3"/>
  <c r="AU431" i="3"/>
  <c r="AG432" i="3"/>
  <c r="AX431" i="3"/>
  <c r="BB429" i="3"/>
  <c r="BQ429" i="3"/>
  <c r="BF429" i="3"/>
  <c r="BJ428" i="3" s="1"/>
  <c r="BK428" i="3" s="1"/>
  <c r="AV430" i="3"/>
  <c r="BA430" i="3"/>
  <c r="Y432" i="3"/>
  <c r="Z432" i="3" s="1"/>
  <c r="AR433" i="3"/>
  <c r="B433" i="3"/>
  <c r="AQ433" i="3"/>
  <c r="A434" i="3"/>
  <c r="C433" i="3"/>
  <c r="D433" i="3"/>
  <c r="AK433" i="3"/>
  <c r="R433" i="3"/>
  <c r="AM433" i="3"/>
  <c r="S433" i="3"/>
  <c r="AD433" i="3"/>
  <c r="P433" i="3"/>
  <c r="Q433" i="3"/>
  <c r="O433" i="3"/>
  <c r="AE433" i="3"/>
  <c r="V433" i="3"/>
  <c r="U433" i="3"/>
  <c r="M433" i="3"/>
  <c r="AF433" i="3"/>
  <c r="F433" i="3"/>
  <c r="G433" i="3"/>
  <c r="H433" i="3" s="1"/>
  <c r="T433" i="3"/>
  <c r="AT431" i="3"/>
  <c r="AW431" i="3"/>
  <c r="AH432" i="3"/>
  <c r="AO432" i="3"/>
  <c r="X432" i="3"/>
  <c r="BG429" i="3" l="1"/>
  <c r="BH429" i="3" s="1"/>
  <c r="BI429" i="3" s="1"/>
  <c r="AY431" i="3"/>
  <c r="AN433" i="3"/>
  <c r="BC430" i="3"/>
  <c r="BG430" i="3" s="1"/>
  <c r="BH430" i="3" s="1"/>
  <c r="BI430" i="3" s="1"/>
  <c r="BM433" i="3"/>
  <c r="BN433" i="3"/>
  <c r="AU432" i="3"/>
  <c r="AX432" i="3"/>
  <c r="BA431" i="3"/>
  <c r="AV431" i="3"/>
  <c r="AR434" i="3"/>
  <c r="A435" i="3"/>
  <c r="B434" i="3"/>
  <c r="AQ434" i="3"/>
  <c r="AM434" i="3"/>
  <c r="T434" i="3"/>
  <c r="D434" i="3"/>
  <c r="AK434" i="3"/>
  <c r="C434" i="3"/>
  <c r="S434" i="3"/>
  <c r="Q434" i="3"/>
  <c r="P434" i="3"/>
  <c r="AD434" i="3"/>
  <c r="O434" i="3"/>
  <c r="AE434" i="3"/>
  <c r="U434" i="3"/>
  <c r="V434" i="3"/>
  <c r="M434" i="3"/>
  <c r="AF434" i="3"/>
  <c r="G434" i="3"/>
  <c r="H434" i="3" s="1"/>
  <c r="R434" i="3"/>
  <c r="F434" i="3"/>
  <c r="BF430" i="3"/>
  <c r="BJ429" i="3" s="1"/>
  <c r="BK429" i="3" s="1"/>
  <c r="BQ430" i="3"/>
  <c r="BB430" i="3"/>
  <c r="AT432" i="3"/>
  <c r="AW432" i="3"/>
  <c r="Y433" i="3"/>
  <c r="Z433" i="3" s="1"/>
  <c r="AG433" i="3"/>
  <c r="AH433" i="3"/>
  <c r="AO433" i="3"/>
  <c r="X433" i="3"/>
  <c r="BC431" i="3" l="1"/>
  <c r="BD431" i="3" s="1"/>
  <c r="BD430" i="3"/>
  <c r="BM434" i="3"/>
  <c r="AO434" i="3"/>
  <c r="BN434" i="3"/>
  <c r="AY432" i="3"/>
  <c r="AH434" i="3"/>
  <c r="AT433" i="3"/>
  <c r="AX433" i="3"/>
  <c r="Y434" i="3"/>
  <c r="Z434" i="3" s="1"/>
  <c r="BF431" i="3"/>
  <c r="BJ430" i="3" s="1"/>
  <c r="BK430" i="3" s="1"/>
  <c r="BB431" i="3"/>
  <c r="BQ431" i="3"/>
  <c r="AU433" i="3"/>
  <c r="AW433" i="3"/>
  <c r="AG434" i="3"/>
  <c r="X434" i="3"/>
  <c r="AN434" i="3"/>
  <c r="AV432" i="3"/>
  <c r="BA432" i="3"/>
  <c r="A436" i="3"/>
  <c r="B435" i="3"/>
  <c r="AR435" i="3"/>
  <c r="AQ435" i="3"/>
  <c r="C435" i="3"/>
  <c r="AK435" i="3"/>
  <c r="AM435" i="3"/>
  <c r="D435" i="3"/>
  <c r="S435" i="3"/>
  <c r="Q435" i="3"/>
  <c r="AD435" i="3"/>
  <c r="R435" i="3"/>
  <c r="P435" i="3"/>
  <c r="AF435" i="3"/>
  <c r="M435" i="3"/>
  <c r="U435" i="3"/>
  <c r="O435" i="3"/>
  <c r="AE435" i="3"/>
  <c r="V435" i="3"/>
  <c r="G435" i="3"/>
  <c r="H435" i="3" s="1"/>
  <c r="F435" i="3"/>
  <c r="T435" i="3"/>
  <c r="BN435" i="3" l="1"/>
  <c r="BG431" i="3"/>
  <c r="BH431" i="3" s="1"/>
  <c r="BI431" i="3" s="1"/>
  <c r="AY433" i="3"/>
  <c r="BM435" i="3"/>
  <c r="BC432" i="3"/>
  <c r="BG432" i="3" s="1"/>
  <c r="BH432" i="3" s="1"/>
  <c r="BI432" i="3" s="1"/>
  <c r="AO435" i="3"/>
  <c r="AX434" i="3"/>
  <c r="AU434" i="3"/>
  <c r="AG435" i="3"/>
  <c r="Y435" i="3"/>
  <c r="Z435" i="3" s="1"/>
  <c r="BA433" i="3"/>
  <c r="BB433" i="3" s="1"/>
  <c r="BF432" i="3"/>
  <c r="BJ431" i="3" s="1"/>
  <c r="BK431" i="3" s="1"/>
  <c r="BB432" i="3"/>
  <c r="BQ432" i="3"/>
  <c r="A437" i="3"/>
  <c r="B436" i="3"/>
  <c r="AQ436" i="3"/>
  <c r="AR436" i="3"/>
  <c r="D436" i="3"/>
  <c r="C436" i="3"/>
  <c r="S436" i="3"/>
  <c r="Q436" i="3"/>
  <c r="AK436" i="3"/>
  <c r="AM436" i="3"/>
  <c r="R436" i="3"/>
  <c r="P436" i="3"/>
  <c r="AD436" i="3"/>
  <c r="O436" i="3"/>
  <c r="M436" i="3"/>
  <c r="AF436" i="3"/>
  <c r="U436" i="3"/>
  <c r="AE436" i="3"/>
  <c r="V436" i="3"/>
  <c r="F436" i="3"/>
  <c r="G436" i="3"/>
  <c r="H436" i="3" s="1"/>
  <c r="T436" i="3"/>
  <c r="AH435" i="3"/>
  <c r="AN435" i="3"/>
  <c r="X435" i="3"/>
  <c r="AV433" i="3"/>
  <c r="AT434" i="3"/>
  <c r="AW434" i="3"/>
  <c r="BN436" i="3" l="1"/>
  <c r="AU435" i="3"/>
  <c r="BM436" i="3"/>
  <c r="BC433" i="3"/>
  <c r="BD433" i="3" s="1"/>
  <c r="BD432" i="3"/>
  <c r="AN436" i="3"/>
  <c r="AY434" i="3"/>
  <c r="AG436" i="3"/>
  <c r="AX435" i="3"/>
  <c r="BF433" i="3"/>
  <c r="BJ432" i="3" s="1"/>
  <c r="BK432" i="3" s="1"/>
  <c r="BQ433" i="3"/>
  <c r="Y436" i="3"/>
  <c r="Z436" i="3" s="1"/>
  <c r="AV434" i="3"/>
  <c r="BA434" i="3"/>
  <c r="AR437" i="3"/>
  <c r="B437" i="3"/>
  <c r="AQ437" i="3"/>
  <c r="A438" i="3"/>
  <c r="D437" i="3"/>
  <c r="C437" i="3"/>
  <c r="S437" i="3"/>
  <c r="AK437" i="3"/>
  <c r="AM437" i="3"/>
  <c r="T437" i="3"/>
  <c r="Q437" i="3"/>
  <c r="AD437" i="3"/>
  <c r="R437" i="3"/>
  <c r="O437" i="3"/>
  <c r="P437" i="3"/>
  <c r="M437" i="3"/>
  <c r="V437" i="3"/>
  <c r="AE437" i="3"/>
  <c r="AF437" i="3"/>
  <c r="U437" i="3"/>
  <c r="G437" i="3"/>
  <c r="H437" i="3" s="1"/>
  <c r="F437" i="3"/>
  <c r="BM437" i="3" s="1"/>
  <c r="X436" i="3"/>
  <c r="AT435" i="3"/>
  <c r="AW435" i="3"/>
  <c r="AH436" i="3"/>
  <c r="AO436" i="3"/>
  <c r="BG433" i="3" l="1"/>
  <c r="BH433" i="3" s="1"/>
  <c r="BI433" i="3" s="1"/>
  <c r="BC434" i="3"/>
  <c r="BG434" i="3" s="1"/>
  <c r="BH434" i="3" s="1"/>
  <c r="BI434" i="3" s="1"/>
  <c r="BN437" i="3"/>
  <c r="AT436" i="3"/>
  <c r="AG437" i="3"/>
  <c r="AU436" i="3"/>
  <c r="AY435" i="3"/>
  <c r="AO437" i="3"/>
  <c r="AW436" i="3"/>
  <c r="AV435" i="3"/>
  <c r="BA435" i="3"/>
  <c r="Y437" i="3"/>
  <c r="Z437" i="3" s="1"/>
  <c r="AX436" i="3"/>
  <c r="AN437" i="3"/>
  <c r="AR438" i="3"/>
  <c r="A439" i="3"/>
  <c r="B438" i="3"/>
  <c r="AQ438" i="3"/>
  <c r="D438" i="3"/>
  <c r="C438" i="3"/>
  <c r="AM438" i="3"/>
  <c r="AK438" i="3"/>
  <c r="S438" i="3"/>
  <c r="R438" i="3"/>
  <c r="P438" i="3"/>
  <c r="Q438" i="3"/>
  <c r="AD438" i="3"/>
  <c r="O438" i="3"/>
  <c r="M438" i="3"/>
  <c r="AF438" i="3"/>
  <c r="V438" i="3"/>
  <c r="AE438" i="3"/>
  <c r="U438" i="3"/>
  <c r="F438" i="3"/>
  <c r="G438" i="3"/>
  <c r="H438" i="3" s="1"/>
  <c r="T438" i="3"/>
  <c r="BB434" i="3"/>
  <c r="BF434" i="3"/>
  <c r="BJ433" i="3" s="1"/>
  <c r="BK433" i="3" s="1"/>
  <c r="BQ434" i="3"/>
  <c r="AH437" i="3"/>
  <c r="X437" i="3"/>
  <c r="BN438" i="3" l="1"/>
  <c r="BM438" i="3"/>
  <c r="BD434" i="3"/>
  <c r="AY436" i="3"/>
  <c r="AV436" i="3"/>
  <c r="AT437" i="3"/>
  <c r="BC435" i="3"/>
  <c r="BG435" i="3" s="1"/>
  <c r="BH435" i="3" s="1"/>
  <c r="BI435" i="3" s="1"/>
  <c r="AO438" i="3"/>
  <c r="Y438" i="3"/>
  <c r="Z438" i="3" s="1"/>
  <c r="BA436" i="3"/>
  <c r="BF436" i="3" s="1"/>
  <c r="AW437" i="3"/>
  <c r="AH438" i="3"/>
  <c r="AN438" i="3"/>
  <c r="AU437" i="3"/>
  <c r="A440" i="3"/>
  <c r="B439" i="3"/>
  <c r="AR439" i="3"/>
  <c r="AQ439" i="3"/>
  <c r="C439" i="3"/>
  <c r="AK439" i="3"/>
  <c r="AM439" i="3"/>
  <c r="T439" i="3"/>
  <c r="S439" i="3"/>
  <c r="D439" i="3"/>
  <c r="Q439" i="3"/>
  <c r="R439" i="3"/>
  <c r="AD439" i="3"/>
  <c r="P439" i="3"/>
  <c r="O439" i="3"/>
  <c r="AE439" i="3"/>
  <c r="M439" i="3"/>
  <c r="AF439" i="3"/>
  <c r="V439" i="3"/>
  <c r="U439" i="3"/>
  <c r="F439" i="3"/>
  <c r="BM439" i="3" s="1"/>
  <c r="G439" i="3"/>
  <c r="H439" i="3" s="1"/>
  <c r="BQ435" i="3"/>
  <c r="BB435" i="3"/>
  <c r="BF435" i="3"/>
  <c r="BJ434" i="3" s="1"/>
  <c r="BK434" i="3" s="1"/>
  <c r="AG438" i="3"/>
  <c r="X438" i="3"/>
  <c r="AX437" i="3"/>
  <c r="BN439" i="3" l="1"/>
  <c r="BD435" i="3"/>
  <c r="BC436" i="3"/>
  <c r="BG436" i="3" s="1"/>
  <c r="BH436" i="3" s="1"/>
  <c r="BI436" i="3" s="1"/>
  <c r="BQ436" i="3"/>
  <c r="AH439" i="3"/>
  <c r="AW438" i="3"/>
  <c r="AN439" i="3"/>
  <c r="AU438" i="3"/>
  <c r="AT438" i="3"/>
  <c r="BB436" i="3"/>
  <c r="BA437" i="3"/>
  <c r="BQ437" i="3" s="1"/>
  <c r="Y439" i="3"/>
  <c r="Z439" i="3" s="1"/>
  <c r="BJ435" i="3"/>
  <c r="BK435" i="3" s="1"/>
  <c r="AG439" i="3"/>
  <c r="AO439" i="3"/>
  <c r="AY437" i="3"/>
  <c r="AV437" i="3"/>
  <c r="A441" i="3"/>
  <c r="B440" i="3"/>
  <c r="AQ440" i="3"/>
  <c r="AR440" i="3"/>
  <c r="D440" i="3"/>
  <c r="T440" i="3"/>
  <c r="C440" i="3"/>
  <c r="AK440" i="3"/>
  <c r="AM440" i="3"/>
  <c r="S440" i="3"/>
  <c r="R440" i="3"/>
  <c r="AD440" i="3"/>
  <c r="P440" i="3"/>
  <c r="O440" i="3"/>
  <c r="AE440" i="3"/>
  <c r="AF440" i="3"/>
  <c r="U440" i="3"/>
  <c r="M440" i="3"/>
  <c r="V440" i="3"/>
  <c r="Q440" i="3"/>
  <c r="F440" i="3"/>
  <c r="G440" i="3"/>
  <c r="H440" i="3" s="1"/>
  <c r="X439" i="3"/>
  <c r="AX438" i="3"/>
  <c r="BM440" i="3" l="1"/>
  <c r="BD436" i="3"/>
  <c r="BN440" i="3"/>
  <c r="AV438" i="3"/>
  <c r="AU439" i="3"/>
  <c r="AT439" i="3"/>
  <c r="AO440" i="3"/>
  <c r="AW439" i="3"/>
  <c r="BA438" i="3"/>
  <c r="BF438" i="3" s="1"/>
  <c r="BF437" i="3"/>
  <c r="BJ436" i="3" s="1"/>
  <c r="BK436" i="3" s="1"/>
  <c r="BB437" i="3"/>
  <c r="Y440" i="3"/>
  <c r="Z440" i="3" s="1"/>
  <c r="AR441" i="3"/>
  <c r="B441" i="3"/>
  <c r="AQ441" i="3"/>
  <c r="A442" i="3"/>
  <c r="D441" i="3"/>
  <c r="C441" i="3"/>
  <c r="AK441" i="3"/>
  <c r="AM441" i="3"/>
  <c r="Q441" i="3"/>
  <c r="S441" i="3"/>
  <c r="AD441" i="3"/>
  <c r="P441" i="3"/>
  <c r="T441" i="3"/>
  <c r="O441" i="3"/>
  <c r="M441" i="3"/>
  <c r="AE441" i="3"/>
  <c r="AF441" i="3"/>
  <c r="U441" i="3"/>
  <c r="V441" i="3"/>
  <c r="G441" i="3"/>
  <c r="H441" i="3" s="1"/>
  <c r="R441" i="3"/>
  <c r="F441" i="3"/>
  <c r="BM441" i="3" s="1"/>
  <c r="AH440" i="3"/>
  <c r="AY438" i="3"/>
  <c r="AG440" i="3"/>
  <c r="AN440" i="3"/>
  <c r="X440" i="3"/>
  <c r="BC437" i="3"/>
  <c r="AX439" i="3"/>
  <c r="BC438" i="3" l="1"/>
  <c r="BD438" i="3" s="1"/>
  <c r="AV439" i="3"/>
  <c r="BJ437" i="3"/>
  <c r="BK437" i="3" s="1"/>
  <c r="BB438" i="3"/>
  <c r="BQ438" i="3"/>
  <c r="BA439" i="3"/>
  <c r="BB439" i="3" s="1"/>
  <c r="AO441" i="3"/>
  <c r="AT440" i="3"/>
  <c r="AU440" i="3"/>
  <c r="AY439" i="3"/>
  <c r="BD437" i="3"/>
  <c r="BG437" i="3"/>
  <c r="BH437" i="3" s="1"/>
  <c r="BI437" i="3" s="1"/>
  <c r="AR442" i="3"/>
  <c r="AQ442" i="3"/>
  <c r="B442" i="3"/>
  <c r="A443" i="3"/>
  <c r="C442" i="3"/>
  <c r="AK442" i="3"/>
  <c r="S442" i="3"/>
  <c r="AM442" i="3"/>
  <c r="D442" i="3"/>
  <c r="T442" i="3"/>
  <c r="Q442" i="3"/>
  <c r="R442" i="3"/>
  <c r="AD442" i="3"/>
  <c r="P442" i="3"/>
  <c r="O442" i="3"/>
  <c r="U442" i="3"/>
  <c r="AF442" i="3"/>
  <c r="M442" i="3"/>
  <c r="AE442" i="3"/>
  <c r="V442" i="3"/>
  <c r="G442" i="3"/>
  <c r="H442" i="3" s="1"/>
  <c r="F442" i="3"/>
  <c r="AH441" i="3"/>
  <c r="AW440" i="3"/>
  <c r="BN441" i="3"/>
  <c r="AG441" i="3"/>
  <c r="AN441" i="3"/>
  <c r="X441" i="3"/>
  <c r="Y441" i="3"/>
  <c r="Z441" i="3" s="1"/>
  <c r="AX440" i="3"/>
  <c r="BN442" i="3" l="1"/>
  <c r="BG438" i="3"/>
  <c r="BH438" i="3" s="1"/>
  <c r="BI438" i="3" s="1"/>
  <c r="BC439" i="3"/>
  <c r="BG439" i="3" s="1"/>
  <c r="BH439" i="3" s="1"/>
  <c r="BI439" i="3" s="1"/>
  <c r="AG442" i="3"/>
  <c r="BQ439" i="3"/>
  <c r="AT441" i="3"/>
  <c r="BF439" i="3"/>
  <c r="BJ438" i="3" s="1"/>
  <c r="BK438" i="3" s="1"/>
  <c r="AV440" i="3"/>
  <c r="AN442" i="3"/>
  <c r="AR443" i="3"/>
  <c r="B443" i="3"/>
  <c r="AQ443" i="3"/>
  <c r="A444" i="3"/>
  <c r="D443" i="3"/>
  <c r="C443" i="3"/>
  <c r="AM443" i="3"/>
  <c r="AK443" i="3"/>
  <c r="S443" i="3"/>
  <c r="R443" i="3"/>
  <c r="Q443" i="3"/>
  <c r="AD443" i="3"/>
  <c r="P443" i="3"/>
  <c r="AE443" i="3"/>
  <c r="O443" i="3"/>
  <c r="U443" i="3"/>
  <c r="M443" i="3"/>
  <c r="AF443" i="3"/>
  <c r="V443" i="3"/>
  <c r="G443" i="3"/>
  <c r="H443" i="3" s="1"/>
  <c r="F443" i="3"/>
  <c r="T443" i="3"/>
  <c r="AX441" i="3"/>
  <c r="AU441" i="3"/>
  <c r="AW441" i="3"/>
  <c r="AY440" i="3"/>
  <c r="BM442" i="3"/>
  <c r="AO442" i="3"/>
  <c r="AH442" i="3"/>
  <c r="Y442" i="3"/>
  <c r="Z442" i="3" s="1"/>
  <c r="X442" i="3"/>
  <c r="BA440" i="3"/>
  <c r="BD439" i="3" l="1"/>
  <c r="AY441" i="3"/>
  <c r="BN443" i="3"/>
  <c r="BC440" i="3"/>
  <c r="BG440" i="3" s="1"/>
  <c r="BH440" i="3" s="1"/>
  <c r="BI440" i="3" s="1"/>
  <c r="AX442" i="3"/>
  <c r="AO443" i="3"/>
  <c r="BA441" i="3"/>
  <c r="BQ441" i="3" s="1"/>
  <c r="AG443" i="3"/>
  <c r="AT442" i="3"/>
  <c r="AW442" i="3"/>
  <c r="AU442" i="3"/>
  <c r="BM443" i="3"/>
  <c r="AN443" i="3"/>
  <c r="AV441" i="3"/>
  <c r="BQ440" i="3"/>
  <c r="BF440" i="3"/>
  <c r="BJ439" i="3" s="1"/>
  <c r="BK439" i="3" s="1"/>
  <c r="BB440" i="3"/>
  <c r="AQ444" i="3"/>
  <c r="AR444" i="3"/>
  <c r="B444" i="3"/>
  <c r="A445" i="3"/>
  <c r="D444" i="3"/>
  <c r="C444" i="3"/>
  <c r="AK444" i="3"/>
  <c r="AM444" i="3"/>
  <c r="T444" i="3"/>
  <c r="S444" i="3"/>
  <c r="Q444" i="3"/>
  <c r="AD444" i="3"/>
  <c r="P444" i="3"/>
  <c r="M444" i="3"/>
  <c r="AE444" i="3"/>
  <c r="AF444" i="3"/>
  <c r="V444" i="3"/>
  <c r="O444" i="3"/>
  <c r="U444" i="3"/>
  <c r="F444" i="3"/>
  <c r="G444" i="3"/>
  <c r="H444" i="3" s="1"/>
  <c r="BN444" i="3" s="1"/>
  <c r="R444" i="3"/>
  <c r="Y443" i="3"/>
  <c r="Z443" i="3" s="1"/>
  <c r="AH443" i="3"/>
  <c r="X443" i="3"/>
  <c r="BC441" i="3" l="1"/>
  <c r="BG441" i="3" s="1"/>
  <c r="BH441" i="3" s="1"/>
  <c r="BI441" i="3" s="1"/>
  <c r="BM444" i="3"/>
  <c r="BD440" i="3"/>
  <c r="AY442" i="3"/>
  <c r="AX443" i="3"/>
  <c r="BF441" i="3"/>
  <c r="BJ440" i="3" s="1"/>
  <c r="BK440" i="3" s="1"/>
  <c r="AH444" i="3"/>
  <c r="BB441" i="3"/>
  <c r="AN444" i="3"/>
  <c r="AO444" i="3"/>
  <c r="Y444" i="3"/>
  <c r="Z444" i="3" s="1"/>
  <c r="AG444" i="3"/>
  <c r="AU443" i="3"/>
  <c r="AW443" i="3"/>
  <c r="A446" i="3"/>
  <c r="AQ445" i="3"/>
  <c r="B445" i="3"/>
  <c r="AR445" i="3"/>
  <c r="C445" i="3"/>
  <c r="AK445" i="3"/>
  <c r="AM445" i="3"/>
  <c r="S445" i="3"/>
  <c r="D445" i="3"/>
  <c r="R445" i="3"/>
  <c r="Q445" i="3"/>
  <c r="P445" i="3"/>
  <c r="AD445" i="3"/>
  <c r="O445" i="3"/>
  <c r="M445" i="3"/>
  <c r="AE445" i="3"/>
  <c r="U445" i="3"/>
  <c r="AF445" i="3"/>
  <c r="V445" i="3"/>
  <c r="G445" i="3"/>
  <c r="H445" i="3" s="1"/>
  <c r="F445" i="3"/>
  <c r="T445" i="3"/>
  <c r="BA442" i="3"/>
  <c r="AV442" i="3"/>
  <c r="X444" i="3"/>
  <c r="AT443" i="3"/>
  <c r="BM445" i="3" l="1"/>
  <c r="BD441" i="3"/>
  <c r="BC442" i="3"/>
  <c r="BG442" i="3" s="1"/>
  <c r="BH442" i="3" s="1"/>
  <c r="BI442" i="3" s="1"/>
  <c r="AT444" i="3"/>
  <c r="BN445" i="3"/>
  <c r="AY443" i="3"/>
  <c r="AO445" i="3"/>
  <c r="AW444" i="3"/>
  <c r="AN445" i="3"/>
  <c r="Y445" i="3"/>
  <c r="Z445" i="3" s="1"/>
  <c r="BA443" i="3"/>
  <c r="BB443" i="3" s="1"/>
  <c r="AG445" i="3"/>
  <c r="AU444" i="3"/>
  <c r="AX444" i="3"/>
  <c r="BB442" i="3"/>
  <c r="BF442" i="3"/>
  <c r="BJ441" i="3" s="1"/>
  <c r="BK441" i="3" s="1"/>
  <c r="BQ442" i="3"/>
  <c r="B446" i="3"/>
  <c r="A447" i="3"/>
  <c r="AQ446" i="3"/>
  <c r="AR446" i="3"/>
  <c r="C446" i="3"/>
  <c r="D446" i="3"/>
  <c r="S446" i="3"/>
  <c r="R446" i="3"/>
  <c r="AM446" i="3"/>
  <c r="AK446" i="3"/>
  <c r="P446" i="3"/>
  <c r="Q446" i="3"/>
  <c r="AD446" i="3"/>
  <c r="AE446" i="3"/>
  <c r="O446" i="3"/>
  <c r="AF446" i="3"/>
  <c r="M446" i="3"/>
  <c r="V446" i="3"/>
  <c r="U446" i="3"/>
  <c r="G446" i="3"/>
  <c r="H446" i="3" s="1"/>
  <c r="F446" i="3"/>
  <c r="BM446" i="3" s="1"/>
  <c r="T446" i="3"/>
  <c r="AH445" i="3"/>
  <c r="X445" i="3"/>
  <c r="AV443" i="3"/>
  <c r="BD442" i="3" l="1"/>
  <c r="BC443" i="3"/>
  <c r="BD443" i="3" s="1"/>
  <c r="BN446" i="3"/>
  <c r="AV444" i="3"/>
  <c r="AY444" i="3"/>
  <c r="BF443" i="3"/>
  <c r="BJ442" i="3" s="1"/>
  <c r="BK442" i="3" s="1"/>
  <c r="AX445" i="3"/>
  <c r="AO446" i="3"/>
  <c r="BQ443" i="3"/>
  <c r="BA444" i="3"/>
  <c r="BQ444" i="3" s="1"/>
  <c r="AH446" i="3"/>
  <c r="Y446" i="3"/>
  <c r="Z446" i="3" s="1"/>
  <c r="B447" i="3"/>
  <c r="AQ447" i="3"/>
  <c r="AR447" i="3"/>
  <c r="A448" i="3"/>
  <c r="C447" i="3"/>
  <c r="D447" i="3"/>
  <c r="S447" i="3"/>
  <c r="Q447" i="3"/>
  <c r="AM447" i="3"/>
  <c r="AK447" i="3"/>
  <c r="AD447" i="3"/>
  <c r="P447" i="3"/>
  <c r="O447" i="3"/>
  <c r="AE447" i="3"/>
  <c r="U447" i="3"/>
  <c r="M447" i="3"/>
  <c r="AF447" i="3"/>
  <c r="V447" i="3"/>
  <c r="F447" i="3"/>
  <c r="R447" i="3"/>
  <c r="G447" i="3"/>
  <c r="H447" i="3" s="1"/>
  <c r="T447" i="3"/>
  <c r="AG446" i="3"/>
  <c r="AU445" i="3"/>
  <c r="AW445" i="3"/>
  <c r="AN446" i="3"/>
  <c r="X446" i="3"/>
  <c r="AT445" i="3"/>
  <c r="BG443" i="3" l="1"/>
  <c r="BH443" i="3" s="1"/>
  <c r="BI443" i="3" s="1"/>
  <c r="BM447" i="3"/>
  <c r="AU446" i="3"/>
  <c r="AX446" i="3"/>
  <c r="BC444" i="3"/>
  <c r="BD444" i="3" s="1"/>
  <c r="AO447" i="3"/>
  <c r="AY445" i="3"/>
  <c r="BB444" i="3"/>
  <c r="AT446" i="3"/>
  <c r="AG447" i="3"/>
  <c r="BF444" i="3"/>
  <c r="BJ443" i="3" s="1"/>
  <c r="BK443" i="3" s="1"/>
  <c r="Y447" i="3"/>
  <c r="Z447" i="3" s="1"/>
  <c r="AV445" i="3"/>
  <c r="BA445" i="3"/>
  <c r="AW446" i="3"/>
  <c r="BN447" i="3"/>
  <c r="AH447" i="3"/>
  <c r="AN447" i="3"/>
  <c r="X447" i="3"/>
  <c r="AR448" i="3"/>
  <c r="B448" i="3"/>
  <c r="AQ448" i="3"/>
  <c r="A449" i="3"/>
  <c r="AM448" i="3"/>
  <c r="AK448" i="3"/>
  <c r="S448" i="3"/>
  <c r="D448" i="3"/>
  <c r="C448" i="3"/>
  <c r="Q448" i="3"/>
  <c r="R448" i="3"/>
  <c r="AD448" i="3"/>
  <c r="P448" i="3"/>
  <c r="V448" i="3"/>
  <c r="U448" i="3"/>
  <c r="O448" i="3"/>
  <c r="AE448" i="3"/>
  <c r="AF448" i="3"/>
  <c r="M448" i="3"/>
  <c r="G448" i="3"/>
  <c r="H448" i="3" s="1"/>
  <c r="F448" i="3"/>
  <c r="T448" i="3"/>
  <c r="BM448" i="3" l="1"/>
  <c r="BN448" i="3"/>
  <c r="AV446" i="3"/>
  <c r="AT447" i="3"/>
  <c r="AY446" i="3"/>
  <c r="BC445" i="3"/>
  <c r="BG445" i="3" s="1"/>
  <c r="BH445" i="3" s="1"/>
  <c r="BI445" i="3" s="1"/>
  <c r="BG444" i="3"/>
  <c r="BH444" i="3" s="1"/>
  <c r="BI444" i="3" s="1"/>
  <c r="AO448" i="3"/>
  <c r="AW447" i="3"/>
  <c r="AU447" i="3"/>
  <c r="Y448" i="3"/>
  <c r="Z448" i="3" s="1"/>
  <c r="AH448" i="3"/>
  <c r="AG448" i="3"/>
  <c r="X448" i="3"/>
  <c r="AN448" i="3"/>
  <c r="AX447" i="3"/>
  <c r="BA446" i="3"/>
  <c r="AQ449" i="3"/>
  <c r="B449" i="3"/>
  <c r="A450" i="3"/>
  <c r="AR449" i="3"/>
  <c r="C449" i="3"/>
  <c r="AK449" i="3"/>
  <c r="T449" i="3"/>
  <c r="Q449" i="3"/>
  <c r="D449" i="3"/>
  <c r="AM449" i="3"/>
  <c r="R449" i="3"/>
  <c r="S449" i="3"/>
  <c r="AD449" i="3"/>
  <c r="P449" i="3"/>
  <c r="AE449" i="3"/>
  <c r="M449" i="3"/>
  <c r="AF449" i="3"/>
  <c r="U449" i="3"/>
  <c r="O449" i="3"/>
  <c r="V449" i="3"/>
  <c r="G449" i="3"/>
  <c r="H449" i="3" s="1"/>
  <c r="F449" i="3"/>
  <c r="BB445" i="3"/>
  <c r="BF445" i="3"/>
  <c r="BJ444" i="3" s="1"/>
  <c r="BK444" i="3" s="1"/>
  <c r="BQ445" i="3"/>
  <c r="BN449" i="3" l="1"/>
  <c r="AV447" i="3"/>
  <c r="BC446" i="3"/>
  <c r="BD446" i="3" s="1"/>
  <c r="BD445" i="3"/>
  <c r="AU448" i="3"/>
  <c r="AX448" i="3"/>
  <c r="AN449" i="3"/>
  <c r="BM449" i="3"/>
  <c r="AH449" i="3"/>
  <c r="AT448" i="3"/>
  <c r="BA447" i="3"/>
  <c r="BB447" i="3" s="1"/>
  <c r="AY447" i="3"/>
  <c r="Y449" i="3"/>
  <c r="Z449" i="3" s="1"/>
  <c r="AQ450" i="3"/>
  <c r="B450" i="3"/>
  <c r="A451" i="3"/>
  <c r="AR450" i="3"/>
  <c r="C450" i="3"/>
  <c r="D450" i="3"/>
  <c r="S450" i="3"/>
  <c r="AM450" i="3"/>
  <c r="AK450" i="3"/>
  <c r="Q450" i="3"/>
  <c r="R450" i="3"/>
  <c r="AD450" i="3"/>
  <c r="P450" i="3"/>
  <c r="M450" i="3"/>
  <c r="O450" i="3"/>
  <c r="AF450" i="3"/>
  <c r="AE450" i="3"/>
  <c r="U450" i="3"/>
  <c r="V450" i="3"/>
  <c r="F450" i="3"/>
  <c r="G450" i="3"/>
  <c r="H450" i="3" s="1"/>
  <c r="T450" i="3"/>
  <c r="AG449" i="3"/>
  <c r="X449" i="3"/>
  <c r="BQ446" i="3"/>
  <c r="BF446" i="3"/>
  <c r="BJ445" i="3" s="1"/>
  <c r="BK445" i="3" s="1"/>
  <c r="BB446" i="3"/>
  <c r="AO449" i="3"/>
  <c r="AW448" i="3"/>
  <c r="BC447" i="3" l="1"/>
  <c r="BD447" i="3" s="1"/>
  <c r="AT449" i="3"/>
  <c r="BG446" i="3"/>
  <c r="BH446" i="3" s="1"/>
  <c r="BI446" i="3" s="1"/>
  <c r="AV448" i="3"/>
  <c r="AY448" i="3"/>
  <c r="BN450" i="3"/>
  <c r="BF447" i="3"/>
  <c r="BJ446" i="3" s="1"/>
  <c r="BK446" i="3" s="1"/>
  <c r="BQ447" i="3"/>
  <c r="AX449" i="3"/>
  <c r="AO450" i="3"/>
  <c r="AU449" i="3"/>
  <c r="AG450" i="3"/>
  <c r="BA448" i="3"/>
  <c r="BB448" i="3" s="1"/>
  <c r="AW449" i="3"/>
  <c r="Y450" i="3"/>
  <c r="Z450" i="3" s="1"/>
  <c r="BM450" i="3"/>
  <c r="AH450" i="3"/>
  <c r="AN450" i="3"/>
  <c r="AR451" i="3"/>
  <c r="B451" i="3"/>
  <c r="AQ451" i="3"/>
  <c r="A452" i="3"/>
  <c r="D451" i="3"/>
  <c r="C451" i="3"/>
  <c r="AK451" i="3"/>
  <c r="AM451" i="3"/>
  <c r="S451" i="3"/>
  <c r="Q451" i="3"/>
  <c r="R451" i="3"/>
  <c r="T451" i="3"/>
  <c r="AD451" i="3"/>
  <c r="P451" i="3"/>
  <c r="O451" i="3"/>
  <c r="AE451" i="3"/>
  <c r="AF451" i="3"/>
  <c r="V451" i="3"/>
  <c r="U451" i="3"/>
  <c r="M451" i="3"/>
  <c r="F451" i="3"/>
  <c r="G451" i="3"/>
  <c r="H451" i="3" s="1"/>
  <c r="X450" i="3"/>
  <c r="BG447" i="3" l="1"/>
  <c r="BH447" i="3" s="1"/>
  <c r="BI447" i="3" s="1"/>
  <c r="AV449" i="3"/>
  <c r="BC448" i="3"/>
  <c r="BG448" i="3" s="1"/>
  <c r="BH448" i="3" s="1"/>
  <c r="BI448" i="3" s="1"/>
  <c r="BF448" i="3"/>
  <c r="BJ447" i="3" s="1"/>
  <c r="BK447" i="3" s="1"/>
  <c r="BM451" i="3"/>
  <c r="AO451" i="3"/>
  <c r="BQ448" i="3"/>
  <c r="AT450" i="3"/>
  <c r="AY449" i="3"/>
  <c r="AU450" i="3"/>
  <c r="AW450" i="3"/>
  <c r="Y451" i="3"/>
  <c r="Z451" i="3" s="1"/>
  <c r="AQ452" i="3"/>
  <c r="AR452" i="3"/>
  <c r="B452" i="3"/>
  <c r="A453" i="3"/>
  <c r="D452" i="3"/>
  <c r="C452" i="3"/>
  <c r="AM452" i="3"/>
  <c r="AK452" i="3"/>
  <c r="Q452" i="3"/>
  <c r="R452" i="3"/>
  <c r="T452" i="3"/>
  <c r="S452" i="3"/>
  <c r="AD452" i="3"/>
  <c r="P452" i="3"/>
  <c r="O452" i="3"/>
  <c r="AE452" i="3"/>
  <c r="M452" i="3"/>
  <c r="AF452" i="3"/>
  <c r="U452" i="3"/>
  <c r="V452" i="3"/>
  <c r="G452" i="3"/>
  <c r="H452" i="3" s="1"/>
  <c r="BN452" i="3" s="1"/>
  <c r="F452" i="3"/>
  <c r="BM452" i="3" s="1"/>
  <c r="AH451" i="3"/>
  <c r="BN451" i="3"/>
  <c r="AG451" i="3"/>
  <c r="AN451" i="3"/>
  <c r="X451" i="3"/>
  <c r="AX450" i="3"/>
  <c r="BA449" i="3"/>
  <c r="BC449" i="3" l="1"/>
  <c r="BG449" i="3" s="1"/>
  <c r="BH449" i="3" s="1"/>
  <c r="BI449" i="3" s="1"/>
  <c r="BD448" i="3"/>
  <c r="AV450" i="3"/>
  <c r="AO452" i="3"/>
  <c r="BA450" i="3"/>
  <c r="BQ450" i="3" s="1"/>
  <c r="AG452" i="3"/>
  <c r="AU451" i="3"/>
  <c r="A454" i="3"/>
  <c r="AQ453" i="3"/>
  <c r="B453" i="3"/>
  <c r="AR453" i="3"/>
  <c r="C453" i="3"/>
  <c r="S453" i="3"/>
  <c r="R453" i="3"/>
  <c r="D453" i="3"/>
  <c r="AK453" i="3"/>
  <c r="AM453" i="3"/>
  <c r="AD453" i="3"/>
  <c r="Q453" i="3"/>
  <c r="P453" i="3"/>
  <c r="AE453" i="3"/>
  <c r="O453" i="3"/>
  <c r="M453" i="3"/>
  <c r="AF453" i="3"/>
  <c r="U453" i="3"/>
  <c r="V453" i="3"/>
  <c r="F453" i="3"/>
  <c r="G453" i="3"/>
  <c r="H453" i="3" s="1"/>
  <c r="T453" i="3"/>
  <c r="Y452" i="3"/>
  <c r="Z452" i="3" s="1"/>
  <c r="AH452" i="3"/>
  <c r="AY450" i="3"/>
  <c r="AN452" i="3"/>
  <c r="BF449" i="3"/>
  <c r="BJ448" i="3" s="1"/>
  <c r="BK448" i="3" s="1"/>
  <c r="BB449" i="3"/>
  <c r="BQ449" i="3"/>
  <c r="AT451" i="3"/>
  <c r="AW451" i="3"/>
  <c r="AX451" i="3"/>
  <c r="X452" i="3"/>
  <c r="BD449" i="3" l="1"/>
  <c r="BC450" i="3"/>
  <c r="BD450" i="3" s="1"/>
  <c r="BN453" i="3"/>
  <c r="BM453" i="3"/>
  <c r="BF450" i="3"/>
  <c r="BJ449" i="3" s="1"/>
  <c r="BK449" i="3" s="1"/>
  <c r="BB450" i="3"/>
  <c r="AX452" i="3"/>
  <c r="AU452" i="3"/>
  <c r="AO453" i="3"/>
  <c r="AT452" i="3"/>
  <c r="AW452" i="3"/>
  <c r="AY451" i="3"/>
  <c r="AV451" i="3"/>
  <c r="BA451" i="3"/>
  <c r="Y453" i="3"/>
  <c r="Z453" i="3" s="1"/>
  <c r="AG453" i="3"/>
  <c r="AN453" i="3"/>
  <c r="B454" i="3"/>
  <c r="A455" i="3"/>
  <c r="AQ454" i="3"/>
  <c r="AR454" i="3"/>
  <c r="C454" i="3"/>
  <c r="D454" i="3"/>
  <c r="AK454" i="3"/>
  <c r="T454" i="3"/>
  <c r="AM454" i="3"/>
  <c r="S454" i="3"/>
  <c r="R454" i="3"/>
  <c r="Q454" i="3"/>
  <c r="AD454" i="3"/>
  <c r="P454" i="3"/>
  <c r="M454" i="3"/>
  <c r="AE454" i="3"/>
  <c r="O454" i="3"/>
  <c r="AF454" i="3"/>
  <c r="U454" i="3"/>
  <c r="V454" i="3"/>
  <c r="F454" i="3"/>
  <c r="G454" i="3"/>
  <c r="H454" i="3" s="1"/>
  <c r="AH453" i="3"/>
  <c r="X453" i="3"/>
  <c r="BN454" i="3" l="1"/>
  <c r="BM454" i="3"/>
  <c r="AV452" i="3"/>
  <c r="AY452" i="3"/>
  <c r="BG450" i="3"/>
  <c r="BH450" i="3" s="1"/>
  <c r="BI450" i="3" s="1"/>
  <c r="BA452" i="3"/>
  <c r="BF452" i="3" s="1"/>
  <c r="AN454" i="3"/>
  <c r="BC451" i="3"/>
  <c r="BG451" i="3" s="1"/>
  <c r="BH451" i="3" s="1"/>
  <c r="BI451" i="3" s="1"/>
  <c r="AU453" i="3"/>
  <c r="AX453" i="3"/>
  <c r="AH454" i="3"/>
  <c r="AO454" i="3"/>
  <c r="X454" i="3"/>
  <c r="AW453" i="3"/>
  <c r="Y454" i="3"/>
  <c r="Z454" i="3" s="1"/>
  <c r="B455" i="3"/>
  <c r="AQ455" i="3"/>
  <c r="AR455" i="3"/>
  <c r="A456" i="3"/>
  <c r="AK455" i="3"/>
  <c r="S455" i="3"/>
  <c r="D455" i="3"/>
  <c r="C455" i="3"/>
  <c r="AM455" i="3"/>
  <c r="R455" i="3"/>
  <c r="AD455" i="3"/>
  <c r="P455" i="3"/>
  <c r="O455" i="3"/>
  <c r="AE455" i="3"/>
  <c r="V455" i="3"/>
  <c r="AF455" i="3"/>
  <c r="M455" i="3"/>
  <c r="U455" i="3"/>
  <c r="Q455" i="3"/>
  <c r="G455" i="3"/>
  <c r="H455" i="3" s="1"/>
  <c r="F455" i="3"/>
  <c r="T455" i="3"/>
  <c r="BB451" i="3"/>
  <c r="BQ451" i="3"/>
  <c r="BF451" i="3"/>
  <c r="BJ450" i="3" s="1"/>
  <c r="BK450" i="3" s="1"/>
  <c r="AG454" i="3"/>
  <c r="AT453" i="3"/>
  <c r="BC452" i="3" l="1"/>
  <c r="BD452" i="3" s="1"/>
  <c r="AN455" i="3"/>
  <c r="BM455" i="3"/>
  <c r="BN455" i="3"/>
  <c r="BB452" i="3"/>
  <c r="BQ452" i="3"/>
  <c r="BD451" i="3"/>
  <c r="AW454" i="3"/>
  <c r="AH455" i="3"/>
  <c r="BA453" i="3"/>
  <c r="AV453" i="3"/>
  <c r="AR456" i="3"/>
  <c r="B456" i="3"/>
  <c r="AQ456" i="3"/>
  <c r="A457" i="3"/>
  <c r="C456" i="3"/>
  <c r="D456" i="3"/>
  <c r="AK456" i="3"/>
  <c r="S456" i="3"/>
  <c r="R456" i="3"/>
  <c r="AM456" i="3"/>
  <c r="Q456" i="3"/>
  <c r="AD456" i="3"/>
  <c r="P456" i="3"/>
  <c r="O456" i="3"/>
  <c r="M456" i="3"/>
  <c r="V456" i="3"/>
  <c r="AE456" i="3"/>
  <c r="AF456" i="3"/>
  <c r="U456" i="3"/>
  <c r="G456" i="3"/>
  <c r="H456" i="3" s="1"/>
  <c r="F456" i="3"/>
  <c r="BM456" i="3" s="1"/>
  <c r="T456" i="3"/>
  <c r="AT454" i="3"/>
  <c r="BJ451" i="3"/>
  <c r="BK451" i="3" s="1"/>
  <c r="Y455" i="3"/>
  <c r="Z455" i="3" s="1"/>
  <c r="AG455" i="3"/>
  <c r="X455" i="3"/>
  <c r="AX454" i="3"/>
  <c r="AO455" i="3"/>
  <c r="AU454" i="3"/>
  <c r="AY453" i="3"/>
  <c r="AU455" i="3" l="1"/>
  <c r="BN456" i="3"/>
  <c r="BG452" i="3"/>
  <c r="BH452" i="3" s="1"/>
  <c r="BI452" i="3" s="1"/>
  <c r="AO456" i="3"/>
  <c r="AY454" i="3"/>
  <c r="Y456" i="3"/>
  <c r="Z456" i="3" s="1"/>
  <c r="AT455" i="3"/>
  <c r="AX455" i="3"/>
  <c r="AG456" i="3"/>
  <c r="BQ453" i="3"/>
  <c r="BB453" i="3"/>
  <c r="BF453" i="3"/>
  <c r="BJ452" i="3" s="1"/>
  <c r="BK452" i="3" s="1"/>
  <c r="AV454" i="3"/>
  <c r="X456" i="3"/>
  <c r="AQ457" i="3"/>
  <c r="B457" i="3"/>
  <c r="A458" i="3"/>
  <c r="AR457" i="3"/>
  <c r="D457" i="3"/>
  <c r="AK457" i="3"/>
  <c r="C457" i="3"/>
  <c r="AM457" i="3"/>
  <c r="S457" i="3"/>
  <c r="Q457" i="3"/>
  <c r="R457" i="3"/>
  <c r="AD457" i="3"/>
  <c r="P457" i="3"/>
  <c r="O457" i="3"/>
  <c r="AE457" i="3"/>
  <c r="AF457" i="3"/>
  <c r="M457" i="3"/>
  <c r="V457" i="3"/>
  <c r="U457" i="3"/>
  <c r="F457" i="3"/>
  <c r="G457" i="3"/>
  <c r="H457" i="3" s="1"/>
  <c r="BN457" i="3" s="1"/>
  <c r="T457" i="3"/>
  <c r="BA454" i="3"/>
  <c r="AW455" i="3"/>
  <c r="AH456" i="3"/>
  <c r="AN456" i="3"/>
  <c r="BC453" i="3"/>
  <c r="AV455" i="3" l="1"/>
  <c r="AN457" i="3"/>
  <c r="BM457" i="3"/>
  <c r="BC454" i="3"/>
  <c r="BG454" i="3" s="1"/>
  <c r="BH454" i="3" s="1"/>
  <c r="BI454" i="3" s="1"/>
  <c r="AY455" i="3"/>
  <c r="Y457" i="3"/>
  <c r="Z457" i="3" s="1"/>
  <c r="AT456" i="3"/>
  <c r="BD453" i="3"/>
  <c r="BG453" i="3"/>
  <c r="BH453" i="3" s="1"/>
  <c r="BI453" i="3" s="1"/>
  <c r="AH457" i="3"/>
  <c r="AO457" i="3"/>
  <c r="BA455" i="3"/>
  <c r="BF454" i="3"/>
  <c r="BJ453" i="3" s="1"/>
  <c r="BK453" i="3" s="1"/>
  <c r="BQ454" i="3"/>
  <c r="BB454" i="3"/>
  <c r="AQ458" i="3"/>
  <c r="B458" i="3"/>
  <c r="A459" i="3"/>
  <c r="AR458" i="3"/>
  <c r="C458" i="3"/>
  <c r="D458" i="3"/>
  <c r="S458" i="3"/>
  <c r="R458" i="3"/>
  <c r="AK458" i="3"/>
  <c r="AM458" i="3"/>
  <c r="Q458" i="3"/>
  <c r="AD458" i="3"/>
  <c r="P458" i="3"/>
  <c r="M458" i="3"/>
  <c r="AE458" i="3"/>
  <c r="V458" i="3"/>
  <c r="O458" i="3"/>
  <c r="AF458" i="3"/>
  <c r="U458" i="3"/>
  <c r="G458" i="3"/>
  <c r="H458" i="3" s="1"/>
  <c r="F458" i="3"/>
  <c r="BM458" i="3" s="1"/>
  <c r="T458" i="3"/>
  <c r="AX456" i="3"/>
  <c r="AG457" i="3"/>
  <c r="X457" i="3"/>
  <c r="AU456" i="3"/>
  <c r="AW456" i="3"/>
  <c r="BC455" i="3" l="1"/>
  <c r="BG455" i="3" s="1"/>
  <c r="BH455" i="3" s="1"/>
  <c r="BI455" i="3" s="1"/>
  <c r="BN458" i="3"/>
  <c r="BD454" i="3"/>
  <c r="AO458" i="3"/>
  <c r="AG458" i="3"/>
  <c r="AU457" i="3"/>
  <c r="AY456" i="3"/>
  <c r="AW457" i="3"/>
  <c r="BA456" i="3"/>
  <c r="BF456" i="3" s="1"/>
  <c r="AR459" i="3"/>
  <c r="B459" i="3"/>
  <c r="AQ459" i="3"/>
  <c r="A460" i="3"/>
  <c r="D459" i="3"/>
  <c r="C459" i="3"/>
  <c r="AM459" i="3"/>
  <c r="AK459" i="3"/>
  <c r="T459" i="3"/>
  <c r="R459" i="3"/>
  <c r="S459" i="3"/>
  <c r="Q459" i="3"/>
  <c r="AD459" i="3"/>
  <c r="O459" i="3"/>
  <c r="AE459" i="3"/>
  <c r="V459" i="3"/>
  <c r="P459" i="3"/>
  <c r="M459" i="3"/>
  <c r="AF459" i="3"/>
  <c r="U459" i="3"/>
  <c r="G459" i="3"/>
  <c r="H459" i="3" s="1"/>
  <c r="F459" i="3"/>
  <c r="Y458" i="3"/>
  <c r="Z458" i="3" s="1"/>
  <c r="AH458" i="3"/>
  <c r="AN458" i="3"/>
  <c r="AT457" i="3"/>
  <c r="AX457" i="3"/>
  <c r="AV456" i="3"/>
  <c r="BB455" i="3"/>
  <c r="BF455" i="3"/>
  <c r="BJ454" i="3" s="1"/>
  <c r="BK454" i="3" s="1"/>
  <c r="BQ455" i="3"/>
  <c r="X458" i="3"/>
  <c r="BD455" i="3" l="1"/>
  <c r="BN459" i="3"/>
  <c r="BM459" i="3"/>
  <c r="AY457" i="3"/>
  <c r="BC456" i="3"/>
  <c r="BD456" i="3" s="1"/>
  <c r="AN459" i="3"/>
  <c r="AH459" i="3"/>
  <c r="AX458" i="3"/>
  <c r="BB456" i="3"/>
  <c r="BQ456" i="3"/>
  <c r="BA457" i="3"/>
  <c r="AV457" i="3"/>
  <c r="Y459" i="3"/>
  <c r="Z459" i="3" s="1"/>
  <c r="AQ460" i="3"/>
  <c r="AR460" i="3"/>
  <c r="B460" i="3"/>
  <c r="A461" i="3"/>
  <c r="C460" i="3"/>
  <c r="D460" i="3"/>
  <c r="AM460" i="3"/>
  <c r="AK460" i="3"/>
  <c r="Q460" i="3"/>
  <c r="S460" i="3"/>
  <c r="R460" i="3"/>
  <c r="P460" i="3"/>
  <c r="AD460" i="3"/>
  <c r="O460" i="3"/>
  <c r="AF460" i="3"/>
  <c r="M460" i="3"/>
  <c r="AE460" i="3"/>
  <c r="V460" i="3"/>
  <c r="U460" i="3"/>
  <c r="G460" i="3"/>
  <c r="H460" i="3" s="1"/>
  <c r="F460" i="3"/>
  <c r="BM460" i="3" s="1"/>
  <c r="T460" i="3"/>
  <c r="AU458" i="3"/>
  <c r="AW458" i="3"/>
  <c r="AT458" i="3"/>
  <c r="AO459" i="3"/>
  <c r="X459" i="3"/>
  <c r="BJ455" i="3"/>
  <c r="BK455" i="3" s="1"/>
  <c r="AG459" i="3"/>
  <c r="BN460" i="3" l="1"/>
  <c r="BC457" i="3"/>
  <c r="BD457" i="3" s="1"/>
  <c r="AG460" i="3"/>
  <c r="BG456" i="3"/>
  <c r="BH456" i="3" s="1"/>
  <c r="BI456" i="3" s="1"/>
  <c r="AO460" i="3"/>
  <c r="AY458" i="3"/>
  <c r="AW459" i="3"/>
  <c r="AV458" i="3"/>
  <c r="BA458" i="3"/>
  <c r="BF457" i="3"/>
  <c r="BJ456" i="3" s="1"/>
  <c r="BK456" i="3" s="1"/>
  <c r="BB457" i="3"/>
  <c r="BQ457" i="3"/>
  <c r="Y460" i="3"/>
  <c r="Z460" i="3" s="1"/>
  <c r="AU459" i="3"/>
  <c r="AX459" i="3"/>
  <c r="AH460" i="3"/>
  <c r="AN460" i="3"/>
  <c r="X460" i="3"/>
  <c r="A462" i="3"/>
  <c r="AQ461" i="3"/>
  <c r="B461" i="3"/>
  <c r="AR461" i="3"/>
  <c r="C461" i="3"/>
  <c r="Q461" i="3"/>
  <c r="AM461" i="3"/>
  <c r="D461" i="3"/>
  <c r="AK461" i="3"/>
  <c r="T461" i="3"/>
  <c r="R461" i="3"/>
  <c r="AD461" i="3"/>
  <c r="S461" i="3"/>
  <c r="P461" i="3"/>
  <c r="AE461" i="3"/>
  <c r="AF461" i="3"/>
  <c r="V461" i="3"/>
  <c r="U461" i="3"/>
  <c r="O461" i="3"/>
  <c r="M461" i="3"/>
  <c r="G461" i="3"/>
  <c r="H461" i="3" s="1"/>
  <c r="F461" i="3"/>
  <c r="AT459" i="3"/>
  <c r="AY459" i="3" l="1"/>
  <c r="AO461" i="3"/>
  <c r="BG457" i="3"/>
  <c r="BH457" i="3" s="1"/>
  <c r="BI457" i="3" s="1"/>
  <c r="AT460" i="3"/>
  <c r="BM461" i="3"/>
  <c r="BC458" i="3"/>
  <c r="BG458" i="3" s="1"/>
  <c r="BH458" i="3" s="1"/>
  <c r="BI458" i="3" s="1"/>
  <c r="BN461" i="3"/>
  <c r="AG461" i="3"/>
  <c r="AX460" i="3"/>
  <c r="B462" i="3"/>
  <c r="A463" i="3"/>
  <c r="AQ462" i="3"/>
  <c r="AR462" i="3"/>
  <c r="D462" i="3"/>
  <c r="AM462" i="3"/>
  <c r="S462" i="3"/>
  <c r="Q462" i="3"/>
  <c r="AK462" i="3"/>
  <c r="C462" i="3"/>
  <c r="R462" i="3"/>
  <c r="T462" i="3"/>
  <c r="AD462" i="3"/>
  <c r="P462" i="3"/>
  <c r="AE462" i="3"/>
  <c r="M462" i="3"/>
  <c r="O462" i="3"/>
  <c r="V462" i="3"/>
  <c r="AF462" i="3"/>
  <c r="U462" i="3"/>
  <c r="F462" i="3"/>
  <c r="G462" i="3"/>
  <c r="H462" i="3" s="1"/>
  <c r="AN461" i="3"/>
  <c r="X461" i="3"/>
  <c r="AV459" i="3"/>
  <c r="BA459" i="3"/>
  <c r="Y461" i="3"/>
  <c r="Z461" i="3" s="1"/>
  <c r="BQ458" i="3"/>
  <c r="BF458" i="3"/>
  <c r="BJ457" i="3" s="1"/>
  <c r="BK457" i="3" s="1"/>
  <c r="BB458" i="3"/>
  <c r="AH461" i="3"/>
  <c r="AU460" i="3"/>
  <c r="AW460" i="3"/>
  <c r="BC459" i="3" l="1"/>
  <c r="BG459" i="3" s="1"/>
  <c r="BH459" i="3" s="1"/>
  <c r="BI459" i="3" s="1"/>
  <c r="AV460" i="3"/>
  <c r="BD458" i="3"/>
  <c r="AX461" i="3"/>
  <c r="AO462" i="3"/>
  <c r="BM462" i="3"/>
  <c r="AY460" i="3"/>
  <c r="AU461" i="3"/>
  <c r="BF459" i="3"/>
  <c r="BJ458" i="3" s="1"/>
  <c r="BK458" i="3" s="1"/>
  <c r="BQ459" i="3"/>
  <c r="BB459" i="3"/>
  <c r="B463" i="3"/>
  <c r="AQ463" i="3"/>
  <c r="AR463" i="3"/>
  <c r="A464" i="3"/>
  <c r="C463" i="3"/>
  <c r="D463" i="3"/>
  <c r="AK463" i="3"/>
  <c r="AM463" i="3"/>
  <c r="T463" i="3"/>
  <c r="Q463" i="3"/>
  <c r="S463" i="3"/>
  <c r="R463" i="3"/>
  <c r="AD463" i="3"/>
  <c r="O463" i="3"/>
  <c r="P463" i="3"/>
  <c r="AE463" i="3"/>
  <c r="AF463" i="3"/>
  <c r="U463" i="3"/>
  <c r="V463" i="3"/>
  <c r="M463" i="3"/>
  <c r="G463" i="3"/>
  <c r="H463" i="3" s="1"/>
  <c r="F463" i="3"/>
  <c r="AG462" i="3"/>
  <c r="AT461" i="3"/>
  <c r="BN462" i="3"/>
  <c r="X462" i="3"/>
  <c r="AN462" i="3"/>
  <c r="Y462" i="3"/>
  <c r="Z462" i="3" s="1"/>
  <c r="BA460" i="3"/>
  <c r="AW461" i="3"/>
  <c r="AH462" i="3"/>
  <c r="BD459" i="3" l="1"/>
  <c r="BC460" i="3"/>
  <c r="BD460" i="3" s="1"/>
  <c r="AY461" i="3"/>
  <c r="AO463" i="3"/>
  <c r="BN463" i="3"/>
  <c r="AH463" i="3"/>
  <c r="AX462" i="3"/>
  <c r="AV461" i="3"/>
  <c r="Y463" i="3"/>
  <c r="Z463" i="3" s="1"/>
  <c r="AR464" i="3"/>
  <c r="B464" i="3"/>
  <c r="AQ464" i="3"/>
  <c r="A465" i="3"/>
  <c r="D464" i="3"/>
  <c r="C464" i="3"/>
  <c r="T464" i="3"/>
  <c r="Q464" i="3"/>
  <c r="AM464" i="3"/>
  <c r="AK464" i="3"/>
  <c r="R464" i="3"/>
  <c r="AD464" i="3"/>
  <c r="S464" i="3"/>
  <c r="O464" i="3"/>
  <c r="AE464" i="3"/>
  <c r="AF464" i="3"/>
  <c r="U464" i="3"/>
  <c r="P464" i="3"/>
  <c r="M464" i="3"/>
  <c r="V464" i="3"/>
  <c r="G464" i="3"/>
  <c r="H464" i="3" s="1"/>
  <c r="BN464" i="3" s="1"/>
  <c r="F464" i="3"/>
  <c r="AU462" i="3"/>
  <c r="AT462" i="3"/>
  <c r="BA461" i="3"/>
  <c r="BM463" i="3"/>
  <c r="AG463" i="3"/>
  <c r="AN463" i="3"/>
  <c r="BQ460" i="3"/>
  <c r="BF460" i="3"/>
  <c r="BJ459" i="3" s="1"/>
  <c r="BK459" i="3" s="1"/>
  <c r="BB460" i="3"/>
  <c r="AW462" i="3"/>
  <c r="X463" i="3"/>
  <c r="BM464" i="3" l="1"/>
  <c r="BG460" i="3"/>
  <c r="BH460" i="3" s="1"/>
  <c r="BI460" i="3" s="1"/>
  <c r="BC461" i="3"/>
  <c r="BG461" i="3" s="1"/>
  <c r="BH461" i="3" s="1"/>
  <c r="BI461" i="3" s="1"/>
  <c r="AW463" i="3"/>
  <c r="AN464" i="3"/>
  <c r="AG464" i="3"/>
  <c r="AO464" i="3"/>
  <c r="AU463" i="3"/>
  <c r="BA462" i="3"/>
  <c r="AY462" i="3"/>
  <c r="BB461" i="3"/>
  <c r="BF461" i="3"/>
  <c r="BQ461" i="3"/>
  <c r="Y464" i="3"/>
  <c r="Z464" i="3" s="1"/>
  <c r="AQ465" i="3"/>
  <c r="B465" i="3"/>
  <c r="A466" i="3"/>
  <c r="AR465" i="3"/>
  <c r="D465" i="3"/>
  <c r="AK465" i="3"/>
  <c r="R465" i="3"/>
  <c r="C465" i="3"/>
  <c r="AM465" i="3"/>
  <c r="S465" i="3"/>
  <c r="Q465" i="3"/>
  <c r="P465" i="3"/>
  <c r="AD465" i="3"/>
  <c r="O465" i="3"/>
  <c r="AE465" i="3"/>
  <c r="V465" i="3"/>
  <c r="U465" i="3"/>
  <c r="AF465" i="3"/>
  <c r="M465" i="3"/>
  <c r="F465" i="3"/>
  <c r="G465" i="3"/>
  <c r="H465" i="3" s="1"/>
  <c r="T465" i="3"/>
  <c r="AT463" i="3"/>
  <c r="AX463" i="3"/>
  <c r="AV462" i="3"/>
  <c r="AH464" i="3"/>
  <c r="X464" i="3"/>
  <c r="BM465" i="3" l="1"/>
  <c r="BD461" i="3"/>
  <c r="BN465" i="3"/>
  <c r="AY463" i="3"/>
  <c r="AX464" i="3"/>
  <c r="AG465" i="3"/>
  <c r="AV463" i="3"/>
  <c r="AN465" i="3"/>
  <c r="BC462" i="3"/>
  <c r="BD462" i="3" s="1"/>
  <c r="BF462" i="3"/>
  <c r="BJ461" i="3" s="1"/>
  <c r="BK461" i="3" s="1"/>
  <c r="BB462" i="3"/>
  <c r="BQ462" i="3"/>
  <c r="BA463" i="3"/>
  <c r="AH465" i="3"/>
  <c r="Y465" i="3"/>
  <c r="Z465" i="3" s="1"/>
  <c r="X465" i="3"/>
  <c r="AO465" i="3"/>
  <c r="AT464" i="3"/>
  <c r="AW464" i="3"/>
  <c r="AQ466" i="3"/>
  <c r="B466" i="3"/>
  <c r="A467" i="3"/>
  <c r="AR466" i="3"/>
  <c r="D466" i="3"/>
  <c r="C466" i="3"/>
  <c r="AM466" i="3"/>
  <c r="Q466" i="3"/>
  <c r="AK466" i="3"/>
  <c r="S466" i="3"/>
  <c r="T466" i="3"/>
  <c r="AD466" i="3"/>
  <c r="P466" i="3"/>
  <c r="AF466" i="3"/>
  <c r="V466" i="3"/>
  <c r="O466" i="3"/>
  <c r="M466" i="3"/>
  <c r="AE466" i="3"/>
  <c r="U466" i="3"/>
  <c r="R466" i="3"/>
  <c r="G466" i="3"/>
  <c r="H466" i="3" s="1"/>
  <c r="BN466" i="3" s="1"/>
  <c r="F466" i="3"/>
  <c r="BM466" i="3" s="1"/>
  <c r="BJ460" i="3"/>
  <c r="BK460" i="3" s="1"/>
  <c r="AU464" i="3"/>
  <c r="BC463" i="3" l="1"/>
  <c r="BD463" i="3" s="1"/>
  <c r="AY464" i="3"/>
  <c r="AG466" i="3"/>
  <c r="AX465" i="3"/>
  <c r="AU465" i="3"/>
  <c r="AT465" i="3"/>
  <c r="BG462" i="3"/>
  <c r="BH462" i="3" s="1"/>
  <c r="BI462" i="3" s="1"/>
  <c r="AO466" i="3"/>
  <c r="AN466" i="3"/>
  <c r="Y466" i="3"/>
  <c r="Z466" i="3" s="1"/>
  <c r="AR467" i="3"/>
  <c r="B467" i="3"/>
  <c r="AQ467" i="3"/>
  <c r="A468" i="3"/>
  <c r="D467" i="3"/>
  <c r="AM467" i="3"/>
  <c r="S467" i="3"/>
  <c r="C467" i="3"/>
  <c r="AK467" i="3"/>
  <c r="R467" i="3"/>
  <c r="Q467" i="3"/>
  <c r="AD467" i="3"/>
  <c r="P467" i="3"/>
  <c r="M467" i="3"/>
  <c r="AE467" i="3"/>
  <c r="O467" i="3"/>
  <c r="U467" i="3"/>
  <c r="AF467" i="3"/>
  <c r="V467" i="3"/>
  <c r="G467" i="3"/>
  <c r="H467" i="3" s="1"/>
  <c r="F467" i="3"/>
  <c r="T467" i="3"/>
  <c r="AV464" i="3"/>
  <c r="BA464" i="3"/>
  <c r="AW465" i="3"/>
  <c r="BF463" i="3"/>
  <c r="BJ462" i="3" s="1"/>
  <c r="BK462" i="3" s="1"/>
  <c r="BB463" i="3"/>
  <c r="BQ463" i="3"/>
  <c r="AH466" i="3"/>
  <c r="X466" i="3"/>
  <c r="BG463" i="3" l="1"/>
  <c r="BH463" i="3" s="1"/>
  <c r="BI463" i="3" s="1"/>
  <c r="BC464" i="3"/>
  <c r="BD464" i="3" s="1"/>
  <c r="BN467" i="3"/>
  <c r="AY465" i="3"/>
  <c r="AV465" i="3"/>
  <c r="AX466" i="3"/>
  <c r="AN467" i="3"/>
  <c r="AW466" i="3"/>
  <c r="AT466" i="3"/>
  <c r="BF464" i="3"/>
  <c r="BJ463" i="3" s="1"/>
  <c r="BK463" i="3" s="1"/>
  <c r="BQ464" i="3"/>
  <c r="BB464" i="3"/>
  <c r="BA465" i="3"/>
  <c r="Y467" i="3"/>
  <c r="Z467" i="3" s="1"/>
  <c r="AU466" i="3"/>
  <c r="BM467" i="3"/>
  <c r="AG467" i="3"/>
  <c r="AO467" i="3"/>
  <c r="AQ468" i="3"/>
  <c r="AR468" i="3"/>
  <c r="B468" i="3"/>
  <c r="A469" i="3"/>
  <c r="D468" i="3"/>
  <c r="AK468" i="3"/>
  <c r="S468" i="3"/>
  <c r="C468" i="3"/>
  <c r="AM468" i="3"/>
  <c r="AD468" i="3"/>
  <c r="P468" i="3"/>
  <c r="Q468" i="3"/>
  <c r="R468" i="3"/>
  <c r="M468" i="3"/>
  <c r="O468" i="3"/>
  <c r="AE468" i="3"/>
  <c r="U468" i="3"/>
  <c r="AF468" i="3"/>
  <c r="V468" i="3"/>
  <c r="F468" i="3"/>
  <c r="G468" i="3"/>
  <c r="H468" i="3" s="1"/>
  <c r="T468" i="3"/>
  <c r="AH467" i="3"/>
  <c r="X467" i="3"/>
  <c r="BM468" i="3" l="1"/>
  <c r="BN468" i="3"/>
  <c r="BG464" i="3"/>
  <c r="BH464" i="3" s="1"/>
  <c r="BI464" i="3" s="1"/>
  <c r="AY466" i="3"/>
  <c r="BC465" i="3"/>
  <c r="BD465" i="3" s="1"/>
  <c r="AN468" i="3"/>
  <c r="AV466" i="3"/>
  <c r="Y468" i="3"/>
  <c r="Z468" i="3" s="1"/>
  <c r="AT467" i="3"/>
  <c r="AX467" i="3"/>
  <c r="BQ465" i="3"/>
  <c r="BB465" i="3"/>
  <c r="BF465" i="3"/>
  <c r="BJ464" i="3" s="1"/>
  <c r="BK464" i="3" s="1"/>
  <c r="AW467" i="3"/>
  <c r="BA466" i="3"/>
  <c r="A470" i="3"/>
  <c r="AQ469" i="3"/>
  <c r="B469" i="3"/>
  <c r="AR469" i="3"/>
  <c r="C469" i="3"/>
  <c r="D469" i="3"/>
  <c r="AM469" i="3"/>
  <c r="T469" i="3"/>
  <c r="AK469" i="3"/>
  <c r="R469" i="3"/>
  <c r="S469" i="3"/>
  <c r="AD469" i="3"/>
  <c r="AE469" i="3"/>
  <c r="M469" i="3"/>
  <c r="O469" i="3"/>
  <c r="AF469" i="3"/>
  <c r="U469" i="3"/>
  <c r="V469" i="3"/>
  <c r="P469" i="3"/>
  <c r="Q469" i="3"/>
  <c r="G469" i="3"/>
  <c r="H469" i="3" s="1"/>
  <c r="F469" i="3"/>
  <c r="AG468" i="3"/>
  <c r="AH468" i="3"/>
  <c r="X468" i="3"/>
  <c r="AO468" i="3"/>
  <c r="AU467" i="3"/>
  <c r="BC466" i="3" l="1"/>
  <c r="AO469" i="3"/>
  <c r="BN469" i="3"/>
  <c r="AG469" i="3"/>
  <c r="BG465" i="3"/>
  <c r="BH465" i="3" s="1"/>
  <c r="BI465" i="3" s="1"/>
  <c r="AY467" i="3"/>
  <c r="AW468" i="3"/>
  <c r="AT468" i="3"/>
  <c r="AX468" i="3"/>
  <c r="Y469" i="3"/>
  <c r="Z469" i="3" s="1"/>
  <c r="BF466" i="3"/>
  <c r="BJ465" i="3" s="1"/>
  <c r="BK465" i="3" s="1"/>
  <c r="BQ466" i="3"/>
  <c r="BB466" i="3"/>
  <c r="BA467" i="3"/>
  <c r="AV467" i="3"/>
  <c r="AN469" i="3"/>
  <c r="BM469" i="3"/>
  <c r="AH469" i="3"/>
  <c r="AU468" i="3"/>
  <c r="B470" i="3"/>
  <c r="A471" i="3"/>
  <c r="AQ470" i="3"/>
  <c r="AR470" i="3"/>
  <c r="D470" i="3"/>
  <c r="C470" i="3"/>
  <c r="AM470" i="3"/>
  <c r="AK470" i="3"/>
  <c r="R470" i="3"/>
  <c r="AD470" i="3"/>
  <c r="P470" i="3"/>
  <c r="S470" i="3"/>
  <c r="Q470" i="3"/>
  <c r="O470" i="3"/>
  <c r="M470" i="3"/>
  <c r="V470" i="3"/>
  <c r="AF470" i="3"/>
  <c r="AE470" i="3"/>
  <c r="G470" i="3"/>
  <c r="H470" i="3" s="1"/>
  <c r="U470" i="3"/>
  <c r="F470" i="3"/>
  <c r="T470" i="3"/>
  <c r="X469" i="3"/>
  <c r="BN470" i="3" l="1"/>
  <c r="AX469" i="3"/>
  <c r="BG466" i="3"/>
  <c r="BH466" i="3" s="1"/>
  <c r="BI466" i="3" s="1"/>
  <c r="BD466" i="3"/>
  <c r="AN470" i="3"/>
  <c r="BM470" i="3"/>
  <c r="BC467" i="3"/>
  <c r="BD467" i="3" s="1"/>
  <c r="AY468" i="3"/>
  <c r="BB467" i="3"/>
  <c r="BQ467" i="3"/>
  <c r="BF467" i="3"/>
  <c r="BJ466" i="3" s="1"/>
  <c r="BK466" i="3" s="1"/>
  <c r="B471" i="3"/>
  <c r="AQ471" i="3"/>
  <c r="AR471" i="3"/>
  <c r="A472" i="3"/>
  <c r="C471" i="3"/>
  <c r="AK471" i="3"/>
  <c r="S471" i="3"/>
  <c r="D471" i="3"/>
  <c r="AM471" i="3"/>
  <c r="T471" i="3"/>
  <c r="R471" i="3"/>
  <c r="Q471" i="3"/>
  <c r="AD471" i="3"/>
  <c r="P471" i="3"/>
  <c r="O471" i="3"/>
  <c r="M471" i="3"/>
  <c r="AE471" i="3"/>
  <c r="U471" i="3"/>
  <c r="AF471" i="3"/>
  <c r="V471" i="3"/>
  <c r="F471" i="3"/>
  <c r="G471" i="3"/>
  <c r="H471" i="3" s="1"/>
  <c r="AV468" i="3"/>
  <c r="BA468" i="3"/>
  <c r="AU469" i="3"/>
  <c r="Y470" i="3"/>
  <c r="Z470" i="3" s="1"/>
  <c r="AG470" i="3"/>
  <c r="AH470" i="3"/>
  <c r="AO470" i="3"/>
  <c r="X470" i="3"/>
  <c r="AT469" i="3"/>
  <c r="AW469" i="3"/>
  <c r="BM471" i="3" l="1"/>
  <c r="BN471" i="3"/>
  <c r="BC468" i="3"/>
  <c r="BG468" i="3" s="1"/>
  <c r="BH468" i="3" s="1"/>
  <c r="BI468" i="3" s="1"/>
  <c r="AV469" i="3"/>
  <c r="BG467" i="3"/>
  <c r="BH467" i="3" s="1"/>
  <c r="BI467" i="3" s="1"/>
  <c r="AG471" i="3"/>
  <c r="AN471" i="3"/>
  <c r="AX470" i="3"/>
  <c r="BA469" i="3"/>
  <c r="AY469" i="3"/>
  <c r="AT470" i="3"/>
  <c r="AW470" i="3"/>
  <c r="BQ468" i="3"/>
  <c r="BF468" i="3"/>
  <c r="BJ467" i="3" s="1"/>
  <c r="BK467" i="3" s="1"/>
  <c r="BB468" i="3"/>
  <c r="Y471" i="3"/>
  <c r="Z471" i="3" s="1"/>
  <c r="AR472" i="3"/>
  <c r="B472" i="3"/>
  <c r="AQ472" i="3"/>
  <c r="A473" i="3"/>
  <c r="D472" i="3"/>
  <c r="C472" i="3"/>
  <c r="S472" i="3"/>
  <c r="AM472" i="3"/>
  <c r="AK472" i="3"/>
  <c r="T472" i="3"/>
  <c r="Q472" i="3"/>
  <c r="R472" i="3"/>
  <c r="P472" i="3"/>
  <c r="AD472" i="3"/>
  <c r="O472" i="3"/>
  <c r="AF472" i="3"/>
  <c r="AE472" i="3"/>
  <c r="M472" i="3"/>
  <c r="U472" i="3"/>
  <c r="V472" i="3"/>
  <c r="G472" i="3"/>
  <c r="H472" i="3" s="1"/>
  <c r="F472" i="3"/>
  <c r="BM472" i="3" s="1"/>
  <c r="AU470" i="3"/>
  <c r="AH471" i="3"/>
  <c r="AO471" i="3"/>
  <c r="X471" i="3"/>
  <c r="BN472" i="3" l="1"/>
  <c r="BD468" i="3"/>
  <c r="BC469" i="3"/>
  <c r="BG469" i="3" s="1"/>
  <c r="BH469" i="3" s="1"/>
  <c r="BI469" i="3" s="1"/>
  <c r="AY470" i="3"/>
  <c r="AO472" i="3"/>
  <c r="AX471" i="3"/>
  <c r="AG472" i="3"/>
  <c r="Y472" i="3"/>
  <c r="Z472" i="3" s="1"/>
  <c r="AQ473" i="3"/>
  <c r="B473" i="3"/>
  <c r="A474" i="3"/>
  <c r="AR473" i="3"/>
  <c r="C473" i="3"/>
  <c r="D473" i="3"/>
  <c r="AM473" i="3"/>
  <c r="AK473" i="3"/>
  <c r="T473" i="3"/>
  <c r="S473" i="3"/>
  <c r="AD473" i="3"/>
  <c r="P473" i="3"/>
  <c r="Q473" i="3"/>
  <c r="O473" i="3"/>
  <c r="AE473" i="3"/>
  <c r="M473" i="3"/>
  <c r="V473" i="3"/>
  <c r="AF473" i="3"/>
  <c r="U473" i="3"/>
  <c r="R473" i="3"/>
  <c r="G473" i="3"/>
  <c r="H473" i="3" s="1"/>
  <c r="F473" i="3"/>
  <c r="BA470" i="3"/>
  <c r="AV470" i="3"/>
  <c r="BF469" i="3"/>
  <c r="BJ468" i="3" s="1"/>
  <c r="BK468" i="3" s="1"/>
  <c r="BQ469" i="3"/>
  <c r="BB469" i="3"/>
  <c r="AW471" i="3"/>
  <c r="AH472" i="3"/>
  <c r="AN472" i="3"/>
  <c r="X472" i="3"/>
  <c r="AT471" i="3"/>
  <c r="AU471" i="3"/>
  <c r="BC470" i="3" l="1"/>
  <c r="BD470" i="3" s="1"/>
  <c r="BD469" i="3"/>
  <c r="AU472" i="3"/>
  <c r="AY471" i="3"/>
  <c r="BN473" i="3"/>
  <c r="BM473" i="3"/>
  <c r="AO473" i="3"/>
  <c r="BA471" i="3"/>
  <c r="BF471" i="3" s="1"/>
  <c r="BQ470" i="3"/>
  <c r="BB470" i="3"/>
  <c r="BF470" i="3"/>
  <c r="BJ469" i="3" s="1"/>
  <c r="BK469" i="3" s="1"/>
  <c r="AQ474" i="3"/>
  <c r="B474" i="3"/>
  <c r="A475" i="3"/>
  <c r="AR474" i="3"/>
  <c r="C474" i="3"/>
  <c r="AM474" i="3"/>
  <c r="T474" i="3"/>
  <c r="S474" i="3"/>
  <c r="D474" i="3"/>
  <c r="AK474" i="3"/>
  <c r="Q474" i="3"/>
  <c r="R474" i="3"/>
  <c r="AD474" i="3"/>
  <c r="O474" i="3"/>
  <c r="AE474" i="3"/>
  <c r="M474" i="3"/>
  <c r="AF474" i="3"/>
  <c r="P474" i="3"/>
  <c r="U474" i="3"/>
  <c r="V474" i="3"/>
  <c r="F474" i="3"/>
  <c r="BM474" i="3" s="1"/>
  <c r="G474" i="3"/>
  <c r="H474" i="3" s="1"/>
  <c r="AX472" i="3"/>
  <c r="AT472" i="3"/>
  <c r="AG473" i="3"/>
  <c r="AH473" i="3"/>
  <c r="AN473" i="3"/>
  <c r="X473" i="3"/>
  <c r="Y473" i="3"/>
  <c r="Z473" i="3" s="1"/>
  <c r="AV471" i="3"/>
  <c r="AW472" i="3"/>
  <c r="BG470" i="3" l="1"/>
  <c r="BH470" i="3" s="1"/>
  <c r="BI470" i="3" s="1"/>
  <c r="AO474" i="3"/>
  <c r="BC471" i="3"/>
  <c r="BD471" i="3" s="1"/>
  <c r="BQ471" i="3"/>
  <c r="BN474" i="3"/>
  <c r="BB471" i="3"/>
  <c r="AU473" i="3"/>
  <c r="AT473" i="3"/>
  <c r="BJ470" i="3"/>
  <c r="BK470" i="3" s="1"/>
  <c r="AW473" i="3"/>
  <c r="BA472" i="3"/>
  <c r="AV472" i="3"/>
  <c r="AY472" i="3"/>
  <c r="AX473" i="3"/>
  <c r="AN474" i="3"/>
  <c r="Y474" i="3"/>
  <c r="Z474" i="3" s="1"/>
  <c r="AR475" i="3"/>
  <c r="B475" i="3"/>
  <c r="AQ475" i="3"/>
  <c r="A476" i="3"/>
  <c r="C475" i="3"/>
  <c r="D475" i="3"/>
  <c r="AK475" i="3"/>
  <c r="AM475" i="3"/>
  <c r="S475" i="3"/>
  <c r="R475" i="3"/>
  <c r="Q475" i="3"/>
  <c r="AD475" i="3"/>
  <c r="P475" i="3"/>
  <c r="O475" i="3"/>
  <c r="AF475" i="3"/>
  <c r="M475" i="3"/>
  <c r="AE475" i="3"/>
  <c r="V475" i="3"/>
  <c r="U475" i="3"/>
  <c r="G475" i="3"/>
  <c r="H475" i="3" s="1"/>
  <c r="F475" i="3"/>
  <c r="BM475" i="3" s="1"/>
  <c r="T475" i="3"/>
  <c r="AG474" i="3"/>
  <c r="AH474" i="3"/>
  <c r="X474" i="3"/>
  <c r="BN475" i="3" l="1"/>
  <c r="BG471" i="3"/>
  <c r="BH471" i="3" s="1"/>
  <c r="BI471" i="3" s="1"/>
  <c r="AV473" i="3"/>
  <c r="AO475" i="3"/>
  <c r="AW474" i="3"/>
  <c r="AG475" i="3"/>
  <c r="Y475" i="3"/>
  <c r="Z475" i="3" s="1"/>
  <c r="BA473" i="3"/>
  <c r="BF473" i="3" s="1"/>
  <c r="BF472" i="3"/>
  <c r="BJ471" i="3" s="1"/>
  <c r="BK471" i="3" s="1"/>
  <c r="BB472" i="3"/>
  <c r="BQ472" i="3"/>
  <c r="X475" i="3"/>
  <c r="AY473" i="3"/>
  <c r="B476" i="3"/>
  <c r="AQ476" i="3"/>
  <c r="AR476" i="3"/>
  <c r="A477" i="3"/>
  <c r="D476" i="3"/>
  <c r="AM476" i="3"/>
  <c r="C476" i="3"/>
  <c r="AK476" i="3"/>
  <c r="T476" i="3"/>
  <c r="S476" i="3"/>
  <c r="AD476" i="3"/>
  <c r="Q476" i="3"/>
  <c r="P476" i="3"/>
  <c r="O476" i="3"/>
  <c r="M476" i="3"/>
  <c r="V476" i="3"/>
  <c r="U476" i="3"/>
  <c r="AE476" i="3"/>
  <c r="AF476" i="3"/>
  <c r="R476" i="3"/>
  <c r="G476" i="3"/>
  <c r="H476" i="3" s="1"/>
  <c r="BN476" i="3" s="1"/>
  <c r="F476" i="3"/>
  <c r="AU474" i="3"/>
  <c r="AX474" i="3"/>
  <c r="AH475" i="3"/>
  <c r="AN475" i="3"/>
  <c r="AT474" i="3"/>
  <c r="BC472" i="3"/>
  <c r="BC473" i="3" l="1"/>
  <c r="BD473" i="3" s="1"/>
  <c r="AO476" i="3"/>
  <c r="BM476" i="3"/>
  <c r="BB473" i="3"/>
  <c r="AY474" i="3"/>
  <c r="AW475" i="3"/>
  <c r="BQ473" i="3"/>
  <c r="AV474" i="3"/>
  <c r="BA474" i="3"/>
  <c r="AQ477" i="3"/>
  <c r="B477" i="3"/>
  <c r="A478" i="3"/>
  <c r="AR477" i="3"/>
  <c r="C477" i="3"/>
  <c r="D477" i="3"/>
  <c r="AK477" i="3"/>
  <c r="AM477" i="3"/>
  <c r="S477" i="3"/>
  <c r="Q477" i="3"/>
  <c r="R477" i="3"/>
  <c r="AD477" i="3"/>
  <c r="P477" i="3"/>
  <c r="M477" i="3"/>
  <c r="AE477" i="3"/>
  <c r="AF477" i="3"/>
  <c r="U477" i="3"/>
  <c r="O477" i="3"/>
  <c r="V477" i="3"/>
  <c r="G477" i="3"/>
  <c r="H477" i="3" s="1"/>
  <c r="F477" i="3"/>
  <c r="BM477" i="3" s="1"/>
  <c r="T477" i="3"/>
  <c r="AG476" i="3"/>
  <c r="AN476" i="3"/>
  <c r="AU475" i="3"/>
  <c r="BJ472" i="3"/>
  <c r="BK472" i="3" s="1"/>
  <c r="BD472" i="3"/>
  <c r="BG472" i="3"/>
  <c r="BH472" i="3" s="1"/>
  <c r="BI472" i="3" s="1"/>
  <c r="Y476" i="3"/>
  <c r="Z476" i="3" s="1"/>
  <c r="AX475" i="3"/>
  <c r="AH476" i="3"/>
  <c r="X476" i="3"/>
  <c r="AT475" i="3"/>
  <c r="BN477" i="3" l="1"/>
  <c r="BG473" i="3"/>
  <c r="BH473" i="3" s="1"/>
  <c r="BI473" i="3" s="1"/>
  <c r="AX476" i="3"/>
  <c r="AY475" i="3"/>
  <c r="AN477" i="3"/>
  <c r="BC474" i="3"/>
  <c r="BD474" i="3" s="1"/>
  <c r="Y477" i="3"/>
  <c r="Z477" i="3" s="1"/>
  <c r="AV475" i="3"/>
  <c r="BA475" i="3"/>
  <c r="AT476" i="3"/>
  <c r="AW476" i="3"/>
  <c r="BF474" i="3"/>
  <c r="BJ473" i="3" s="1"/>
  <c r="BK473" i="3" s="1"/>
  <c r="BB474" i="3"/>
  <c r="BQ474" i="3"/>
  <c r="B478" i="3"/>
  <c r="A479" i="3"/>
  <c r="AQ478" i="3"/>
  <c r="AR478" i="3"/>
  <c r="C478" i="3"/>
  <c r="D478" i="3"/>
  <c r="S478" i="3"/>
  <c r="R478" i="3"/>
  <c r="AK478" i="3"/>
  <c r="AM478" i="3"/>
  <c r="Q478" i="3"/>
  <c r="AD478" i="3"/>
  <c r="P478" i="3"/>
  <c r="O478" i="3"/>
  <c r="AE478" i="3"/>
  <c r="AF478" i="3"/>
  <c r="M478" i="3"/>
  <c r="V478" i="3"/>
  <c r="U478" i="3"/>
  <c r="G478" i="3"/>
  <c r="H478" i="3" s="1"/>
  <c r="F478" i="3"/>
  <c r="T478" i="3"/>
  <c r="AU476" i="3"/>
  <c r="AH477" i="3"/>
  <c r="AG477" i="3"/>
  <c r="AO477" i="3"/>
  <c r="X477" i="3"/>
  <c r="BM478" i="3" l="1"/>
  <c r="AY476" i="3"/>
  <c r="BN478" i="3"/>
  <c r="BC475" i="3"/>
  <c r="BD475" i="3" s="1"/>
  <c r="AO478" i="3"/>
  <c r="BG474" i="3"/>
  <c r="BH474" i="3" s="1"/>
  <c r="BI474" i="3" s="1"/>
  <c r="AU477" i="3"/>
  <c r="AG478" i="3"/>
  <c r="BB475" i="3"/>
  <c r="BF475" i="3"/>
  <c r="BJ474" i="3" s="1"/>
  <c r="BK474" i="3" s="1"/>
  <c r="BQ475" i="3"/>
  <c r="AR479" i="3"/>
  <c r="B479" i="3"/>
  <c r="AQ479" i="3"/>
  <c r="A480" i="3"/>
  <c r="C479" i="3"/>
  <c r="AM479" i="3"/>
  <c r="S479" i="3"/>
  <c r="D479" i="3"/>
  <c r="AK479" i="3"/>
  <c r="Q479" i="3"/>
  <c r="AD479" i="3"/>
  <c r="P479" i="3"/>
  <c r="O479" i="3"/>
  <c r="AF479" i="3"/>
  <c r="M479" i="3"/>
  <c r="AE479" i="3"/>
  <c r="U479" i="3"/>
  <c r="V479" i="3"/>
  <c r="R479" i="3"/>
  <c r="G479" i="3"/>
  <c r="H479" i="3" s="1"/>
  <c r="BN479" i="3" s="1"/>
  <c r="F479" i="3"/>
  <c r="BM479" i="3" s="1"/>
  <c r="T479" i="3"/>
  <c r="AV476" i="3"/>
  <c r="BA476" i="3"/>
  <c r="X478" i="3"/>
  <c r="AW477" i="3"/>
  <c r="AT477" i="3"/>
  <c r="AX477" i="3"/>
  <c r="Y478" i="3"/>
  <c r="Z478" i="3" s="1"/>
  <c r="AH478" i="3"/>
  <c r="AN478" i="3"/>
  <c r="BC476" i="3" l="1"/>
  <c r="BD476" i="3" s="1"/>
  <c r="BG475" i="3"/>
  <c r="BH475" i="3" s="1"/>
  <c r="BI475" i="3" s="1"/>
  <c r="AO479" i="3"/>
  <c r="AX478" i="3"/>
  <c r="AH479" i="3"/>
  <c r="AV477" i="3"/>
  <c r="BA477" i="3"/>
  <c r="BQ476" i="3"/>
  <c r="BF476" i="3"/>
  <c r="BJ475" i="3" s="1"/>
  <c r="BK475" i="3" s="1"/>
  <c r="BB476" i="3"/>
  <c r="B480" i="3"/>
  <c r="AQ480" i="3"/>
  <c r="AR480" i="3"/>
  <c r="A481" i="3"/>
  <c r="C480" i="3"/>
  <c r="D480" i="3"/>
  <c r="AK480" i="3"/>
  <c r="Q480" i="3"/>
  <c r="AM480" i="3"/>
  <c r="R480" i="3"/>
  <c r="S480" i="3"/>
  <c r="AD480" i="3"/>
  <c r="P480" i="3"/>
  <c r="O480" i="3"/>
  <c r="AE480" i="3"/>
  <c r="V480" i="3"/>
  <c r="M480" i="3"/>
  <c r="AF480" i="3"/>
  <c r="U480" i="3"/>
  <c r="F480" i="3"/>
  <c r="G480" i="3"/>
  <c r="H480" i="3" s="1"/>
  <c r="T480" i="3"/>
  <c r="AT478" i="3"/>
  <c r="Y479" i="3"/>
  <c r="Z479" i="3" s="1"/>
  <c r="AG479" i="3"/>
  <c r="AN479" i="3"/>
  <c r="AY477" i="3"/>
  <c r="AU478" i="3"/>
  <c r="AW478" i="3"/>
  <c r="X479" i="3"/>
  <c r="BG476" i="3" l="1"/>
  <c r="BH476" i="3" s="1"/>
  <c r="BI476" i="3" s="1"/>
  <c r="AN480" i="3"/>
  <c r="BN480" i="3"/>
  <c r="AY478" i="3"/>
  <c r="BC477" i="3"/>
  <c r="BD477" i="3" s="1"/>
  <c r="AG480" i="3"/>
  <c r="AX479" i="3"/>
  <c r="AU479" i="3"/>
  <c r="AW479" i="3"/>
  <c r="AV478" i="3"/>
  <c r="BA478" i="3"/>
  <c r="AQ481" i="3"/>
  <c r="B481" i="3"/>
  <c r="A482" i="3"/>
  <c r="AR481" i="3"/>
  <c r="D481" i="3"/>
  <c r="AM481" i="3"/>
  <c r="S481" i="3"/>
  <c r="Q481" i="3"/>
  <c r="C481" i="3"/>
  <c r="AK481" i="3"/>
  <c r="R481" i="3"/>
  <c r="T481" i="3"/>
  <c r="AD481" i="3"/>
  <c r="P481" i="3"/>
  <c r="M481" i="3"/>
  <c r="AE481" i="3"/>
  <c r="O481" i="3"/>
  <c r="AF481" i="3"/>
  <c r="V481" i="3"/>
  <c r="U481" i="3"/>
  <c r="G481" i="3"/>
  <c r="H481" i="3" s="1"/>
  <c r="BN481" i="3" s="1"/>
  <c r="F481" i="3"/>
  <c r="AO480" i="3"/>
  <c r="X480" i="3"/>
  <c r="AT479" i="3"/>
  <c r="Y480" i="3"/>
  <c r="Z480" i="3" s="1"/>
  <c r="BM480" i="3"/>
  <c r="AH480" i="3"/>
  <c r="BF477" i="3"/>
  <c r="BJ476" i="3" s="1"/>
  <c r="BK476" i="3" s="1"/>
  <c r="BB477" i="3"/>
  <c r="BQ477" i="3"/>
  <c r="AO481" i="3" l="1"/>
  <c r="AY479" i="3"/>
  <c r="BC478" i="3"/>
  <c r="BG478" i="3" s="1"/>
  <c r="BH478" i="3" s="1"/>
  <c r="BI478" i="3" s="1"/>
  <c r="AU480" i="3"/>
  <c r="BM481" i="3"/>
  <c r="BG477" i="3"/>
  <c r="BH477" i="3" s="1"/>
  <c r="BI477" i="3" s="1"/>
  <c r="AT480" i="3"/>
  <c r="Y481" i="3"/>
  <c r="Z481" i="3" s="1"/>
  <c r="B482" i="3"/>
  <c r="A483" i="3"/>
  <c r="AQ482" i="3"/>
  <c r="AR482" i="3"/>
  <c r="C482" i="3"/>
  <c r="AM482" i="3"/>
  <c r="S482" i="3"/>
  <c r="R482" i="3"/>
  <c r="D482" i="3"/>
  <c r="AK482" i="3"/>
  <c r="Q482" i="3"/>
  <c r="AD482" i="3"/>
  <c r="P482" i="3"/>
  <c r="M482" i="3"/>
  <c r="AF482" i="3"/>
  <c r="O482" i="3"/>
  <c r="AE482" i="3"/>
  <c r="V482" i="3"/>
  <c r="U482" i="3"/>
  <c r="F482" i="3"/>
  <c r="G482" i="3"/>
  <c r="H482" i="3" s="1"/>
  <c r="T482" i="3"/>
  <c r="AX480" i="3"/>
  <c r="AW480" i="3"/>
  <c r="AH481" i="3"/>
  <c r="X481" i="3"/>
  <c r="AV479" i="3"/>
  <c r="BA479" i="3"/>
  <c r="BQ478" i="3"/>
  <c r="BF478" i="3"/>
  <c r="BJ477" i="3" s="1"/>
  <c r="BK477" i="3" s="1"/>
  <c r="BB478" i="3"/>
  <c r="AG481" i="3"/>
  <c r="AN481" i="3"/>
  <c r="BD478" i="3" l="1"/>
  <c r="BN482" i="3"/>
  <c r="BC479" i="3"/>
  <c r="BD479" i="3" s="1"/>
  <c r="AO482" i="3"/>
  <c r="AV480" i="3"/>
  <c r="BM482" i="3"/>
  <c r="AT481" i="3"/>
  <c r="Y482" i="3"/>
  <c r="Z482" i="3" s="1"/>
  <c r="AH482" i="3"/>
  <c r="AY480" i="3"/>
  <c r="AG482" i="3"/>
  <c r="BF479" i="3"/>
  <c r="BJ478" i="3" s="1"/>
  <c r="BK478" i="3" s="1"/>
  <c r="BB479" i="3"/>
  <c r="BQ479" i="3"/>
  <c r="AW481" i="3"/>
  <c r="AU481" i="3"/>
  <c r="AX481" i="3"/>
  <c r="X482" i="3"/>
  <c r="BA480" i="3"/>
  <c r="AR483" i="3"/>
  <c r="B483" i="3"/>
  <c r="AQ483" i="3"/>
  <c r="A484" i="3"/>
  <c r="C483" i="3"/>
  <c r="AK483" i="3"/>
  <c r="T483" i="3"/>
  <c r="Q483" i="3"/>
  <c r="D483" i="3"/>
  <c r="AM483" i="3"/>
  <c r="R483" i="3"/>
  <c r="AD483" i="3"/>
  <c r="S483" i="3"/>
  <c r="P483" i="3"/>
  <c r="O483" i="3"/>
  <c r="AF483" i="3"/>
  <c r="AE483" i="3"/>
  <c r="V483" i="3"/>
  <c r="M483" i="3"/>
  <c r="U483" i="3"/>
  <c r="G483" i="3"/>
  <c r="H483" i="3" s="1"/>
  <c r="F483" i="3"/>
  <c r="AN482" i="3"/>
  <c r="BN483" i="3" l="1"/>
  <c r="BG479" i="3"/>
  <c r="BH479" i="3" s="1"/>
  <c r="BI479" i="3" s="1"/>
  <c r="AU482" i="3"/>
  <c r="AT482" i="3"/>
  <c r="AN483" i="3"/>
  <c r="BC480" i="3"/>
  <c r="BD480" i="3" s="1"/>
  <c r="BM483" i="3"/>
  <c r="AW482" i="3"/>
  <c r="AG483" i="3"/>
  <c r="BA481" i="3"/>
  <c r="BQ481" i="3" s="1"/>
  <c r="B484" i="3"/>
  <c r="AQ484" i="3"/>
  <c r="AR484" i="3"/>
  <c r="A485" i="3"/>
  <c r="C484" i="3"/>
  <c r="D484" i="3"/>
  <c r="AM484" i="3"/>
  <c r="T484" i="3"/>
  <c r="AK484" i="3"/>
  <c r="S484" i="3"/>
  <c r="R484" i="3"/>
  <c r="Q484" i="3"/>
  <c r="AD484" i="3"/>
  <c r="P484" i="3"/>
  <c r="O484" i="3"/>
  <c r="M484" i="3"/>
  <c r="AE484" i="3"/>
  <c r="V484" i="3"/>
  <c r="AF484" i="3"/>
  <c r="U484" i="3"/>
  <c r="G484" i="3"/>
  <c r="H484" i="3" s="1"/>
  <c r="F484" i="3"/>
  <c r="BQ480" i="3"/>
  <c r="BF480" i="3"/>
  <c r="BJ479" i="3" s="1"/>
  <c r="BK479" i="3" s="1"/>
  <c r="BB480" i="3"/>
  <c r="AH483" i="3"/>
  <c r="AO483" i="3"/>
  <c r="AX482" i="3"/>
  <c r="AV481" i="3"/>
  <c r="Y483" i="3"/>
  <c r="Z483" i="3" s="1"/>
  <c r="X483" i="3"/>
  <c r="AY481" i="3"/>
  <c r="AV482" i="3" l="1"/>
  <c r="AY482" i="3"/>
  <c r="BG480" i="3"/>
  <c r="BH480" i="3" s="1"/>
  <c r="BI480" i="3" s="1"/>
  <c r="BN484" i="3"/>
  <c r="BM484" i="3"/>
  <c r="AT483" i="3"/>
  <c r="AW483" i="3"/>
  <c r="AU483" i="3"/>
  <c r="AX483" i="3"/>
  <c r="BC481" i="3"/>
  <c r="BG481" i="3" s="1"/>
  <c r="BH481" i="3" s="1"/>
  <c r="BI481" i="3" s="1"/>
  <c r="BF481" i="3"/>
  <c r="BJ480" i="3" s="1"/>
  <c r="BK480" i="3" s="1"/>
  <c r="BB481" i="3"/>
  <c r="BA482" i="3"/>
  <c r="BF482" i="3" s="1"/>
  <c r="AO484" i="3"/>
  <c r="AN484" i="3"/>
  <c r="AG484" i="3"/>
  <c r="AH484" i="3"/>
  <c r="X484" i="3"/>
  <c r="Y484" i="3"/>
  <c r="Z484" i="3" s="1"/>
  <c r="AQ485" i="3"/>
  <c r="B485" i="3"/>
  <c r="A486" i="3"/>
  <c r="AR485" i="3"/>
  <c r="D485" i="3"/>
  <c r="C485" i="3"/>
  <c r="AK485" i="3"/>
  <c r="S485" i="3"/>
  <c r="R485" i="3"/>
  <c r="AM485" i="3"/>
  <c r="Q485" i="3"/>
  <c r="AD485" i="3"/>
  <c r="P485" i="3"/>
  <c r="AE485" i="3"/>
  <c r="M485" i="3"/>
  <c r="U485" i="3"/>
  <c r="O485" i="3"/>
  <c r="AF485" i="3"/>
  <c r="V485" i="3"/>
  <c r="G485" i="3"/>
  <c r="H485" i="3" s="1"/>
  <c r="F485" i="3"/>
  <c r="T485" i="3"/>
  <c r="BC482" i="3" l="1"/>
  <c r="BG482" i="3" s="1"/>
  <c r="BH482" i="3" s="1"/>
  <c r="BI482" i="3" s="1"/>
  <c r="AY483" i="3"/>
  <c r="BJ481" i="3"/>
  <c r="BK481" i="3" s="1"/>
  <c r="BD481" i="3"/>
  <c r="BM485" i="3"/>
  <c r="BA483" i="3"/>
  <c r="BF483" i="3" s="1"/>
  <c r="BJ482" i="3" s="1"/>
  <c r="BK482" i="3" s="1"/>
  <c r="AV483" i="3"/>
  <c r="AO485" i="3"/>
  <c r="AT484" i="3"/>
  <c r="AU484" i="3"/>
  <c r="BQ482" i="3"/>
  <c r="BB482" i="3"/>
  <c r="B486" i="3"/>
  <c r="A487" i="3"/>
  <c r="AQ486" i="3"/>
  <c r="AR486" i="3"/>
  <c r="D486" i="3"/>
  <c r="C486" i="3"/>
  <c r="AM486" i="3"/>
  <c r="AK486" i="3"/>
  <c r="T486" i="3"/>
  <c r="S486" i="3"/>
  <c r="R486" i="3"/>
  <c r="AD486" i="3"/>
  <c r="P486" i="3"/>
  <c r="O486" i="3"/>
  <c r="M486" i="3"/>
  <c r="AE486" i="3"/>
  <c r="U486" i="3"/>
  <c r="AF486" i="3"/>
  <c r="V486" i="3"/>
  <c r="G486" i="3"/>
  <c r="H486" i="3" s="1"/>
  <c r="Q486" i="3"/>
  <c r="F486" i="3"/>
  <c r="BM486" i="3" s="1"/>
  <c r="Y485" i="3"/>
  <c r="Z485" i="3" s="1"/>
  <c r="BN485" i="3"/>
  <c r="AG485" i="3"/>
  <c r="AH485" i="3"/>
  <c r="AN485" i="3"/>
  <c r="X485" i="3"/>
  <c r="AX484" i="3"/>
  <c r="AW484" i="3"/>
  <c r="BC483" i="3" l="1"/>
  <c r="BG483" i="3" s="1"/>
  <c r="BH483" i="3" s="1"/>
  <c r="BI483" i="3" s="1"/>
  <c r="BD482" i="3"/>
  <c r="AH486" i="3"/>
  <c r="AO486" i="3"/>
  <c r="BN486" i="3"/>
  <c r="BQ483" i="3"/>
  <c r="BB483" i="3"/>
  <c r="AV484" i="3"/>
  <c r="AY484" i="3"/>
  <c r="AW485" i="3"/>
  <c r="AU485" i="3"/>
  <c r="AT485" i="3"/>
  <c r="AR487" i="3"/>
  <c r="B487" i="3"/>
  <c r="AQ487" i="3"/>
  <c r="A488" i="3"/>
  <c r="D487" i="3"/>
  <c r="AK487" i="3"/>
  <c r="S487" i="3"/>
  <c r="C487" i="3"/>
  <c r="AM487" i="3"/>
  <c r="R487" i="3"/>
  <c r="Q487" i="3"/>
  <c r="P487" i="3"/>
  <c r="AD487" i="3"/>
  <c r="AE487" i="3"/>
  <c r="AF487" i="3"/>
  <c r="V487" i="3"/>
  <c r="O487" i="3"/>
  <c r="M487" i="3"/>
  <c r="U487" i="3"/>
  <c r="G487" i="3"/>
  <c r="H487" i="3" s="1"/>
  <c r="F487" i="3"/>
  <c r="T487" i="3"/>
  <c r="AG486" i="3"/>
  <c r="X486" i="3"/>
  <c r="BA484" i="3"/>
  <c r="Y486" i="3"/>
  <c r="Z486" i="3" s="1"/>
  <c r="AX485" i="3"/>
  <c r="AN486" i="3"/>
  <c r="AU486" i="3" l="1"/>
  <c r="AT486" i="3"/>
  <c r="BD483" i="3"/>
  <c r="BC484" i="3"/>
  <c r="BG484" i="3" s="1"/>
  <c r="BH484" i="3" s="1"/>
  <c r="BI484" i="3" s="1"/>
  <c r="BM487" i="3"/>
  <c r="AY485" i="3"/>
  <c r="AN487" i="3"/>
  <c r="Y487" i="3"/>
  <c r="Z487" i="3" s="1"/>
  <c r="BN487" i="3"/>
  <c r="AX486" i="3"/>
  <c r="AV485" i="3"/>
  <c r="BA485" i="3"/>
  <c r="AW486" i="3"/>
  <c r="AH487" i="3"/>
  <c r="BQ484" i="3"/>
  <c r="BB484" i="3"/>
  <c r="BF484" i="3"/>
  <c r="BJ483" i="3" s="1"/>
  <c r="BK483" i="3" s="1"/>
  <c r="B488" i="3"/>
  <c r="AQ488" i="3"/>
  <c r="AR488" i="3"/>
  <c r="A489" i="3"/>
  <c r="C488" i="3"/>
  <c r="D488" i="3"/>
  <c r="AK488" i="3"/>
  <c r="S488" i="3"/>
  <c r="R488" i="3"/>
  <c r="AM488" i="3"/>
  <c r="Q488" i="3"/>
  <c r="AD488" i="3"/>
  <c r="P488" i="3"/>
  <c r="O488" i="3"/>
  <c r="M488" i="3"/>
  <c r="AF488" i="3"/>
  <c r="U488" i="3"/>
  <c r="V488" i="3"/>
  <c r="AE488" i="3"/>
  <c r="F488" i="3"/>
  <c r="G488" i="3"/>
  <c r="H488" i="3" s="1"/>
  <c r="T488" i="3"/>
  <c r="AG487" i="3"/>
  <c r="X487" i="3"/>
  <c r="AO487" i="3"/>
  <c r="BD484" i="3" l="1"/>
  <c r="AV486" i="3"/>
  <c r="BC485" i="3"/>
  <c r="BD485" i="3" s="1"/>
  <c r="BM488" i="3"/>
  <c r="Y488" i="3"/>
  <c r="Z488" i="3" s="1"/>
  <c r="AN488" i="3"/>
  <c r="AY486" i="3"/>
  <c r="AT487" i="3"/>
  <c r="BA486" i="3"/>
  <c r="BB486" i="3" s="1"/>
  <c r="BB485" i="3"/>
  <c r="BF485" i="3"/>
  <c r="BJ484" i="3" s="1"/>
  <c r="BK484" i="3" s="1"/>
  <c r="BQ485" i="3"/>
  <c r="AH488" i="3"/>
  <c r="BN488" i="3"/>
  <c r="AG488" i="3"/>
  <c r="AO488" i="3"/>
  <c r="X488" i="3"/>
  <c r="AQ489" i="3"/>
  <c r="B489" i="3"/>
  <c r="A490" i="3"/>
  <c r="AR489" i="3"/>
  <c r="D489" i="3"/>
  <c r="S489" i="3"/>
  <c r="R489" i="3"/>
  <c r="C489" i="3"/>
  <c r="AM489" i="3"/>
  <c r="AK489" i="3"/>
  <c r="Q489" i="3"/>
  <c r="AD489" i="3"/>
  <c r="P489" i="3"/>
  <c r="AE489" i="3"/>
  <c r="M489" i="3"/>
  <c r="U489" i="3"/>
  <c r="O489" i="3"/>
  <c r="AF489" i="3"/>
  <c r="V489" i="3"/>
  <c r="F489" i="3"/>
  <c r="G489" i="3"/>
  <c r="H489" i="3" s="1"/>
  <c r="T489" i="3"/>
  <c r="AW487" i="3"/>
  <c r="AU487" i="3"/>
  <c r="AX487" i="3"/>
  <c r="BM489" i="3" l="1"/>
  <c r="BN489" i="3"/>
  <c r="BG485" i="3"/>
  <c r="BH485" i="3" s="1"/>
  <c r="BI485" i="3" s="1"/>
  <c r="BC486" i="3"/>
  <c r="BD486" i="3" s="1"/>
  <c r="AO489" i="3"/>
  <c r="AV487" i="3"/>
  <c r="AH489" i="3"/>
  <c r="AT488" i="3"/>
  <c r="BQ486" i="3"/>
  <c r="BF486" i="3"/>
  <c r="BJ485" i="3" s="1"/>
  <c r="BK485" i="3" s="1"/>
  <c r="AY487" i="3"/>
  <c r="Y489" i="3"/>
  <c r="Z489" i="3" s="1"/>
  <c r="AG489" i="3"/>
  <c r="X489" i="3"/>
  <c r="AX488" i="3"/>
  <c r="BA487" i="3"/>
  <c r="B490" i="3"/>
  <c r="A491" i="3"/>
  <c r="AQ490" i="3"/>
  <c r="AR490" i="3"/>
  <c r="D490" i="3"/>
  <c r="AK490" i="3"/>
  <c r="AM490" i="3"/>
  <c r="R490" i="3"/>
  <c r="C490" i="3"/>
  <c r="Q490" i="3"/>
  <c r="AD490" i="3"/>
  <c r="S490" i="3"/>
  <c r="P490" i="3"/>
  <c r="O490" i="3"/>
  <c r="AE490" i="3"/>
  <c r="AF490" i="3"/>
  <c r="V490" i="3"/>
  <c r="U490" i="3"/>
  <c r="M490" i="3"/>
  <c r="F490" i="3"/>
  <c r="G490" i="3"/>
  <c r="H490" i="3" s="1"/>
  <c r="BN490" i="3" s="1"/>
  <c r="T490" i="3"/>
  <c r="AN489" i="3"/>
  <c r="AW488" i="3"/>
  <c r="AU488" i="3"/>
  <c r="BG486" i="3" l="1"/>
  <c r="BH486" i="3" s="1"/>
  <c r="BI486" i="3" s="1"/>
  <c r="AU489" i="3"/>
  <c r="BC487" i="3"/>
  <c r="BD487" i="3" s="1"/>
  <c r="BM490" i="3"/>
  <c r="AT489" i="3"/>
  <c r="AY488" i="3"/>
  <c r="AO490" i="3"/>
  <c r="AX489" i="3"/>
  <c r="Y490" i="3"/>
  <c r="Z490" i="3" s="1"/>
  <c r="BA488" i="3"/>
  <c r="BQ488" i="3" s="1"/>
  <c r="AG490" i="3"/>
  <c r="AH490" i="3"/>
  <c r="X490" i="3"/>
  <c r="AN490" i="3"/>
  <c r="AV488" i="3"/>
  <c r="AR491" i="3"/>
  <c r="B491" i="3"/>
  <c r="AQ491" i="3"/>
  <c r="A492" i="3"/>
  <c r="D491" i="3"/>
  <c r="AK491" i="3"/>
  <c r="R491" i="3"/>
  <c r="AM491" i="3"/>
  <c r="C491" i="3"/>
  <c r="T491" i="3"/>
  <c r="S491" i="3"/>
  <c r="Q491" i="3"/>
  <c r="AD491" i="3"/>
  <c r="AE491" i="3"/>
  <c r="P491" i="3"/>
  <c r="O491" i="3"/>
  <c r="V491" i="3"/>
  <c r="M491" i="3"/>
  <c r="AF491" i="3"/>
  <c r="U491" i="3"/>
  <c r="F491" i="3"/>
  <c r="G491" i="3"/>
  <c r="H491" i="3" s="1"/>
  <c r="BQ487" i="3"/>
  <c r="BB487" i="3"/>
  <c r="BF487" i="3"/>
  <c r="BJ486" i="3" s="1"/>
  <c r="BK486" i="3" s="1"/>
  <c r="AW489" i="3"/>
  <c r="BM491" i="3" l="1"/>
  <c r="AN491" i="3"/>
  <c r="AV489" i="3"/>
  <c r="BC488" i="3"/>
  <c r="BG488" i="3" s="1"/>
  <c r="BH488" i="3" s="1"/>
  <c r="BI488" i="3" s="1"/>
  <c r="BG487" i="3"/>
  <c r="BH487" i="3" s="1"/>
  <c r="BI487" i="3" s="1"/>
  <c r="AY489" i="3"/>
  <c r="BN491" i="3"/>
  <c r="AU490" i="3"/>
  <c r="AT490" i="3"/>
  <c r="BB488" i="3"/>
  <c r="BF488" i="3"/>
  <c r="BJ487" i="3" s="1"/>
  <c r="BK487" i="3" s="1"/>
  <c r="B492" i="3"/>
  <c r="AQ492" i="3"/>
  <c r="AR492" i="3"/>
  <c r="A493" i="3"/>
  <c r="D492" i="3"/>
  <c r="C492" i="3"/>
  <c r="S492" i="3"/>
  <c r="R492" i="3"/>
  <c r="AM492" i="3"/>
  <c r="AK492" i="3"/>
  <c r="Q492" i="3"/>
  <c r="P492" i="3"/>
  <c r="AD492" i="3"/>
  <c r="O492" i="3"/>
  <c r="AE492" i="3"/>
  <c r="M492" i="3"/>
  <c r="U492" i="3"/>
  <c r="AF492" i="3"/>
  <c r="V492" i="3"/>
  <c r="G492" i="3"/>
  <c r="H492" i="3" s="1"/>
  <c r="F492" i="3"/>
  <c r="T492" i="3"/>
  <c r="AX490" i="3"/>
  <c r="AW490" i="3"/>
  <c r="AG491" i="3"/>
  <c r="AO491" i="3"/>
  <c r="Y491" i="3"/>
  <c r="Z491" i="3" s="1"/>
  <c r="BA489" i="3"/>
  <c r="AH491" i="3"/>
  <c r="X491" i="3"/>
  <c r="BD488" i="3" l="1"/>
  <c r="BC489" i="3"/>
  <c r="BG489" i="3" s="1"/>
  <c r="BH489" i="3" s="1"/>
  <c r="BI489" i="3" s="1"/>
  <c r="BN492" i="3"/>
  <c r="AV490" i="3"/>
  <c r="AO492" i="3"/>
  <c r="BA490" i="3"/>
  <c r="BQ490" i="3" s="1"/>
  <c r="AX491" i="3"/>
  <c r="AY490" i="3"/>
  <c r="BF489" i="3"/>
  <c r="BJ488" i="3" s="1"/>
  <c r="BK488" i="3" s="1"/>
  <c r="BQ489" i="3"/>
  <c r="BB489" i="3"/>
  <c r="Y492" i="3"/>
  <c r="Z492" i="3" s="1"/>
  <c r="AT491" i="3"/>
  <c r="BM492" i="3"/>
  <c r="AG492" i="3"/>
  <c r="AH492" i="3"/>
  <c r="AN492" i="3"/>
  <c r="AQ493" i="3"/>
  <c r="B493" i="3"/>
  <c r="A494" i="3"/>
  <c r="AR493" i="3"/>
  <c r="C493" i="3"/>
  <c r="D493" i="3"/>
  <c r="T493" i="3"/>
  <c r="S493" i="3"/>
  <c r="Q493" i="3"/>
  <c r="AM493" i="3"/>
  <c r="AK493" i="3"/>
  <c r="AD493" i="3"/>
  <c r="R493" i="3"/>
  <c r="P493" i="3"/>
  <c r="AE493" i="3"/>
  <c r="O493" i="3"/>
  <c r="AF493" i="3"/>
  <c r="V493" i="3"/>
  <c r="M493" i="3"/>
  <c r="U493" i="3"/>
  <c r="G493" i="3"/>
  <c r="H493" i="3" s="1"/>
  <c r="F493" i="3"/>
  <c r="AU491" i="3"/>
  <c r="AW491" i="3"/>
  <c r="X492" i="3"/>
  <c r="BD489" i="3" l="1"/>
  <c r="BB490" i="3"/>
  <c r="BC490" i="3"/>
  <c r="BD490" i="3" s="1"/>
  <c r="AO493" i="3"/>
  <c r="BN493" i="3"/>
  <c r="BM493" i="3"/>
  <c r="AY491" i="3"/>
  <c r="AT492" i="3"/>
  <c r="BF490" i="3"/>
  <c r="BJ489" i="3" s="1"/>
  <c r="BK489" i="3" s="1"/>
  <c r="AN493" i="3"/>
  <c r="B494" i="3"/>
  <c r="A495" i="3"/>
  <c r="AQ494" i="3"/>
  <c r="AR494" i="3"/>
  <c r="C494" i="3"/>
  <c r="D494" i="3"/>
  <c r="AM494" i="3"/>
  <c r="AK494" i="3"/>
  <c r="T494" i="3"/>
  <c r="S494" i="3"/>
  <c r="R494" i="3"/>
  <c r="Q494" i="3"/>
  <c r="AD494" i="3"/>
  <c r="P494" i="3"/>
  <c r="AE494" i="3"/>
  <c r="O494" i="3"/>
  <c r="V494" i="3"/>
  <c r="AF494" i="3"/>
  <c r="M494" i="3"/>
  <c r="U494" i="3"/>
  <c r="F494" i="3"/>
  <c r="BM494" i="3" s="1"/>
  <c r="G494" i="3"/>
  <c r="H494" i="3" s="1"/>
  <c r="BN494" i="3" s="1"/>
  <c r="AV491" i="3"/>
  <c r="BA491" i="3"/>
  <c r="AG493" i="3"/>
  <c r="X493" i="3"/>
  <c r="AW492" i="3"/>
  <c r="Y493" i="3"/>
  <c r="Z493" i="3" s="1"/>
  <c r="AU492" i="3"/>
  <c r="AX492" i="3"/>
  <c r="AH493" i="3"/>
  <c r="BG490" i="3" l="1"/>
  <c r="BH490" i="3" s="1"/>
  <c r="BI490" i="3" s="1"/>
  <c r="AV492" i="3"/>
  <c r="AO494" i="3"/>
  <c r="BC491" i="3"/>
  <c r="BD491" i="3" s="1"/>
  <c r="AX493" i="3"/>
  <c r="AH494" i="3"/>
  <c r="AY492" i="3"/>
  <c r="BA492" i="3"/>
  <c r="AT493" i="3"/>
  <c r="AU493" i="3"/>
  <c r="AW493" i="3"/>
  <c r="AG494" i="3"/>
  <c r="AN494" i="3"/>
  <c r="X494" i="3"/>
  <c r="BQ491" i="3"/>
  <c r="BB491" i="3"/>
  <c r="BF491" i="3"/>
  <c r="BJ490" i="3" s="1"/>
  <c r="BK490" i="3" s="1"/>
  <c r="Y494" i="3"/>
  <c r="Z494" i="3" s="1"/>
  <c r="AR495" i="3"/>
  <c r="B495" i="3"/>
  <c r="AQ495" i="3"/>
  <c r="A496" i="3"/>
  <c r="D495" i="3"/>
  <c r="C495" i="3"/>
  <c r="AK495" i="3"/>
  <c r="R495" i="3"/>
  <c r="Q495" i="3"/>
  <c r="AM495" i="3"/>
  <c r="T495" i="3"/>
  <c r="S495" i="3"/>
  <c r="AD495" i="3"/>
  <c r="O495" i="3"/>
  <c r="AE495" i="3"/>
  <c r="M495" i="3"/>
  <c r="V495" i="3"/>
  <c r="P495" i="3"/>
  <c r="AF495" i="3"/>
  <c r="U495" i="3"/>
  <c r="G495" i="3"/>
  <c r="H495" i="3" s="1"/>
  <c r="F495" i="3"/>
  <c r="BN495" i="3" l="1"/>
  <c r="BM495" i="3"/>
  <c r="BC492" i="3"/>
  <c r="BD492" i="3" s="1"/>
  <c r="BG491" i="3"/>
  <c r="BH491" i="3" s="1"/>
  <c r="BI491" i="3" s="1"/>
  <c r="AY493" i="3"/>
  <c r="AO495" i="3"/>
  <c r="AX494" i="3"/>
  <c r="AT494" i="3"/>
  <c r="Y495" i="3"/>
  <c r="Z495" i="3" s="1"/>
  <c r="B496" i="3"/>
  <c r="AQ496" i="3"/>
  <c r="AR496" i="3"/>
  <c r="A497" i="3"/>
  <c r="C496" i="3"/>
  <c r="S496" i="3"/>
  <c r="AM496" i="3"/>
  <c r="D496" i="3"/>
  <c r="AK496" i="3"/>
  <c r="T496" i="3"/>
  <c r="AD496" i="3"/>
  <c r="Q496" i="3"/>
  <c r="R496" i="3"/>
  <c r="P496" i="3"/>
  <c r="O496" i="3"/>
  <c r="AE496" i="3"/>
  <c r="M496" i="3"/>
  <c r="AF496" i="3"/>
  <c r="V496" i="3"/>
  <c r="U496" i="3"/>
  <c r="F496" i="3"/>
  <c r="G496" i="3"/>
  <c r="H496" i="3" s="1"/>
  <c r="AV493" i="3"/>
  <c r="BA493" i="3"/>
  <c r="AH495" i="3"/>
  <c r="AN495" i="3"/>
  <c r="X495" i="3"/>
  <c r="AU494" i="3"/>
  <c r="AW494" i="3"/>
  <c r="BB492" i="3"/>
  <c r="BQ492" i="3"/>
  <c r="BF492" i="3"/>
  <c r="BJ491" i="3" s="1"/>
  <c r="BK491" i="3" s="1"/>
  <c r="AG495" i="3"/>
  <c r="BM496" i="3" l="1"/>
  <c r="BN496" i="3"/>
  <c r="AO496" i="3"/>
  <c r="BG492" i="3"/>
  <c r="BH492" i="3" s="1"/>
  <c r="BI492" i="3" s="1"/>
  <c r="BC493" i="3"/>
  <c r="BD493" i="3" s="1"/>
  <c r="AW495" i="3"/>
  <c r="AY494" i="3"/>
  <c r="AH496" i="3"/>
  <c r="BA494" i="3"/>
  <c r="BQ494" i="3" s="1"/>
  <c r="AT495" i="3"/>
  <c r="AX495" i="3"/>
  <c r="AN496" i="3"/>
  <c r="X496" i="3"/>
  <c r="AV494" i="3"/>
  <c r="BF493" i="3"/>
  <c r="BJ492" i="3" s="1"/>
  <c r="BK492" i="3" s="1"/>
  <c r="BQ493" i="3"/>
  <c r="BB493" i="3"/>
  <c r="Y496" i="3"/>
  <c r="Z496" i="3" s="1"/>
  <c r="AQ497" i="3"/>
  <c r="B497" i="3"/>
  <c r="A498" i="3"/>
  <c r="AR497" i="3"/>
  <c r="C497" i="3"/>
  <c r="AM497" i="3"/>
  <c r="R497" i="3"/>
  <c r="D497" i="3"/>
  <c r="AK497" i="3"/>
  <c r="Q497" i="3"/>
  <c r="AD497" i="3"/>
  <c r="P497" i="3"/>
  <c r="S497" i="3"/>
  <c r="O497" i="3"/>
  <c r="AE497" i="3"/>
  <c r="AF497" i="3"/>
  <c r="V497" i="3"/>
  <c r="M497" i="3"/>
  <c r="U497" i="3"/>
  <c r="F497" i="3"/>
  <c r="G497" i="3"/>
  <c r="H497" i="3" s="1"/>
  <c r="T497" i="3"/>
  <c r="AU495" i="3"/>
  <c r="AG496" i="3"/>
  <c r="BG493" i="3" l="1"/>
  <c r="BH493" i="3" s="1"/>
  <c r="BI493" i="3" s="1"/>
  <c r="AG497" i="3"/>
  <c r="BN497" i="3"/>
  <c r="AO497" i="3"/>
  <c r="AY495" i="3"/>
  <c r="AW496" i="3"/>
  <c r="BC494" i="3"/>
  <c r="BD494" i="3" s="1"/>
  <c r="BB494" i="3"/>
  <c r="AU496" i="3"/>
  <c r="AX496" i="3"/>
  <c r="BF494" i="3"/>
  <c r="BJ493" i="3" s="1"/>
  <c r="BK493" i="3" s="1"/>
  <c r="Y497" i="3"/>
  <c r="Z497" i="3" s="1"/>
  <c r="BM497" i="3"/>
  <c r="AN497" i="3"/>
  <c r="AT496" i="3"/>
  <c r="AV495" i="3"/>
  <c r="B498" i="3"/>
  <c r="A499" i="3"/>
  <c r="AQ498" i="3"/>
  <c r="AR498" i="3"/>
  <c r="C498" i="3"/>
  <c r="AM498" i="3"/>
  <c r="AK498" i="3"/>
  <c r="T498" i="3"/>
  <c r="S498" i="3"/>
  <c r="D498" i="3"/>
  <c r="Q498" i="3"/>
  <c r="AD498" i="3"/>
  <c r="P498" i="3"/>
  <c r="M498" i="3"/>
  <c r="AF498" i="3"/>
  <c r="AE498" i="3"/>
  <c r="V498" i="3"/>
  <c r="O498" i="3"/>
  <c r="G498" i="3"/>
  <c r="H498" i="3" s="1"/>
  <c r="U498" i="3"/>
  <c r="R498" i="3"/>
  <c r="F498" i="3"/>
  <c r="AH497" i="3"/>
  <c r="X497" i="3"/>
  <c r="BA495" i="3"/>
  <c r="AY496" i="3" l="1"/>
  <c r="BC495" i="3"/>
  <c r="BD495" i="3" s="1"/>
  <c r="BM498" i="3"/>
  <c r="AW497" i="3"/>
  <c r="BG494" i="3"/>
  <c r="BH494" i="3" s="1"/>
  <c r="BI494" i="3" s="1"/>
  <c r="AU497" i="3"/>
  <c r="AN498" i="3"/>
  <c r="AV496" i="3"/>
  <c r="BF495" i="3"/>
  <c r="BJ494" i="3" s="1"/>
  <c r="BK494" i="3" s="1"/>
  <c r="BB495" i="3"/>
  <c r="BQ495" i="3"/>
  <c r="Y498" i="3"/>
  <c r="Z498" i="3" s="1"/>
  <c r="AX497" i="3"/>
  <c r="BN498" i="3"/>
  <c r="AO498" i="3"/>
  <c r="X498" i="3"/>
  <c r="AT497" i="3"/>
  <c r="BA496" i="3"/>
  <c r="AH498" i="3"/>
  <c r="AG498" i="3"/>
  <c r="AR499" i="3"/>
  <c r="B499" i="3"/>
  <c r="AQ499" i="3"/>
  <c r="A500" i="3"/>
  <c r="D499" i="3"/>
  <c r="C499" i="3"/>
  <c r="AM499" i="3"/>
  <c r="AK499" i="3"/>
  <c r="Q499" i="3"/>
  <c r="P499" i="3"/>
  <c r="S499" i="3"/>
  <c r="R499" i="3"/>
  <c r="AD499" i="3"/>
  <c r="O499" i="3"/>
  <c r="M499" i="3"/>
  <c r="U499" i="3"/>
  <c r="AE499" i="3"/>
  <c r="AF499" i="3"/>
  <c r="V499" i="3"/>
  <c r="F499" i="3"/>
  <c r="G499" i="3"/>
  <c r="H499" i="3" s="1"/>
  <c r="BN499" i="3" s="1"/>
  <c r="T499" i="3"/>
  <c r="BM499" i="3" l="1"/>
  <c r="BC496" i="3"/>
  <c r="BD496" i="3" s="1"/>
  <c r="BG495" i="3"/>
  <c r="BH495" i="3" s="1"/>
  <c r="BI495" i="3" s="1"/>
  <c r="AY497" i="3"/>
  <c r="AG499" i="3"/>
  <c r="AO499" i="3"/>
  <c r="AN499" i="3"/>
  <c r="AW498" i="3"/>
  <c r="AT498" i="3"/>
  <c r="AU498" i="3"/>
  <c r="B500" i="3"/>
  <c r="AQ500" i="3"/>
  <c r="AR500" i="3"/>
  <c r="A501" i="3"/>
  <c r="D500" i="3"/>
  <c r="C500" i="3"/>
  <c r="AM500" i="3"/>
  <c r="S500" i="3"/>
  <c r="AK500" i="3"/>
  <c r="R500" i="3"/>
  <c r="Q500" i="3"/>
  <c r="P500" i="3"/>
  <c r="AD500" i="3"/>
  <c r="M500" i="3"/>
  <c r="AE500" i="3"/>
  <c r="O500" i="3"/>
  <c r="AF500" i="3"/>
  <c r="U500" i="3"/>
  <c r="V500" i="3"/>
  <c r="G500" i="3"/>
  <c r="H500" i="3" s="1"/>
  <c r="F500" i="3"/>
  <c r="T500" i="3"/>
  <c r="BF496" i="3"/>
  <c r="BJ495" i="3" s="1"/>
  <c r="BK495" i="3" s="1"/>
  <c r="BB496" i="3"/>
  <c r="BQ496" i="3"/>
  <c r="Y499" i="3"/>
  <c r="Z499" i="3" s="1"/>
  <c r="X499" i="3"/>
  <c r="BA497" i="3"/>
  <c r="AV497" i="3"/>
  <c r="AH499" i="3"/>
  <c r="AX498" i="3"/>
  <c r="AO500" i="3" l="1"/>
  <c r="BC497" i="3"/>
  <c r="BG497" i="3" s="1"/>
  <c r="BH497" i="3" s="1"/>
  <c r="BI497" i="3" s="1"/>
  <c r="BG496" i="3"/>
  <c r="BH496" i="3" s="1"/>
  <c r="BI496" i="3" s="1"/>
  <c r="AX499" i="3"/>
  <c r="BN500" i="3"/>
  <c r="AH500" i="3"/>
  <c r="AY498" i="3"/>
  <c r="BA498" i="3"/>
  <c r="BB498" i="3" s="1"/>
  <c r="Y500" i="3"/>
  <c r="Z500" i="3" s="1"/>
  <c r="AV498" i="3"/>
  <c r="AU499" i="3"/>
  <c r="AW499" i="3"/>
  <c r="AT499" i="3"/>
  <c r="BM500" i="3"/>
  <c r="AG500" i="3"/>
  <c r="AN500" i="3"/>
  <c r="BF497" i="3"/>
  <c r="BJ496" i="3" s="1"/>
  <c r="BK496" i="3" s="1"/>
  <c r="BB497" i="3"/>
  <c r="BQ497" i="3"/>
  <c r="AQ501" i="3"/>
  <c r="B501" i="3"/>
  <c r="A502" i="3"/>
  <c r="AR501" i="3"/>
  <c r="C501" i="3"/>
  <c r="AK501" i="3"/>
  <c r="AM501" i="3"/>
  <c r="D501" i="3"/>
  <c r="T501" i="3"/>
  <c r="S501" i="3"/>
  <c r="R501" i="3"/>
  <c r="AD501" i="3"/>
  <c r="Q501" i="3"/>
  <c r="P501" i="3"/>
  <c r="AF501" i="3"/>
  <c r="AE501" i="3"/>
  <c r="U501" i="3"/>
  <c r="V501" i="3"/>
  <c r="O501" i="3"/>
  <c r="M501" i="3"/>
  <c r="F501" i="3"/>
  <c r="BM501" i="3" s="1"/>
  <c r="G501" i="3"/>
  <c r="H501" i="3" s="1"/>
  <c r="X500" i="3"/>
  <c r="BD497" i="3" l="1"/>
  <c r="BN501" i="3"/>
  <c r="AY499" i="3"/>
  <c r="AU500" i="3"/>
  <c r="AV499" i="3"/>
  <c r="AT500" i="3"/>
  <c r="AG501" i="3"/>
  <c r="BC498" i="3"/>
  <c r="BG498" i="3" s="1"/>
  <c r="BH498" i="3" s="1"/>
  <c r="BI498" i="3" s="1"/>
  <c r="BQ498" i="3"/>
  <c r="BF498" i="3"/>
  <c r="BJ497" i="3" s="1"/>
  <c r="BK497" i="3" s="1"/>
  <c r="BA499" i="3"/>
  <c r="BQ499" i="3" s="1"/>
  <c r="AX500" i="3"/>
  <c r="B502" i="3"/>
  <c r="A503" i="3"/>
  <c r="AQ502" i="3"/>
  <c r="AR502" i="3"/>
  <c r="C502" i="3"/>
  <c r="D502" i="3"/>
  <c r="AK502" i="3"/>
  <c r="AM502" i="3"/>
  <c r="S502" i="3"/>
  <c r="R502" i="3"/>
  <c r="AD502" i="3"/>
  <c r="P502" i="3"/>
  <c r="M502" i="3"/>
  <c r="O502" i="3"/>
  <c r="U502" i="3"/>
  <c r="V502" i="3"/>
  <c r="AF502" i="3"/>
  <c r="AE502" i="3"/>
  <c r="G502" i="3"/>
  <c r="H502" i="3" s="1"/>
  <c r="F502" i="3"/>
  <c r="Q502" i="3"/>
  <c r="T502" i="3"/>
  <c r="X501" i="3"/>
  <c r="AW500" i="3"/>
  <c r="Y501" i="3"/>
  <c r="Z501" i="3" s="1"/>
  <c r="AN501" i="3"/>
  <c r="AO501" i="3"/>
  <c r="AH501" i="3"/>
  <c r="BC499" i="3" l="1"/>
  <c r="BG499" i="3" s="1"/>
  <c r="BH499" i="3" s="1"/>
  <c r="BI499" i="3" s="1"/>
  <c r="AV500" i="3"/>
  <c r="BF499" i="3"/>
  <c r="BJ498" i="3" s="1"/>
  <c r="BK498" i="3" s="1"/>
  <c r="BD498" i="3"/>
  <c r="BM502" i="3"/>
  <c r="AU501" i="3"/>
  <c r="BB499" i="3"/>
  <c r="AY500" i="3"/>
  <c r="AN502" i="3"/>
  <c r="AW501" i="3"/>
  <c r="AT501" i="3"/>
  <c r="AG502" i="3"/>
  <c r="BA500" i="3"/>
  <c r="BF500" i="3" s="1"/>
  <c r="Y502" i="3"/>
  <c r="Z502" i="3" s="1"/>
  <c r="AX501" i="3"/>
  <c r="BN502" i="3"/>
  <c r="AH502" i="3"/>
  <c r="AO502" i="3"/>
  <c r="X502" i="3"/>
  <c r="AR503" i="3"/>
  <c r="B503" i="3"/>
  <c r="AQ503" i="3"/>
  <c r="A504" i="3"/>
  <c r="C503" i="3"/>
  <c r="T503" i="3"/>
  <c r="S503" i="3"/>
  <c r="AK503" i="3"/>
  <c r="D503" i="3"/>
  <c r="AM503" i="3"/>
  <c r="Q503" i="3"/>
  <c r="R503" i="3"/>
  <c r="AD503" i="3"/>
  <c r="P503" i="3"/>
  <c r="O503" i="3"/>
  <c r="M503" i="3"/>
  <c r="AF503" i="3"/>
  <c r="U503" i="3"/>
  <c r="AE503" i="3"/>
  <c r="V503" i="3"/>
  <c r="G503" i="3"/>
  <c r="H503" i="3" s="1"/>
  <c r="F503" i="3"/>
  <c r="BN503" i="3" l="1"/>
  <c r="BD499" i="3"/>
  <c r="BC500" i="3"/>
  <c r="BG500" i="3" s="1"/>
  <c r="BH500" i="3" s="1"/>
  <c r="BI500" i="3" s="1"/>
  <c r="AU502" i="3"/>
  <c r="AV501" i="3"/>
  <c r="BJ499" i="3"/>
  <c r="BK499" i="3" s="1"/>
  <c r="AN503" i="3"/>
  <c r="BM503" i="3"/>
  <c r="AG503" i="3"/>
  <c r="BA501" i="3"/>
  <c r="BB501" i="3" s="1"/>
  <c r="AT502" i="3"/>
  <c r="AW502" i="3"/>
  <c r="BQ500" i="3"/>
  <c r="AY501" i="3"/>
  <c r="BB500" i="3"/>
  <c r="Y503" i="3"/>
  <c r="Z503" i="3" s="1"/>
  <c r="AH503" i="3"/>
  <c r="X503" i="3"/>
  <c r="AX502" i="3"/>
  <c r="B504" i="3"/>
  <c r="AQ504" i="3"/>
  <c r="AR504" i="3"/>
  <c r="A505" i="3"/>
  <c r="D504" i="3"/>
  <c r="AM504" i="3"/>
  <c r="T504" i="3"/>
  <c r="C504" i="3"/>
  <c r="AK504" i="3"/>
  <c r="R504" i="3"/>
  <c r="Q504" i="3"/>
  <c r="AD504" i="3"/>
  <c r="P504" i="3"/>
  <c r="S504" i="3"/>
  <c r="M504" i="3"/>
  <c r="AE504" i="3"/>
  <c r="O504" i="3"/>
  <c r="U504" i="3"/>
  <c r="AF504" i="3"/>
  <c r="V504" i="3"/>
  <c r="G504" i="3"/>
  <c r="H504" i="3" s="1"/>
  <c r="BN504" i="3" s="1"/>
  <c r="F504" i="3"/>
  <c r="AO503" i="3"/>
  <c r="BM504" i="3" l="1"/>
  <c r="BD500" i="3"/>
  <c r="BF501" i="3"/>
  <c r="BJ500" i="3" s="1"/>
  <c r="BK500" i="3" s="1"/>
  <c r="AV502" i="3"/>
  <c r="BC501" i="3"/>
  <c r="BD501" i="3" s="1"/>
  <c r="AU503" i="3"/>
  <c r="AT503" i="3"/>
  <c r="BQ501" i="3"/>
  <c r="BA502" i="3"/>
  <c r="BQ502" i="3" s="1"/>
  <c r="AW503" i="3"/>
  <c r="AY502" i="3"/>
  <c r="AO504" i="3"/>
  <c r="AQ505" i="3"/>
  <c r="B505" i="3"/>
  <c r="A506" i="3"/>
  <c r="AR505" i="3"/>
  <c r="D505" i="3"/>
  <c r="C505" i="3"/>
  <c r="AK505" i="3"/>
  <c r="AM505" i="3"/>
  <c r="T505" i="3"/>
  <c r="P505" i="3"/>
  <c r="S505" i="3"/>
  <c r="Q505" i="3"/>
  <c r="AD505" i="3"/>
  <c r="M505" i="3"/>
  <c r="AE505" i="3"/>
  <c r="V505" i="3"/>
  <c r="U505" i="3"/>
  <c r="O505" i="3"/>
  <c r="AF505" i="3"/>
  <c r="G505" i="3"/>
  <c r="H505" i="3" s="1"/>
  <c r="F505" i="3"/>
  <c r="R505" i="3"/>
  <c r="AG504" i="3"/>
  <c r="AH504" i="3"/>
  <c r="X504" i="3"/>
  <c r="AN504" i="3"/>
  <c r="AX503" i="3"/>
  <c r="Y504" i="3"/>
  <c r="Z504" i="3" s="1"/>
  <c r="BG501" i="3" l="1"/>
  <c r="BH501" i="3" s="1"/>
  <c r="BI501" i="3" s="1"/>
  <c r="BC502" i="3"/>
  <c r="BD502" i="3" s="1"/>
  <c r="AV503" i="3"/>
  <c r="BM505" i="3"/>
  <c r="BF502" i="3"/>
  <c r="BJ501" i="3" s="1"/>
  <c r="BK501" i="3" s="1"/>
  <c r="BB502" i="3"/>
  <c r="AY503" i="3"/>
  <c r="AT504" i="3"/>
  <c r="AO505" i="3"/>
  <c r="BA503" i="3"/>
  <c r="BF503" i="3" s="1"/>
  <c r="AX504" i="3"/>
  <c r="AH505" i="3"/>
  <c r="AU504" i="3"/>
  <c r="AW504" i="3"/>
  <c r="BN505" i="3"/>
  <c r="AN505" i="3"/>
  <c r="X505" i="3"/>
  <c r="Y505" i="3"/>
  <c r="Z505" i="3" s="1"/>
  <c r="B506" i="3"/>
  <c r="A507" i="3"/>
  <c r="AQ506" i="3"/>
  <c r="AR506" i="3"/>
  <c r="C506" i="3"/>
  <c r="D506" i="3"/>
  <c r="S506" i="3"/>
  <c r="Q506" i="3"/>
  <c r="AM506" i="3"/>
  <c r="AK506" i="3"/>
  <c r="T506" i="3"/>
  <c r="R506" i="3"/>
  <c r="AD506" i="3"/>
  <c r="P506" i="3"/>
  <c r="AE506" i="3"/>
  <c r="AF506" i="3"/>
  <c r="M506" i="3"/>
  <c r="U506" i="3"/>
  <c r="O506" i="3"/>
  <c r="V506" i="3"/>
  <c r="G506" i="3"/>
  <c r="H506" i="3" s="1"/>
  <c r="F506" i="3"/>
  <c r="AG505" i="3"/>
  <c r="BC503" i="3" l="1"/>
  <c r="BG503" i="3" s="1"/>
  <c r="BH503" i="3" s="1"/>
  <c r="BI503" i="3" s="1"/>
  <c r="BG502" i="3"/>
  <c r="BH502" i="3" s="1"/>
  <c r="BI502" i="3" s="1"/>
  <c r="BN506" i="3"/>
  <c r="BJ502" i="3"/>
  <c r="BK502" i="3" s="1"/>
  <c r="AW505" i="3"/>
  <c r="AV504" i="3"/>
  <c r="AG506" i="3"/>
  <c r="AU505" i="3"/>
  <c r="AN506" i="3"/>
  <c r="BQ503" i="3"/>
  <c r="BB503" i="3"/>
  <c r="Y506" i="3"/>
  <c r="Z506" i="3" s="1"/>
  <c r="AR507" i="3"/>
  <c r="B507" i="3"/>
  <c r="AQ507" i="3"/>
  <c r="A508" i="3"/>
  <c r="D507" i="3"/>
  <c r="C507" i="3"/>
  <c r="AK507" i="3"/>
  <c r="S507" i="3"/>
  <c r="AM507" i="3"/>
  <c r="R507" i="3"/>
  <c r="Q507" i="3"/>
  <c r="AD507" i="3"/>
  <c r="P507" i="3"/>
  <c r="M507" i="3"/>
  <c r="U507" i="3"/>
  <c r="O507" i="3"/>
  <c r="AF507" i="3"/>
  <c r="AE507" i="3"/>
  <c r="V507" i="3"/>
  <c r="F507" i="3"/>
  <c r="G507" i="3"/>
  <c r="H507" i="3" s="1"/>
  <c r="BN507" i="3" s="1"/>
  <c r="T507" i="3"/>
  <c r="BA504" i="3"/>
  <c r="AY504" i="3"/>
  <c r="X506" i="3"/>
  <c r="BM506" i="3"/>
  <c r="AO506" i="3"/>
  <c r="AT505" i="3"/>
  <c r="AX505" i="3"/>
  <c r="AH506" i="3"/>
  <c r="AV505" i="3" l="1"/>
  <c r="BD503" i="3"/>
  <c r="BM507" i="3"/>
  <c r="AN507" i="3"/>
  <c r="AW506" i="3"/>
  <c r="AY505" i="3"/>
  <c r="BC504" i="3"/>
  <c r="BD504" i="3" s="1"/>
  <c r="AU506" i="3"/>
  <c r="AX506" i="3"/>
  <c r="BB504" i="3"/>
  <c r="BQ504" i="3"/>
  <c r="BF504" i="3"/>
  <c r="BJ503" i="3" s="1"/>
  <c r="BK503" i="3" s="1"/>
  <c r="AT506" i="3"/>
  <c r="AO507" i="3"/>
  <c r="B508" i="3"/>
  <c r="AQ508" i="3"/>
  <c r="AR508" i="3"/>
  <c r="A509" i="3"/>
  <c r="D508" i="3"/>
  <c r="AM508" i="3"/>
  <c r="T508" i="3"/>
  <c r="C508" i="3"/>
  <c r="AK508" i="3"/>
  <c r="S508" i="3"/>
  <c r="Q508" i="3"/>
  <c r="AD508" i="3"/>
  <c r="P508" i="3"/>
  <c r="O508" i="3"/>
  <c r="AF508" i="3"/>
  <c r="V508" i="3"/>
  <c r="U508" i="3"/>
  <c r="AE508" i="3"/>
  <c r="M508" i="3"/>
  <c r="R508" i="3"/>
  <c r="G508" i="3"/>
  <c r="H508" i="3" s="1"/>
  <c r="F508" i="3"/>
  <c r="BA505" i="3"/>
  <c r="Y507" i="3"/>
  <c r="Z507" i="3" s="1"/>
  <c r="AG507" i="3"/>
  <c r="AH507" i="3"/>
  <c r="X507" i="3"/>
  <c r="BN508" i="3" l="1"/>
  <c r="BC505" i="3"/>
  <c r="BG505" i="3" s="1"/>
  <c r="BH505" i="3" s="1"/>
  <c r="BI505" i="3" s="1"/>
  <c r="BM508" i="3"/>
  <c r="AY506" i="3"/>
  <c r="AG508" i="3"/>
  <c r="BG504" i="3"/>
  <c r="BH504" i="3" s="1"/>
  <c r="BI504" i="3" s="1"/>
  <c r="AX507" i="3"/>
  <c r="AO508" i="3"/>
  <c r="AN508" i="3"/>
  <c r="AQ509" i="3"/>
  <c r="B509" i="3"/>
  <c r="A510" i="3"/>
  <c r="AR509" i="3"/>
  <c r="C509" i="3"/>
  <c r="AM509" i="3"/>
  <c r="S509" i="3"/>
  <c r="AK509" i="3"/>
  <c r="D509" i="3"/>
  <c r="R509" i="3"/>
  <c r="P509" i="3"/>
  <c r="Q509" i="3"/>
  <c r="AD509" i="3"/>
  <c r="O509" i="3"/>
  <c r="AE509" i="3"/>
  <c r="U509" i="3"/>
  <c r="M509" i="3"/>
  <c r="AF509" i="3"/>
  <c r="V509" i="3"/>
  <c r="G509" i="3"/>
  <c r="H509" i="3" s="1"/>
  <c r="F509" i="3"/>
  <c r="T509" i="3"/>
  <c r="BQ505" i="3"/>
  <c r="BF505" i="3"/>
  <c r="BJ504" i="3" s="1"/>
  <c r="BK504" i="3" s="1"/>
  <c r="BB505" i="3"/>
  <c r="Y508" i="3"/>
  <c r="Z508" i="3" s="1"/>
  <c r="AW507" i="3"/>
  <c r="AU507" i="3"/>
  <c r="BA506" i="3"/>
  <c r="AV506" i="3"/>
  <c r="AH508" i="3"/>
  <c r="X508" i="3"/>
  <c r="AT507" i="3"/>
  <c r="AU508" i="3" l="1"/>
  <c r="BD505" i="3"/>
  <c r="BC506" i="3"/>
  <c r="BD506" i="3" s="1"/>
  <c r="BM509" i="3"/>
  <c r="AO509" i="3"/>
  <c r="BN509" i="3"/>
  <c r="AY507" i="3"/>
  <c r="AV507" i="3"/>
  <c r="BA507" i="3"/>
  <c r="BB506" i="3"/>
  <c r="BQ506" i="3"/>
  <c r="BF506" i="3"/>
  <c r="BJ505" i="3" s="1"/>
  <c r="BK505" i="3" s="1"/>
  <c r="B510" i="3"/>
  <c r="A511" i="3"/>
  <c r="AQ510" i="3"/>
  <c r="AR510" i="3"/>
  <c r="D510" i="3"/>
  <c r="C510" i="3"/>
  <c r="AM510" i="3"/>
  <c r="R510" i="3"/>
  <c r="AK510" i="3"/>
  <c r="S510" i="3"/>
  <c r="Q510" i="3"/>
  <c r="AD510" i="3"/>
  <c r="P510" i="3"/>
  <c r="O510" i="3"/>
  <c r="M510" i="3"/>
  <c r="AF510" i="3"/>
  <c r="AE510" i="3"/>
  <c r="U510" i="3"/>
  <c r="V510" i="3"/>
  <c r="G510" i="3"/>
  <c r="H510" i="3" s="1"/>
  <c r="F510" i="3"/>
  <c r="T510" i="3"/>
  <c r="Y509" i="3"/>
  <c r="Z509" i="3" s="1"/>
  <c r="AW508" i="3"/>
  <c r="AT508" i="3"/>
  <c r="AG509" i="3"/>
  <c r="AH509" i="3"/>
  <c r="X509" i="3"/>
  <c r="AX508" i="3"/>
  <c r="AN509" i="3"/>
  <c r="BG506" i="3" l="1"/>
  <c r="BH506" i="3" s="1"/>
  <c r="BI506" i="3" s="1"/>
  <c r="AO510" i="3"/>
  <c r="BM510" i="3"/>
  <c r="BN510" i="3"/>
  <c r="BC507" i="3"/>
  <c r="BD507" i="3" s="1"/>
  <c r="AU509" i="3"/>
  <c r="AG510" i="3"/>
  <c r="AY508" i="3"/>
  <c r="AV508" i="3"/>
  <c r="BA508" i="3"/>
  <c r="AR511" i="3"/>
  <c r="B511" i="3"/>
  <c r="AQ511" i="3"/>
  <c r="A512" i="3"/>
  <c r="D511" i="3"/>
  <c r="C511" i="3"/>
  <c r="AM511" i="3"/>
  <c r="AK511" i="3"/>
  <c r="S511" i="3"/>
  <c r="AD511" i="3"/>
  <c r="P511" i="3"/>
  <c r="AE511" i="3"/>
  <c r="U511" i="3"/>
  <c r="O511" i="3"/>
  <c r="M511" i="3"/>
  <c r="AF511" i="3"/>
  <c r="V511" i="3"/>
  <c r="Q511" i="3"/>
  <c r="G511" i="3"/>
  <c r="H511" i="3" s="1"/>
  <c r="F511" i="3"/>
  <c r="R511" i="3"/>
  <c r="T511" i="3"/>
  <c r="AW509" i="3"/>
  <c r="AT509" i="3"/>
  <c r="AX509" i="3"/>
  <c r="Y510" i="3"/>
  <c r="Z510" i="3" s="1"/>
  <c r="AH510" i="3"/>
  <c r="X510" i="3"/>
  <c r="BQ507" i="3"/>
  <c r="BF507" i="3"/>
  <c r="BJ506" i="3" s="1"/>
  <c r="BK506" i="3" s="1"/>
  <c r="BB507" i="3"/>
  <c r="AN510" i="3"/>
  <c r="BN511" i="3" l="1"/>
  <c r="BM511" i="3"/>
  <c r="AU510" i="3"/>
  <c r="BG507" i="3"/>
  <c r="BH507" i="3" s="1"/>
  <c r="BI507" i="3" s="1"/>
  <c r="AT510" i="3"/>
  <c r="AW510" i="3"/>
  <c r="AO511" i="3"/>
  <c r="BC508" i="3"/>
  <c r="BD508" i="3" s="1"/>
  <c r="BA509" i="3"/>
  <c r="BQ509" i="3" s="1"/>
  <c r="Y511" i="3"/>
  <c r="Z511" i="3" s="1"/>
  <c r="AV509" i="3"/>
  <c r="AX510" i="3"/>
  <c r="AY509" i="3"/>
  <c r="AN511" i="3"/>
  <c r="B512" i="3"/>
  <c r="AQ512" i="3"/>
  <c r="AR512" i="3"/>
  <c r="A513" i="3"/>
  <c r="C512" i="3"/>
  <c r="AM512" i="3"/>
  <c r="AK512" i="3"/>
  <c r="S512" i="3"/>
  <c r="D512" i="3"/>
  <c r="R512" i="3"/>
  <c r="Q512" i="3"/>
  <c r="AD512" i="3"/>
  <c r="P512" i="3"/>
  <c r="O512" i="3"/>
  <c r="M512" i="3"/>
  <c r="V512" i="3"/>
  <c r="AF512" i="3"/>
  <c r="AE512" i="3"/>
  <c r="U512" i="3"/>
  <c r="G512" i="3"/>
  <c r="H512" i="3" s="1"/>
  <c r="F512" i="3"/>
  <c r="BM512" i="3" s="1"/>
  <c r="T512" i="3"/>
  <c r="BB508" i="3"/>
  <c r="BF508" i="3"/>
  <c r="BJ507" i="3" s="1"/>
  <c r="BK507" i="3" s="1"/>
  <c r="BQ508" i="3"/>
  <c r="AG511" i="3"/>
  <c r="AH511" i="3"/>
  <c r="X511" i="3"/>
  <c r="AV510" i="3" l="1"/>
  <c r="BF509" i="3"/>
  <c r="BJ508" i="3" s="1"/>
  <c r="BK508" i="3" s="1"/>
  <c r="BN512" i="3"/>
  <c r="AY510" i="3"/>
  <c r="BC509" i="3"/>
  <c r="BG509" i="3" s="1"/>
  <c r="BH509" i="3" s="1"/>
  <c r="BI509" i="3" s="1"/>
  <c r="BA510" i="3"/>
  <c r="BF510" i="3" s="1"/>
  <c r="AG512" i="3"/>
  <c r="BG508" i="3"/>
  <c r="BH508" i="3" s="1"/>
  <c r="BI508" i="3" s="1"/>
  <c r="AN512" i="3"/>
  <c r="AX511" i="3"/>
  <c r="Y512" i="3"/>
  <c r="Z512" i="3" s="1"/>
  <c r="BB509" i="3"/>
  <c r="AW511" i="3"/>
  <c r="AO512" i="3"/>
  <c r="X512" i="3"/>
  <c r="AU511" i="3"/>
  <c r="AQ513" i="3"/>
  <c r="B513" i="3"/>
  <c r="A514" i="3"/>
  <c r="AR513" i="3"/>
  <c r="C513" i="3"/>
  <c r="D513" i="3"/>
  <c r="AK513" i="3"/>
  <c r="AM513" i="3"/>
  <c r="T513" i="3"/>
  <c r="S513" i="3"/>
  <c r="Q513" i="3"/>
  <c r="R513" i="3"/>
  <c r="AD513" i="3"/>
  <c r="P513" i="3"/>
  <c r="O513" i="3"/>
  <c r="AE513" i="3"/>
  <c r="M513" i="3"/>
  <c r="AF513" i="3"/>
  <c r="V513" i="3"/>
  <c r="U513" i="3"/>
  <c r="G513" i="3"/>
  <c r="H513" i="3" s="1"/>
  <c r="F513" i="3"/>
  <c r="AH512" i="3"/>
  <c r="AT511" i="3"/>
  <c r="BJ509" i="3" l="1"/>
  <c r="BK509" i="3" s="1"/>
  <c r="BC510" i="3"/>
  <c r="BD510" i="3" s="1"/>
  <c r="BD509" i="3"/>
  <c r="AN513" i="3"/>
  <c r="AY511" i="3"/>
  <c r="BM513" i="3"/>
  <c r="BQ510" i="3"/>
  <c r="BB510" i="3"/>
  <c r="AX512" i="3"/>
  <c r="AU512" i="3"/>
  <c r="AG513" i="3"/>
  <c r="Y513" i="3"/>
  <c r="Z513" i="3" s="1"/>
  <c r="AT512" i="3"/>
  <c r="AV511" i="3"/>
  <c r="BA511" i="3"/>
  <c r="B514" i="3"/>
  <c r="A515" i="3"/>
  <c r="AQ514" i="3"/>
  <c r="AR514" i="3"/>
  <c r="C514" i="3"/>
  <c r="S514" i="3"/>
  <c r="AM514" i="3"/>
  <c r="D514" i="3"/>
  <c r="AK514" i="3"/>
  <c r="R514" i="3"/>
  <c r="Q514" i="3"/>
  <c r="AD514" i="3"/>
  <c r="P514" i="3"/>
  <c r="O514" i="3"/>
  <c r="AE514" i="3"/>
  <c r="AF514" i="3"/>
  <c r="M514" i="3"/>
  <c r="U514" i="3"/>
  <c r="V514" i="3"/>
  <c r="G514" i="3"/>
  <c r="H514" i="3" s="1"/>
  <c r="F514" i="3"/>
  <c r="BM514" i="3" s="1"/>
  <c r="T514" i="3"/>
  <c r="BN513" i="3"/>
  <c r="AH513" i="3"/>
  <c r="AO513" i="3"/>
  <c r="X513" i="3"/>
  <c r="AW512" i="3"/>
  <c r="BN514" i="3" l="1"/>
  <c r="BG510" i="3"/>
  <c r="BH510" i="3" s="1"/>
  <c r="BI510" i="3" s="1"/>
  <c r="AU513" i="3"/>
  <c r="AO514" i="3"/>
  <c r="BC511" i="3"/>
  <c r="BG511" i="3" s="1"/>
  <c r="BH511" i="3" s="1"/>
  <c r="BI511" i="3" s="1"/>
  <c r="AY512" i="3"/>
  <c r="AG514" i="3"/>
  <c r="AR515" i="3"/>
  <c r="B515" i="3"/>
  <c r="AQ515" i="3"/>
  <c r="A516" i="3"/>
  <c r="D515" i="3"/>
  <c r="AK515" i="3"/>
  <c r="AM515" i="3"/>
  <c r="Q515" i="3"/>
  <c r="C515" i="3"/>
  <c r="T515" i="3"/>
  <c r="S515" i="3"/>
  <c r="R515" i="3"/>
  <c r="AD515" i="3"/>
  <c r="P515" i="3"/>
  <c r="O515" i="3"/>
  <c r="M515" i="3"/>
  <c r="AE515" i="3"/>
  <c r="AF515" i="3"/>
  <c r="V515" i="3"/>
  <c r="U515" i="3"/>
  <c r="F515" i="3"/>
  <c r="G515" i="3"/>
  <c r="H515" i="3" s="1"/>
  <c r="BF511" i="3"/>
  <c r="BJ510" i="3" s="1"/>
  <c r="BK510" i="3" s="1"/>
  <c r="BQ511" i="3"/>
  <c r="BB511" i="3"/>
  <c r="AV512" i="3"/>
  <c r="BA512" i="3"/>
  <c r="AX513" i="3"/>
  <c r="Y514" i="3"/>
  <c r="Z514" i="3" s="1"/>
  <c r="AH514" i="3"/>
  <c r="AW513" i="3"/>
  <c r="AN514" i="3"/>
  <c r="X514" i="3"/>
  <c r="AT513" i="3"/>
  <c r="BM515" i="3" l="1"/>
  <c r="BD511" i="3"/>
  <c r="AT514" i="3"/>
  <c r="BN515" i="3"/>
  <c r="BC512" i="3"/>
  <c r="BG512" i="3" s="1"/>
  <c r="BH512" i="3" s="1"/>
  <c r="BI512" i="3" s="1"/>
  <c r="AN515" i="3"/>
  <c r="AY513" i="3"/>
  <c r="AU514" i="3"/>
  <c r="AW514" i="3"/>
  <c r="AG515" i="3"/>
  <c r="Y515" i="3"/>
  <c r="Z515" i="3" s="1"/>
  <c r="X515" i="3"/>
  <c r="BF512" i="3"/>
  <c r="BQ512" i="3"/>
  <c r="BB512" i="3"/>
  <c r="BA513" i="3"/>
  <c r="AV513" i="3"/>
  <c r="B516" i="3"/>
  <c r="AQ516" i="3"/>
  <c r="AR516" i="3"/>
  <c r="A517" i="3"/>
  <c r="C516" i="3"/>
  <c r="D516" i="3"/>
  <c r="S516" i="3"/>
  <c r="Q516" i="3"/>
  <c r="AM516" i="3"/>
  <c r="AK516" i="3"/>
  <c r="T516" i="3"/>
  <c r="R516" i="3"/>
  <c r="AD516" i="3"/>
  <c r="P516" i="3"/>
  <c r="O516" i="3"/>
  <c r="M516" i="3"/>
  <c r="V516" i="3"/>
  <c r="AF516" i="3"/>
  <c r="AE516" i="3"/>
  <c r="U516" i="3"/>
  <c r="G516" i="3"/>
  <c r="H516" i="3" s="1"/>
  <c r="F516" i="3"/>
  <c r="AX514" i="3"/>
  <c r="AH515" i="3"/>
  <c r="AO515" i="3"/>
  <c r="BC513" i="3" l="1"/>
  <c r="BG513" i="3" s="1"/>
  <c r="BH513" i="3" s="1"/>
  <c r="BI513" i="3" s="1"/>
  <c r="BD512" i="3"/>
  <c r="AV514" i="3"/>
  <c r="AY514" i="3"/>
  <c r="BN516" i="3"/>
  <c r="AG516" i="3"/>
  <c r="AN516" i="3"/>
  <c r="Y516" i="3"/>
  <c r="Z516" i="3" s="1"/>
  <c r="AQ517" i="3"/>
  <c r="B517" i="3"/>
  <c r="A518" i="3"/>
  <c r="AR517" i="3"/>
  <c r="D517" i="3"/>
  <c r="C517" i="3"/>
  <c r="AK517" i="3"/>
  <c r="AM517" i="3"/>
  <c r="R517" i="3"/>
  <c r="S517" i="3"/>
  <c r="AD517" i="3"/>
  <c r="P517" i="3"/>
  <c r="AE517" i="3"/>
  <c r="O517" i="3"/>
  <c r="M517" i="3"/>
  <c r="AF517" i="3"/>
  <c r="U517" i="3"/>
  <c r="V517" i="3"/>
  <c r="Q517" i="3"/>
  <c r="G517" i="3"/>
  <c r="H517" i="3" s="1"/>
  <c r="F517" i="3"/>
  <c r="T517" i="3"/>
  <c r="BJ511" i="3"/>
  <c r="BK511" i="3" s="1"/>
  <c r="AH516" i="3"/>
  <c r="X516" i="3"/>
  <c r="AX515" i="3"/>
  <c r="BM516" i="3"/>
  <c r="AO516" i="3"/>
  <c r="BA514" i="3"/>
  <c r="AU515" i="3"/>
  <c r="AW515" i="3"/>
  <c r="BB513" i="3"/>
  <c r="BQ513" i="3"/>
  <c r="BF513" i="3"/>
  <c r="BJ512" i="3" s="1"/>
  <c r="BK512" i="3" s="1"/>
  <c r="AT515" i="3"/>
  <c r="BD513" i="3" l="1"/>
  <c r="AU516" i="3"/>
  <c r="BC514" i="3"/>
  <c r="BD514" i="3" s="1"/>
  <c r="AW516" i="3"/>
  <c r="Y517" i="3"/>
  <c r="Z517" i="3" s="1"/>
  <c r="BN517" i="3"/>
  <c r="AN517" i="3"/>
  <c r="AT516" i="3"/>
  <c r="AY515" i="3"/>
  <c r="BQ514" i="3"/>
  <c r="BF514" i="3"/>
  <c r="BJ513" i="3" s="1"/>
  <c r="BK513" i="3" s="1"/>
  <c r="BB514" i="3"/>
  <c r="B518" i="3"/>
  <c r="A519" i="3"/>
  <c r="AQ518" i="3"/>
  <c r="AR518" i="3"/>
  <c r="C518" i="3"/>
  <c r="D518" i="3"/>
  <c r="T518" i="3"/>
  <c r="S518" i="3"/>
  <c r="AK518" i="3"/>
  <c r="AM518" i="3"/>
  <c r="Q518" i="3"/>
  <c r="R518" i="3"/>
  <c r="AD518" i="3"/>
  <c r="P518" i="3"/>
  <c r="O518" i="3"/>
  <c r="M518" i="3"/>
  <c r="AE518" i="3"/>
  <c r="U518" i="3"/>
  <c r="AF518" i="3"/>
  <c r="V518" i="3"/>
  <c r="F518" i="3"/>
  <c r="BM518" i="3" s="1"/>
  <c r="G518" i="3"/>
  <c r="H518" i="3" s="1"/>
  <c r="AX516" i="3"/>
  <c r="BM517" i="3"/>
  <c r="AG517" i="3"/>
  <c r="AH517" i="3"/>
  <c r="AO517" i="3"/>
  <c r="AV515" i="3"/>
  <c r="BA515" i="3"/>
  <c r="X517" i="3"/>
  <c r="BN518" i="3" l="1"/>
  <c r="AV516" i="3"/>
  <c r="BG514" i="3"/>
  <c r="BH514" i="3" s="1"/>
  <c r="BI514" i="3" s="1"/>
  <c r="BA516" i="3"/>
  <c r="BB516" i="3" s="1"/>
  <c r="AU517" i="3"/>
  <c r="BC515" i="3"/>
  <c r="BG515" i="3" s="1"/>
  <c r="BH515" i="3" s="1"/>
  <c r="BI515" i="3" s="1"/>
  <c r="AO518" i="3"/>
  <c r="BF515" i="3"/>
  <c r="BJ514" i="3" s="1"/>
  <c r="BK514" i="3" s="1"/>
  <c r="BB515" i="3"/>
  <c r="BQ515" i="3"/>
  <c r="AH518" i="3"/>
  <c r="AG518" i="3"/>
  <c r="Y518" i="3"/>
  <c r="Z518" i="3" s="1"/>
  <c r="AR519" i="3"/>
  <c r="B519" i="3"/>
  <c r="AQ519" i="3"/>
  <c r="A520" i="3"/>
  <c r="D519" i="3"/>
  <c r="C519" i="3"/>
  <c r="S519" i="3"/>
  <c r="AK519" i="3"/>
  <c r="AM519" i="3"/>
  <c r="R519" i="3"/>
  <c r="Q519" i="3"/>
  <c r="AD519" i="3"/>
  <c r="P519" i="3"/>
  <c r="O519" i="3"/>
  <c r="AE519" i="3"/>
  <c r="M519" i="3"/>
  <c r="AF519" i="3"/>
  <c r="V519" i="3"/>
  <c r="U519" i="3"/>
  <c r="G519" i="3"/>
  <c r="H519" i="3" s="1"/>
  <c r="F519" i="3"/>
  <c r="T519" i="3"/>
  <c r="AW517" i="3"/>
  <c r="AY516" i="3"/>
  <c r="AT517" i="3"/>
  <c r="AX517" i="3"/>
  <c r="AN518" i="3"/>
  <c r="X518" i="3"/>
  <c r="BC516" i="3" l="1"/>
  <c r="BD516" i="3" s="1"/>
  <c r="BD515" i="3"/>
  <c r="BM519" i="3"/>
  <c r="BN519" i="3"/>
  <c r="BF516" i="3"/>
  <c r="BJ515" i="3" s="1"/>
  <c r="BK515" i="3" s="1"/>
  <c r="BQ516" i="3"/>
  <c r="AU518" i="3"/>
  <c r="AN519" i="3"/>
  <c r="Y519" i="3"/>
  <c r="Z519" i="3" s="1"/>
  <c r="AY517" i="3"/>
  <c r="AT518" i="3"/>
  <c r="AX518" i="3"/>
  <c r="AG519" i="3"/>
  <c r="BA517" i="3"/>
  <c r="AV517" i="3"/>
  <c r="B520" i="3"/>
  <c r="AQ520" i="3"/>
  <c r="AR520" i="3"/>
  <c r="A521" i="3"/>
  <c r="C520" i="3"/>
  <c r="AM520" i="3"/>
  <c r="S520" i="3"/>
  <c r="R520" i="3"/>
  <c r="D520" i="3"/>
  <c r="AK520" i="3"/>
  <c r="Q520" i="3"/>
  <c r="AD520" i="3"/>
  <c r="P520" i="3"/>
  <c r="O520" i="3"/>
  <c r="AF520" i="3"/>
  <c r="V520" i="3"/>
  <c r="AE520" i="3"/>
  <c r="M520" i="3"/>
  <c r="U520" i="3"/>
  <c r="F520" i="3"/>
  <c r="G520" i="3"/>
  <c r="H520" i="3" s="1"/>
  <c r="T520" i="3"/>
  <c r="AH519" i="3"/>
  <c r="AO519" i="3"/>
  <c r="X519" i="3"/>
  <c r="AW518" i="3"/>
  <c r="BN520" i="3" l="1"/>
  <c r="AV518" i="3"/>
  <c r="BG516" i="3"/>
  <c r="BH516" i="3" s="1"/>
  <c r="BI516" i="3" s="1"/>
  <c r="AO520" i="3"/>
  <c r="AY518" i="3"/>
  <c r="AG520" i="3"/>
  <c r="AX519" i="3"/>
  <c r="BC517" i="3"/>
  <c r="BD517" i="3" s="1"/>
  <c r="AQ521" i="3"/>
  <c r="B521" i="3"/>
  <c r="A522" i="3"/>
  <c r="AR521" i="3"/>
  <c r="C521" i="3"/>
  <c r="AM521" i="3"/>
  <c r="AK521" i="3"/>
  <c r="S521" i="3"/>
  <c r="D521" i="3"/>
  <c r="R521" i="3"/>
  <c r="Q521" i="3"/>
  <c r="AD521" i="3"/>
  <c r="P521" i="3"/>
  <c r="O521" i="3"/>
  <c r="M521" i="3"/>
  <c r="AF521" i="3"/>
  <c r="AE521" i="3"/>
  <c r="V521" i="3"/>
  <c r="U521" i="3"/>
  <c r="F521" i="3"/>
  <c r="G521" i="3"/>
  <c r="H521" i="3" s="1"/>
  <c r="T521" i="3"/>
  <c r="BA518" i="3"/>
  <c r="Y520" i="3"/>
  <c r="Z520" i="3" s="1"/>
  <c r="BM520" i="3"/>
  <c r="AH520" i="3"/>
  <c r="AN520" i="3"/>
  <c r="AT519" i="3"/>
  <c r="AW519" i="3"/>
  <c r="BB517" i="3"/>
  <c r="BF517" i="3"/>
  <c r="BJ516" i="3" s="1"/>
  <c r="BK516" i="3" s="1"/>
  <c r="BQ517" i="3"/>
  <c r="X520" i="3"/>
  <c r="AU519" i="3"/>
  <c r="BN521" i="3" l="1"/>
  <c r="AU520" i="3"/>
  <c r="BC518" i="3"/>
  <c r="BG518" i="3" s="1"/>
  <c r="BH518" i="3" s="1"/>
  <c r="BI518" i="3" s="1"/>
  <c r="AY519" i="3"/>
  <c r="BM521" i="3"/>
  <c r="AT520" i="3"/>
  <c r="BG517" i="3"/>
  <c r="BH517" i="3" s="1"/>
  <c r="BI517" i="3" s="1"/>
  <c r="AN521" i="3"/>
  <c r="AW520" i="3"/>
  <c r="Y521" i="3"/>
  <c r="Z521" i="3" s="1"/>
  <c r="AV519" i="3"/>
  <c r="BA519" i="3"/>
  <c r="BQ518" i="3"/>
  <c r="BF518" i="3"/>
  <c r="BJ517" i="3" s="1"/>
  <c r="BK517" i="3" s="1"/>
  <c r="BB518" i="3"/>
  <c r="B522" i="3"/>
  <c r="A523" i="3"/>
  <c r="AQ522" i="3"/>
  <c r="AR522" i="3"/>
  <c r="C522" i="3"/>
  <c r="AM522" i="3"/>
  <c r="R522" i="3"/>
  <c r="D522" i="3"/>
  <c r="AK522" i="3"/>
  <c r="S522" i="3"/>
  <c r="Q522" i="3"/>
  <c r="AD522" i="3"/>
  <c r="P522" i="3"/>
  <c r="O522" i="3"/>
  <c r="V522" i="3"/>
  <c r="M522" i="3"/>
  <c r="AF522" i="3"/>
  <c r="AE522" i="3"/>
  <c r="U522" i="3"/>
  <c r="F522" i="3"/>
  <c r="G522" i="3"/>
  <c r="H522" i="3" s="1"/>
  <c r="T522" i="3"/>
  <c r="AX520" i="3"/>
  <c r="AG521" i="3"/>
  <c r="AO521" i="3"/>
  <c r="X521" i="3"/>
  <c r="AH521" i="3"/>
  <c r="AV520" i="3" l="1"/>
  <c r="BD518" i="3"/>
  <c r="BC519" i="3"/>
  <c r="BD519" i="3" s="1"/>
  <c r="AY520" i="3"/>
  <c r="BM522" i="3"/>
  <c r="AG522" i="3"/>
  <c r="AX521" i="3"/>
  <c r="AN522" i="3"/>
  <c r="Y522" i="3"/>
  <c r="Z522" i="3" s="1"/>
  <c r="BB519" i="3"/>
  <c r="BQ519" i="3"/>
  <c r="BF519" i="3"/>
  <c r="BJ518" i="3" s="1"/>
  <c r="BK518" i="3" s="1"/>
  <c r="AH522" i="3"/>
  <c r="AT521" i="3"/>
  <c r="AU521" i="3"/>
  <c r="AW521" i="3"/>
  <c r="BN522" i="3"/>
  <c r="AO522" i="3"/>
  <c r="X522" i="3"/>
  <c r="BA520" i="3"/>
  <c r="AR523" i="3"/>
  <c r="B523" i="3"/>
  <c r="AQ523" i="3"/>
  <c r="A524" i="3"/>
  <c r="C523" i="3"/>
  <c r="D523" i="3"/>
  <c r="T523" i="3"/>
  <c r="S523" i="3"/>
  <c r="R523" i="3"/>
  <c r="AK523" i="3"/>
  <c r="AM523" i="3"/>
  <c r="Q523" i="3"/>
  <c r="AD523" i="3"/>
  <c r="O523" i="3"/>
  <c r="AE523" i="3"/>
  <c r="M523" i="3"/>
  <c r="V523" i="3"/>
  <c r="P523" i="3"/>
  <c r="AF523" i="3"/>
  <c r="U523" i="3"/>
  <c r="F523" i="3"/>
  <c r="BM523" i="3" s="1"/>
  <c r="G523" i="3"/>
  <c r="H523" i="3" s="1"/>
  <c r="BN523" i="3" s="1"/>
  <c r="BC520" i="3" l="1"/>
  <c r="BD520" i="3" s="1"/>
  <c r="BG519" i="3"/>
  <c r="BH519" i="3" s="1"/>
  <c r="BI519" i="3" s="1"/>
  <c r="AU522" i="3"/>
  <c r="AY521" i="3"/>
  <c r="AN523" i="3"/>
  <c r="AW522" i="3"/>
  <c r="Y523" i="3"/>
  <c r="Z523" i="3" s="1"/>
  <c r="B524" i="3"/>
  <c r="AQ524" i="3"/>
  <c r="AR524" i="3"/>
  <c r="A525" i="3"/>
  <c r="C524" i="3"/>
  <c r="AM524" i="3"/>
  <c r="AK524" i="3"/>
  <c r="D524" i="3"/>
  <c r="S524" i="3"/>
  <c r="R524" i="3"/>
  <c r="Q524" i="3"/>
  <c r="P524" i="3"/>
  <c r="AD524" i="3"/>
  <c r="O524" i="3"/>
  <c r="M524" i="3"/>
  <c r="AF524" i="3"/>
  <c r="AE524" i="3"/>
  <c r="V524" i="3"/>
  <c r="U524" i="3"/>
  <c r="G524" i="3"/>
  <c r="H524" i="3" s="1"/>
  <c r="F524" i="3"/>
  <c r="BM524" i="3" s="1"/>
  <c r="T524" i="3"/>
  <c r="BQ520" i="3"/>
  <c r="BF520" i="3"/>
  <c r="BJ519" i="3" s="1"/>
  <c r="BK519" i="3" s="1"/>
  <c r="BB520" i="3"/>
  <c r="AG523" i="3"/>
  <c r="AH523" i="3"/>
  <c r="X523" i="3"/>
  <c r="AX522" i="3"/>
  <c r="AT522" i="3"/>
  <c r="AO523" i="3"/>
  <c r="AV521" i="3"/>
  <c r="BA521" i="3"/>
  <c r="BN524" i="3" l="1"/>
  <c r="BG520" i="3"/>
  <c r="BH520" i="3" s="1"/>
  <c r="BI520" i="3" s="1"/>
  <c r="AY522" i="3"/>
  <c r="AO524" i="3"/>
  <c r="Y524" i="3"/>
  <c r="Z524" i="3" s="1"/>
  <c r="AU523" i="3"/>
  <c r="AG524" i="3"/>
  <c r="BC521" i="3"/>
  <c r="BG521" i="3" s="1"/>
  <c r="BH521" i="3" s="1"/>
  <c r="BI521" i="3" s="1"/>
  <c r="AT523" i="3"/>
  <c r="BA522" i="3"/>
  <c r="AV522" i="3"/>
  <c r="AX523" i="3"/>
  <c r="AH524" i="3"/>
  <c r="X524" i="3"/>
  <c r="BB521" i="3"/>
  <c r="BF521" i="3"/>
  <c r="BJ520" i="3" s="1"/>
  <c r="BK520" i="3" s="1"/>
  <c r="BQ521" i="3"/>
  <c r="AQ525" i="3"/>
  <c r="B525" i="3"/>
  <c r="A526" i="3"/>
  <c r="AR525" i="3"/>
  <c r="C525" i="3"/>
  <c r="D525" i="3"/>
  <c r="AM525" i="3"/>
  <c r="AK525" i="3"/>
  <c r="S525" i="3"/>
  <c r="Q525" i="3"/>
  <c r="R525" i="3"/>
  <c r="T525" i="3"/>
  <c r="AD525" i="3"/>
  <c r="P525" i="3"/>
  <c r="M525" i="3"/>
  <c r="AE525" i="3"/>
  <c r="O525" i="3"/>
  <c r="AF525" i="3"/>
  <c r="V525" i="3"/>
  <c r="U525" i="3"/>
  <c r="G525" i="3"/>
  <c r="H525" i="3" s="1"/>
  <c r="F525" i="3"/>
  <c r="AW523" i="3"/>
  <c r="AN524" i="3"/>
  <c r="BD521" i="3" l="1"/>
  <c r="BC522" i="3"/>
  <c r="BG522" i="3" s="1"/>
  <c r="BH522" i="3" s="1"/>
  <c r="BI522" i="3" s="1"/>
  <c r="AN525" i="3"/>
  <c r="AV523" i="3"/>
  <c r="BN525" i="3"/>
  <c r="BM525" i="3"/>
  <c r="AT524" i="3"/>
  <c r="AY523" i="3"/>
  <c r="AU524" i="3"/>
  <c r="AH525" i="3"/>
  <c r="B526" i="3"/>
  <c r="A527" i="3"/>
  <c r="AQ526" i="3"/>
  <c r="AR526" i="3"/>
  <c r="C526" i="3"/>
  <c r="AM526" i="3"/>
  <c r="Q526" i="3"/>
  <c r="D526" i="3"/>
  <c r="AK526" i="3"/>
  <c r="T526" i="3"/>
  <c r="S526" i="3"/>
  <c r="R526" i="3"/>
  <c r="AD526" i="3"/>
  <c r="P526" i="3"/>
  <c r="O526" i="3"/>
  <c r="M526" i="3"/>
  <c r="AE526" i="3"/>
  <c r="V526" i="3"/>
  <c r="AF526" i="3"/>
  <c r="U526" i="3"/>
  <c r="G526" i="3"/>
  <c r="H526" i="3" s="1"/>
  <c r="F526" i="3"/>
  <c r="BB522" i="3"/>
  <c r="BQ522" i="3"/>
  <c r="BF522" i="3"/>
  <c r="BJ521" i="3" s="1"/>
  <c r="BK521" i="3" s="1"/>
  <c r="X525" i="3"/>
  <c r="BA523" i="3"/>
  <c r="AX524" i="3"/>
  <c r="Y525" i="3"/>
  <c r="Z525" i="3" s="1"/>
  <c r="AG525" i="3"/>
  <c r="AO525" i="3"/>
  <c r="AW524" i="3"/>
  <c r="BD522" i="3" l="1"/>
  <c r="AV524" i="3"/>
  <c r="AT525" i="3"/>
  <c r="BC523" i="3"/>
  <c r="BD523" i="3" s="1"/>
  <c r="BM526" i="3"/>
  <c r="AH526" i="3"/>
  <c r="AN526" i="3"/>
  <c r="AU525" i="3"/>
  <c r="AW525" i="3"/>
  <c r="AY524" i="3"/>
  <c r="BA524" i="3"/>
  <c r="BN526" i="3"/>
  <c r="AG526" i="3"/>
  <c r="AO526" i="3"/>
  <c r="X526" i="3"/>
  <c r="BF523" i="3"/>
  <c r="BJ522" i="3" s="1"/>
  <c r="BK522" i="3" s="1"/>
  <c r="BQ523" i="3"/>
  <c r="BB523" i="3"/>
  <c r="Y526" i="3"/>
  <c r="Z526" i="3" s="1"/>
  <c r="AR527" i="3"/>
  <c r="B527" i="3"/>
  <c r="AQ527" i="3"/>
  <c r="A528" i="3"/>
  <c r="C527" i="3"/>
  <c r="AM527" i="3"/>
  <c r="T527" i="3"/>
  <c r="AK527" i="3"/>
  <c r="D527" i="3"/>
  <c r="R527" i="3"/>
  <c r="S527" i="3"/>
  <c r="Q527" i="3"/>
  <c r="AD527" i="3"/>
  <c r="O527" i="3"/>
  <c r="P527" i="3"/>
  <c r="U527" i="3"/>
  <c r="V527" i="3"/>
  <c r="AF527" i="3"/>
  <c r="AE527" i="3"/>
  <c r="M527" i="3"/>
  <c r="G527" i="3"/>
  <c r="H527" i="3" s="1"/>
  <c r="F527" i="3"/>
  <c r="AX525" i="3"/>
  <c r="BN527" i="3" l="1"/>
  <c r="BC524" i="3"/>
  <c r="BD524" i="3" s="1"/>
  <c r="AO527" i="3"/>
  <c r="AV525" i="3"/>
  <c r="AU526" i="3"/>
  <c r="BG523" i="3"/>
  <c r="BH523" i="3" s="1"/>
  <c r="BI523" i="3" s="1"/>
  <c r="AG527" i="3"/>
  <c r="AT526" i="3"/>
  <c r="AW526" i="3"/>
  <c r="BA525" i="3"/>
  <c r="BF525" i="3" s="1"/>
  <c r="B528" i="3"/>
  <c r="AQ528" i="3"/>
  <c r="AR528" i="3"/>
  <c r="A529" i="3"/>
  <c r="C528" i="3"/>
  <c r="D528" i="3"/>
  <c r="AK528" i="3"/>
  <c r="AM528" i="3"/>
  <c r="T528" i="3"/>
  <c r="S528" i="3"/>
  <c r="R528" i="3"/>
  <c r="AD528" i="3"/>
  <c r="Q528" i="3"/>
  <c r="O528" i="3"/>
  <c r="AF528" i="3"/>
  <c r="M528" i="3"/>
  <c r="P528" i="3"/>
  <c r="AE528" i="3"/>
  <c r="V528" i="3"/>
  <c r="U528" i="3"/>
  <c r="F528" i="3"/>
  <c r="BM528" i="3" s="1"/>
  <c r="G528" i="3"/>
  <c r="H528" i="3" s="1"/>
  <c r="BN528" i="3" s="1"/>
  <c r="X527" i="3"/>
  <c r="BM527" i="3"/>
  <c r="AN527" i="3"/>
  <c r="Y527" i="3"/>
  <c r="Z527" i="3" s="1"/>
  <c r="BQ524" i="3"/>
  <c r="BB524" i="3"/>
  <c r="BF524" i="3"/>
  <c r="BJ523" i="3" s="1"/>
  <c r="BK523" i="3" s="1"/>
  <c r="AH527" i="3"/>
  <c r="AX526" i="3"/>
  <c r="AY525" i="3"/>
  <c r="BG524" i="3" l="1"/>
  <c r="BH524" i="3" s="1"/>
  <c r="BI524" i="3" s="1"/>
  <c r="BC525" i="3"/>
  <c r="BG525" i="3" s="1"/>
  <c r="BH525" i="3" s="1"/>
  <c r="BI525" i="3" s="1"/>
  <c r="AV526" i="3"/>
  <c r="AX527" i="3"/>
  <c r="AO528" i="3"/>
  <c r="BA526" i="3"/>
  <c r="BB526" i="3" s="1"/>
  <c r="BQ525" i="3"/>
  <c r="AY526" i="3"/>
  <c r="BB525" i="3"/>
  <c r="Y528" i="3"/>
  <c r="Z528" i="3" s="1"/>
  <c r="AQ529" i="3"/>
  <c r="B529" i="3"/>
  <c r="A530" i="3"/>
  <c r="AR529" i="3"/>
  <c r="D529" i="3"/>
  <c r="C529" i="3"/>
  <c r="AM529" i="3"/>
  <c r="R529" i="3"/>
  <c r="AK529" i="3"/>
  <c r="Q529" i="3"/>
  <c r="AD529" i="3"/>
  <c r="P529" i="3"/>
  <c r="S529" i="3"/>
  <c r="AE529" i="3"/>
  <c r="M529" i="3"/>
  <c r="O529" i="3"/>
  <c r="AF529" i="3"/>
  <c r="V529" i="3"/>
  <c r="U529" i="3"/>
  <c r="G529" i="3"/>
  <c r="H529" i="3" s="1"/>
  <c r="F529" i="3"/>
  <c r="T529" i="3"/>
  <c r="AU527" i="3"/>
  <c r="AW527" i="3"/>
  <c r="AT527" i="3"/>
  <c r="AG528" i="3"/>
  <c r="AH528" i="3"/>
  <c r="AN528" i="3"/>
  <c r="BJ524" i="3"/>
  <c r="BK524" i="3" s="1"/>
  <c r="X528" i="3"/>
  <c r="BD525" i="3" l="1"/>
  <c r="AO529" i="3"/>
  <c r="BQ526" i="3"/>
  <c r="BC526" i="3"/>
  <c r="BG526" i="3" s="1"/>
  <c r="BH526" i="3" s="1"/>
  <c r="BI526" i="3" s="1"/>
  <c r="BM529" i="3"/>
  <c r="AY527" i="3"/>
  <c r="BF526" i="3"/>
  <c r="BJ525" i="3" s="1"/>
  <c r="BK525" i="3" s="1"/>
  <c r="AU528" i="3"/>
  <c r="AX528" i="3"/>
  <c r="AH529" i="3"/>
  <c r="AT528" i="3"/>
  <c r="AW528" i="3"/>
  <c r="Y529" i="3"/>
  <c r="Z529" i="3" s="1"/>
  <c r="BN529" i="3"/>
  <c r="AG529" i="3"/>
  <c r="X529" i="3"/>
  <c r="AV527" i="3"/>
  <c r="BA527" i="3"/>
  <c r="B530" i="3"/>
  <c r="A531" i="3"/>
  <c r="AQ530" i="3"/>
  <c r="AR530" i="3"/>
  <c r="D530" i="3"/>
  <c r="C530" i="3"/>
  <c r="AK530" i="3"/>
  <c r="AM530" i="3"/>
  <c r="T530" i="3"/>
  <c r="Q530" i="3"/>
  <c r="S530" i="3"/>
  <c r="AD530" i="3"/>
  <c r="P530" i="3"/>
  <c r="O530" i="3"/>
  <c r="M530" i="3"/>
  <c r="U530" i="3"/>
  <c r="V530" i="3"/>
  <c r="AE530" i="3"/>
  <c r="AF530" i="3"/>
  <c r="R530" i="3"/>
  <c r="G530" i="3"/>
  <c r="H530" i="3" s="1"/>
  <c r="F530" i="3"/>
  <c r="BM530" i="3" s="1"/>
  <c r="AN529" i="3"/>
  <c r="BN530" i="3" l="1"/>
  <c r="BD526" i="3"/>
  <c r="AN530" i="3"/>
  <c r="BC527" i="3"/>
  <c r="BG527" i="3" s="1"/>
  <c r="BH527" i="3" s="1"/>
  <c r="BI527" i="3" s="1"/>
  <c r="AG530" i="3"/>
  <c r="AY528" i="3"/>
  <c r="AT529" i="3"/>
  <c r="AU529" i="3"/>
  <c r="AX529" i="3"/>
  <c r="BA528" i="3"/>
  <c r="BQ528" i="3" s="1"/>
  <c r="Y530" i="3"/>
  <c r="Z530" i="3" s="1"/>
  <c r="AH530" i="3"/>
  <c r="AO530" i="3"/>
  <c r="AV528" i="3"/>
  <c r="AR531" i="3"/>
  <c r="B531" i="3"/>
  <c r="AQ531" i="3"/>
  <c r="A532" i="3"/>
  <c r="C531" i="3"/>
  <c r="AK531" i="3"/>
  <c r="S531" i="3"/>
  <c r="Q531" i="3"/>
  <c r="AM531" i="3"/>
  <c r="D531" i="3"/>
  <c r="R531" i="3"/>
  <c r="P531" i="3"/>
  <c r="AD531" i="3"/>
  <c r="AE531" i="3"/>
  <c r="M531" i="3"/>
  <c r="O531" i="3"/>
  <c r="AF531" i="3"/>
  <c r="U531" i="3"/>
  <c r="V531" i="3"/>
  <c r="G531" i="3"/>
  <c r="H531" i="3" s="1"/>
  <c r="F531" i="3"/>
  <c r="T531" i="3"/>
  <c r="BB527" i="3"/>
  <c r="BF527" i="3"/>
  <c r="BJ526" i="3" s="1"/>
  <c r="BK526" i="3" s="1"/>
  <c r="BQ527" i="3"/>
  <c r="X530" i="3"/>
  <c r="AW529" i="3"/>
  <c r="BD527" i="3" l="1"/>
  <c r="BM531" i="3"/>
  <c r="BN531" i="3"/>
  <c r="AO531" i="3"/>
  <c r="BC528" i="3"/>
  <c r="BD528" i="3" s="1"/>
  <c r="AV529" i="3"/>
  <c r="AY529" i="3"/>
  <c r="AG531" i="3"/>
  <c r="Y531" i="3"/>
  <c r="Z531" i="3" s="1"/>
  <c r="BF528" i="3"/>
  <c r="BJ527" i="3" s="1"/>
  <c r="BK527" i="3" s="1"/>
  <c r="BB528" i="3"/>
  <c r="AU530" i="3"/>
  <c r="AT530" i="3"/>
  <c r="BA529" i="3"/>
  <c r="AH531" i="3"/>
  <c r="AN531" i="3"/>
  <c r="X531" i="3"/>
  <c r="AX530" i="3"/>
  <c r="AW530" i="3"/>
  <c r="B532" i="3"/>
  <c r="AQ532" i="3"/>
  <c r="AR532" i="3"/>
  <c r="A533" i="3"/>
  <c r="D532" i="3"/>
  <c r="AK532" i="3"/>
  <c r="C532" i="3"/>
  <c r="AM532" i="3"/>
  <c r="S532" i="3"/>
  <c r="AD532" i="3"/>
  <c r="P532" i="3"/>
  <c r="R532" i="3"/>
  <c r="M532" i="3"/>
  <c r="U532" i="3"/>
  <c r="O532" i="3"/>
  <c r="AE532" i="3"/>
  <c r="AF532" i="3"/>
  <c r="V532" i="3"/>
  <c r="Q532" i="3"/>
  <c r="G532" i="3"/>
  <c r="H532" i="3" s="1"/>
  <c r="F532" i="3"/>
  <c r="T532" i="3"/>
  <c r="BM532" i="3" l="1"/>
  <c r="AN532" i="3"/>
  <c r="BG528" i="3"/>
  <c r="BH528" i="3" s="1"/>
  <c r="BI528" i="3" s="1"/>
  <c r="BN532" i="3"/>
  <c r="BC529" i="3"/>
  <c r="BD529" i="3" s="1"/>
  <c r="AV530" i="3"/>
  <c r="AG532" i="3"/>
  <c r="AX531" i="3"/>
  <c r="AW531" i="3"/>
  <c r="AT531" i="3"/>
  <c r="Y532" i="3"/>
  <c r="Z532" i="3" s="1"/>
  <c r="BA530" i="3"/>
  <c r="BF530" i="3" s="1"/>
  <c r="BB529" i="3"/>
  <c r="BF529" i="3"/>
  <c r="BJ528" i="3" s="1"/>
  <c r="BK528" i="3" s="1"/>
  <c r="BQ529" i="3"/>
  <c r="X532" i="3"/>
  <c r="AY530" i="3"/>
  <c r="AU531" i="3"/>
  <c r="AQ533" i="3"/>
  <c r="B533" i="3"/>
  <c r="A534" i="3"/>
  <c r="AR533" i="3"/>
  <c r="C533" i="3"/>
  <c r="D533" i="3"/>
  <c r="T533" i="3"/>
  <c r="S533" i="3"/>
  <c r="AK533" i="3"/>
  <c r="AM533" i="3"/>
  <c r="R533" i="3"/>
  <c r="Q533" i="3"/>
  <c r="AD533" i="3"/>
  <c r="M533" i="3"/>
  <c r="AE533" i="3"/>
  <c r="U533" i="3"/>
  <c r="V533" i="3"/>
  <c r="P533" i="3"/>
  <c r="O533" i="3"/>
  <c r="AF533" i="3"/>
  <c r="F533" i="3"/>
  <c r="BM533" i="3" s="1"/>
  <c r="G533" i="3"/>
  <c r="H533" i="3" s="1"/>
  <c r="BN533" i="3" s="1"/>
  <c r="AH532" i="3"/>
  <c r="AO532" i="3"/>
  <c r="BC530" i="3" l="1"/>
  <c r="BD530" i="3" s="1"/>
  <c r="BG529" i="3"/>
  <c r="BH529" i="3" s="1"/>
  <c r="BI529" i="3" s="1"/>
  <c r="AG533" i="3"/>
  <c r="AU532" i="3"/>
  <c r="AY531" i="3"/>
  <c r="BB530" i="3"/>
  <c r="AO533" i="3"/>
  <c r="AV531" i="3"/>
  <c r="AW532" i="3"/>
  <c r="BA531" i="3"/>
  <c r="BQ531" i="3" s="1"/>
  <c r="BQ530" i="3"/>
  <c r="B534" i="3"/>
  <c r="A535" i="3"/>
  <c r="AQ534" i="3"/>
  <c r="AR534" i="3"/>
  <c r="D534" i="3"/>
  <c r="C534" i="3"/>
  <c r="AK534" i="3"/>
  <c r="AM534" i="3"/>
  <c r="S534" i="3"/>
  <c r="R534" i="3"/>
  <c r="Q534" i="3"/>
  <c r="AD534" i="3"/>
  <c r="P534" i="3"/>
  <c r="O534" i="3"/>
  <c r="AE534" i="3"/>
  <c r="AF534" i="3"/>
  <c r="V534" i="3"/>
  <c r="M534" i="3"/>
  <c r="U534" i="3"/>
  <c r="F534" i="3"/>
  <c r="G534" i="3"/>
  <c r="H534" i="3" s="1"/>
  <c r="T534" i="3"/>
  <c r="AH533" i="3"/>
  <c r="X533" i="3"/>
  <c r="BJ529" i="3"/>
  <c r="BK529" i="3" s="1"/>
  <c r="Y533" i="3"/>
  <c r="Z533" i="3" s="1"/>
  <c r="AX532" i="3"/>
  <c r="AN533" i="3"/>
  <c r="AT532" i="3"/>
  <c r="BN534" i="3" l="1"/>
  <c r="BM534" i="3"/>
  <c r="BG530" i="3"/>
  <c r="BH530" i="3" s="1"/>
  <c r="BI530" i="3" s="1"/>
  <c r="AT533" i="3"/>
  <c r="BC531" i="3"/>
  <c r="BD531" i="3" s="1"/>
  <c r="AU533" i="3"/>
  <c r="AY532" i="3"/>
  <c r="BF531" i="3"/>
  <c r="BJ530" i="3" s="1"/>
  <c r="BK530" i="3" s="1"/>
  <c r="BB531" i="3"/>
  <c r="AO534" i="3"/>
  <c r="AW533" i="3"/>
  <c r="AG534" i="3"/>
  <c r="BA532" i="3"/>
  <c r="BF532" i="3" s="1"/>
  <c r="AR535" i="3"/>
  <c r="B535" i="3"/>
  <c r="AQ535" i="3"/>
  <c r="A536" i="3"/>
  <c r="D535" i="3"/>
  <c r="C535" i="3"/>
  <c r="AM535" i="3"/>
  <c r="AK535" i="3"/>
  <c r="S535" i="3"/>
  <c r="Q535" i="3"/>
  <c r="T535" i="3"/>
  <c r="R535" i="3"/>
  <c r="AD535" i="3"/>
  <c r="P535" i="3"/>
  <c r="M535" i="3"/>
  <c r="O535" i="3"/>
  <c r="AE535" i="3"/>
  <c r="AF535" i="3"/>
  <c r="V535" i="3"/>
  <c r="U535" i="3"/>
  <c r="F535" i="3"/>
  <c r="G535" i="3"/>
  <c r="H535" i="3" s="1"/>
  <c r="AV532" i="3"/>
  <c r="AX533" i="3"/>
  <c r="Y534" i="3"/>
  <c r="Z534" i="3" s="1"/>
  <c r="AH534" i="3"/>
  <c r="AN534" i="3"/>
  <c r="X534" i="3"/>
  <c r="BG531" i="3" l="1"/>
  <c r="BH531" i="3" s="1"/>
  <c r="BI531" i="3" s="1"/>
  <c r="BC532" i="3"/>
  <c r="BD532" i="3" s="1"/>
  <c r="BJ531" i="3"/>
  <c r="BK531" i="3" s="1"/>
  <c r="AV533" i="3"/>
  <c r="BN535" i="3"/>
  <c r="BM535" i="3"/>
  <c r="BQ532" i="3"/>
  <c r="BA533" i="3"/>
  <c r="BF533" i="3" s="1"/>
  <c r="BJ532" i="3" s="1"/>
  <c r="BK532" i="3" s="1"/>
  <c r="AO535" i="3"/>
  <c r="BB532" i="3"/>
  <c r="AX534" i="3"/>
  <c r="AH535" i="3"/>
  <c r="Y535" i="3"/>
  <c r="Z535" i="3" s="1"/>
  <c r="AU534" i="3"/>
  <c r="AW534" i="3"/>
  <c r="AT534" i="3"/>
  <c r="AG535" i="3"/>
  <c r="AN535" i="3"/>
  <c r="AY533" i="3"/>
  <c r="B536" i="3"/>
  <c r="AQ536" i="3"/>
  <c r="AR536" i="3"/>
  <c r="A537" i="3"/>
  <c r="D536" i="3"/>
  <c r="AM536" i="3"/>
  <c r="S536" i="3"/>
  <c r="Q536" i="3"/>
  <c r="C536" i="3"/>
  <c r="AK536" i="3"/>
  <c r="T536" i="3"/>
  <c r="AD536" i="3"/>
  <c r="P536" i="3"/>
  <c r="R536" i="3"/>
  <c r="M536" i="3"/>
  <c r="O536" i="3"/>
  <c r="AF536" i="3"/>
  <c r="U536" i="3"/>
  <c r="AE536" i="3"/>
  <c r="V536" i="3"/>
  <c r="F536" i="3"/>
  <c r="G536" i="3"/>
  <c r="H536" i="3" s="1"/>
  <c r="X535" i="3"/>
  <c r="BM536" i="3" l="1"/>
  <c r="BG532" i="3"/>
  <c r="BH532" i="3" s="1"/>
  <c r="BI532" i="3" s="1"/>
  <c r="BC533" i="3"/>
  <c r="BD533" i="3" s="1"/>
  <c r="AO536" i="3"/>
  <c r="BN536" i="3"/>
  <c r="BQ533" i="3"/>
  <c r="BB533" i="3"/>
  <c r="AW535" i="3"/>
  <c r="AY534" i="3"/>
  <c r="Y536" i="3"/>
  <c r="Z536" i="3" s="1"/>
  <c r="AU535" i="3"/>
  <c r="AG536" i="3"/>
  <c r="AH536" i="3"/>
  <c r="X536" i="3"/>
  <c r="AT535" i="3"/>
  <c r="BA534" i="3"/>
  <c r="AV534" i="3"/>
  <c r="AQ537" i="3"/>
  <c r="B537" i="3"/>
  <c r="A538" i="3"/>
  <c r="AR537" i="3"/>
  <c r="D537" i="3"/>
  <c r="T537" i="3"/>
  <c r="S537" i="3"/>
  <c r="C537" i="3"/>
  <c r="AK537" i="3"/>
  <c r="AM537" i="3"/>
  <c r="P537" i="3"/>
  <c r="Q537" i="3"/>
  <c r="AD537" i="3"/>
  <c r="M537" i="3"/>
  <c r="O537" i="3"/>
  <c r="AF537" i="3"/>
  <c r="V537" i="3"/>
  <c r="AE537" i="3"/>
  <c r="U537" i="3"/>
  <c r="R537" i="3"/>
  <c r="G537" i="3"/>
  <c r="H537" i="3" s="1"/>
  <c r="F537" i="3"/>
  <c r="AN536" i="3"/>
  <c r="AX535" i="3"/>
  <c r="BN537" i="3" l="1"/>
  <c r="BM537" i="3"/>
  <c r="BC534" i="3"/>
  <c r="BG534" i="3" s="1"/>
  <c r="BH534" i="3" s="1"/>
  <c r="BI534" i="3" s="1"/>
  <c r="BG533" i="3"/>
  <c r="BH533" i="3" s="1"/>
  <c r="BI533" i="3" s="1"/>
  <c r="AY535" i="3"/>
  <c r="AO537" i="3"/>
  <c r="AT536" i="3"/>
  <c r="AN537" i="3"/>
  <c r="AX536" i="3"/>
  <c r="AU536" i="3"/>
  <c r="AG537" i="3"/>
  <c r="BA535" i="3"/>
  <c r="AV535" i="3"/>
  <c r="AH537" i="3"/>
  <c r="X537" i="3"/>
  <c r="AW536" i="3"/>
  <c r="Y537" i="3"/>
  <c r="Z537" i="3" s="1"/>
  <c r="B538" i="3"/>
  <c r="A539" i="3"/>
  <c r="AQ538" i="3"/>
  <c r="AR538" i="3"/>
  <c r="C538" i="3"/>
  <c r="AM538" i="3"/>
  <c r="T538" i="3"/>
  <c r="Q538" i="3"/>
  <c r="AK538" i="3"/>
  <c r="D538" i="3"/>
  <c r="S538" i="3"/>
  <c r="R538" i="3"/>
  <c r="AD538" i="3"/>
  <c r="AE538" i="3"/>
  <c r="M538" i="3"/>
  <c r="P538" i="3"/>
  <c r="O538" i="3"/>
  <c r="AF538" i="3"/>
  <c r="V538" i="3"/>
  <c r="U538" i="3"/>
  <c r="G538" i="3"/>
  <c r="H538" i="3" s="1"/>
  <c r="F538" i="3"/>
  <c r="BB534" i="3"/>
  <c r="BF534" i="3"/>
  <c r="BJ533" i="3" s="1"/>
  <c r="BK533" i="3" s="1"/>
  <c r="BQ534" i="3"/>
  <c r="BC535" i="3" l="1"/>
  <c r="BG535" i="3" s="1"/>
  <c r="BH535" i="3" s="1"/>
  <c r="BI535" i="3" s="1"/>
  <c r="BD534" i="3"/>
  <c r="BM538" i="3"/>
  <c r="BN538" i="3"/>
  <c r="AO538" i="3"/>
  <c r="AY536" i="3"/>
  <c r="AX537" i="3"/>
  <c r="AV536" i="3"/>
  <c r="AT537" i="3"/>
  <c r="AN538" i="3"/>
  <c r="AU537" i="3"/>
  <c r="BA536" i="3"/>
  <c r="BQ536" i="3" s="1"/>
  <c r="AH538" i="3"/>
  <c r="X538" i="3"/>
  <c r="Y538" i="3"/>
  <c r="Z538" i="3" s="1"/>
  <c r="AR539" i="3"/>
  <c r="B539" i="3"/>
  <c r="AQ539" i="3"/>
  <c r="A540" i="3"/>
  <c r="C539" i="3"/>
  <c r="AM539" i="3"/>
  <c r="S539" i="3"/>
  <c r="Q539" i="3"/>
  <c r="D539" i="3"/>
  <c r="AK539" i="3"/>
  <c r="AD539" i="3"/>
  <c r="R539" i="3"/>
  <c r="P539" i="3"/>
  <c r="O539" i="3"/>
  <c r="M539" i="3"/>
  <c r="AE539" i="3"/>
  <c r="AF539" i="3"/>
  <c r="U539" i="3"/>
  <c r="V539" i="3"/>
  <c r="F539" i="3"/>
  <c r="G539" i="3"/>
  <c r="H539" i="3" s="1"/>
  <c r="T539" i="3"/>
  <c r="BF535" i="3"/>
  <c r="BJ534" i="3" s="1"/>
  <c r="BK534" i="3" s="1"/>
  <c r="BQ535" i="3"/>
  <c r="BB535" i="3"/>
  <c r="AG538" i="3"/>
  <c r="AW537" i="3"/>
  <c r="BD535" i="3" l="1"/>
  <c r="AO539" i="3"/>
  <c r="BC536" i="3"/>
  <c r="BG536" i="3" s="1"/>
  <c r="BH536" i="3" s="1"/>
  <c r="BI536" i="3" s="1"/>
  <c r="BN539" i="3"/>
  <c r="AV537" i="3"/>
  <c r="AY537" i="3"/>
  <c r="AW538" i="3"/>
  <c r="BM539" i="3"/>
  <c r="BB536" i="3"/>
  <c r="BF536" i="3"/>
  <c r="BJ535" i="3" s="1"/>
  <c r="BK535" i="3" s="1"/>
  <c r="AG539" i="3"/>
  <c r="Y539" i="3"/>
  <c r="Z539" i="3" s="1"/>
  <c r="AT538" i="3"/>
  <c r="AH539" i="3"/>
  <c r="X539" i="3"/>
  <c r="AU538" i="3"/>
  <c r="AX538" i="3"/>
  <c r="B540" i="3"/>
  <c r="AQ540" i="3"/>
  <c r="AR540" i="3"/>
  <c r="A541" i="3"/>
  <c r="C540" i="3"/>
  <c r="D540" i="3"/>
  <c r="S540" i="3"/>
  <c r="Q540" i="3"/>
  <c r="AM540" i="3"/>
  <c r="AK540" i="3"/>
  <c r="T540" i="3"/>
  <c r="AD540" i="3"/>
  <c r="P540" i="3"/>
  <c r="O540" i="3"/>
  <c r="AE540" i="3"/>
  <c r="AF540" i="3"/>
  <c r="M540" i="3"/>
  <c r="V540" i="3"/>
  <c r="U540" i="3"/>
  <c r="R540" i="3"/>
  <c r="F540" i="3"/>
  <c r="BM540" i="3" s="1"/>
  <c r="G540" i="3"/>
  <c r="H540" i="3" s="1"/>
  <c r="BN540" i="3" s="1"/>
  <c r="AN539" i="3"/>
  <c r="BA537" i="3"/>
  <c r="BD536" i="3" l="1"/>
  <c r="BC537" i="3"/>
  <c r="AY538" i="3"/>
  <c r="AT539" i="3"/>
  <c r="AO540" i="3"/>
  <c r="AU539" i="3"/>
  <c r="AW539" i="3"/>
  <c r="BB537" i="3"/>
  <c r="BF537" i="3"/>
  <c r="BQ537" i="3"/>
  <c r="AV538" i="3"/>
  <c r="BA538" i="3"/>
  <c r="AH540" i="3"/>
  <c r="AG540" i="3"/>
  <c r="AN540" i="3"/>
  <c r="X540" i="3"/>
  <c r="Y540" i="3"/>
  <c r="Z540" i="3" s="1"/>
  <c r="AQ541" i="3"/>
  <c r="B541" i="3"/>
  <c r="A542" i="3"/>
  <c r="AR541" i="3"/>
  <c r="C541" i="3"/>
  <c r="D541" i="3"/>
  <c r="AM541" i="3"/>
  <c r="S541" i="3"/>
  <c r="Q541" i="3"/>
  <c r="AK541" i="3"/>
  <c r="R541" i="3"/>
  <c r="P541" i="3"/>
  <c r="AD541" i="3"/>
  <c r="O541" i="3"/>
  <c r="AE541" i="3"/>
  <c r="U541" i="3"/>
  <c r="M541" i="3"/>
  <c r="AF541" i="3"/>
  <c r="V541" i="3"/>
  <c r="G541" i="3"/>
  <c r="H541" i="3" s="1"/>
  <c r="F541" i="3"/>
  <c r="T541" i="3"/>
  <c r="AX539" i="3"/>
  <c r="BM541" i="3" l="1"/>
  <c r="BN541" i="3"/>
  <c r="BC538" i="3"/>
  <c r="BD538" i="3" s="1"/>
  <c r="BG537" i="3"/>
  <c r="BH537" i="3" s="1"/>
  <c r="BI537" i="3" s="1"/>
  <c r="BD537" i="3"/>
  <c r="AV539" i="3"/>
  <c r="AO541" i="3"/>
  <c r="AU540" i="3"/>
  <c r="AY539" i="3"/>
  <c r="B542" i="3"/>
  <c r="A543" i="3"/>
  <c r="AQ542" i="3"/>
  <c r="AR542" i="3"/>
  <c r="C542" i="3"/>
  <c r="D542" i="3"/>
  <c r="AM542" i="3"/>
  <c r="AK542" i="3"/>
  <c r="Q542" i="3"/>
  <c r="R542" i="3"/>
  <c r="S542" i="3"/>
  <c r="AD542" i="3"/>
  <c r="P542" i="3"/>
  <c r="O542" i="3"/>
  <c r="AE542" i="3"/>
  <c r="AF542" i="3"/>
  <c r="M542" i="3"/>
  <c r="V542" i="3"/>
  <c r="U542" i="3"/>
  <c r="G542" i="3"/>
  <c r="H542" i="3" s="1"/>
  <c r="F542" i="3"/>
  <c r="BM542" i="3" s="1"/>
  <c r="T542" i="3"/>
  <c r="BJ536" i="3"/>
  <c r="BK536" i="3" s="1"/>
  <c r="Y541" i="3"/>
  <c r="Z541" i="3" s="1"/>
  <c r="BA539" i="3"/>
  <c r="AG541" i="3"/>
  <c r="AH541" i="3"/>
  <c r="AN541" i="3"/>
  <c r="X541" i="3"/>
  <c r="AT540" i="3"/>
  <c r="AW540" i="3"/>
  <c r="BQ538" i="3"/>
  <c r="BF538" i="3"/>
  <c r="BJ537" i="3" s="1"/>
  <c r="BK537" i="3" s="1"/>
  <c r="BB538" i="3"/>
  <c r="AX540" i="3"/>
  <c r="BN542" i="3" l="1"/>
  <c r="BG538" i="3"/>
  <c r="BH538" i="3" s="1"/>
  <c r="BI538" i="3" s="1"/>
  <c r="AO542" i="3"/>
  <c r="BC539" i="3"/>
  <c r="BD539" i="3" s="1"/>
  <c r="AV540" i="3"/>
  <c r="AU541" i="3"/>
  <c r="Y542" i="3"/>
  <c r="Z542" i="3" s="1"/>
  <c r="BA540" i="3"/>
  <c r="AY540" i="3"/>
  <c r="BQ539" i="3"/>
  <c r="BB539" i="3"/>
  <c r="BF539" i="3"/>
  <c r="BJ538" i="3" s="1"/>
  <c r="BK538" i="3" s="1"/>
  <c r="AX541" i="3"/>
  <c r="AG542" i="3"/>
  <c r="AN542" i="3"/>
  <c r="X542" i="3"/>
  <c r="AR543" i="3"/>
  <c r="B543" i="3"/>
  <c r="AQ543" i="3"/>
  <c r="A544" i="3"/>
  <c r="C543" i="3"/>
  <c r="AM543" i="3"/>
  <c r="AK543" i="3"/>
  <c r="D543" i="3"/>
  <c r="S543" i="3"/>
  <c r="AD543" i="3"/>
  <c r="Q543" i="3"/>
  <c r="P543" i="3"/>
  <c r="AF543" i="3"/>
  <c r="U543" i="3"/>
  <c r="O543" i="3"/>
  <c r="M543" i="3"/>
  <c r="AE543" i="3"/>
  <c r="V543" i="3"/>
  <c r="R543" i="3"/>
  <c r="F543" i="3"/>
  <c r="G543" i="3"/>
  <c r="H543" i="3" s="1"/>
  <c r="T543" i="3"/>
  <c r="AW541" i="3"/>
  <c r="AT541" i="3"/>
  <c r="AH542" i="3"/>
  <c r="AY541" i="3" l="1"/>
  <c r="BG539" i="3"/>
  <c r="BH539" i="3" s="1"/>
  <c r="BI539" i="3" s="1"/>
  <c r="BN543" i="3"/>
  <c r="BC540" i="3"/>
  <c r="BD540" i="3" s="1"/>
  <c r="AO543" i="3"/>
  <c r="AX542" i="3"/>
  <c r="AT542" i="3"/>
  <c r="AV541" i="3"/>
  <c r="BA541" i="3"/>
  <c r="B544" i="3"/>
  <c r="AQ544" i="3"/>
  <c r="AR544" i="3"/>
  <c r="A545" i="3"/>
  <c r="C544" i="3"/>
  <c r="D544" i="3"/>
  <c r="AK544" i="3"/>
  <c r="S544" i="3"/>
  <c r="AM544" i="3"/>
  <c r="R544" i="3"/>
  <c r="Q544" i="3"/>
  <c r="AD544" i="3"/>
  <c r="P544" i="3"/>
  <c r="M544" i="3"/>
  <c r="AE544" i="3"/>
  <c r="AF544" i="3"/>
  <c r="V544" i="3"/>
  <c r="O544" i="3"/>
  <c r="U544" i="3"/>
  <c r="F544" i="3"/>
  <c r="G544" i="3"/>
  <c r="H544" i="3" s="1"/>
  <c r="T544" i="3"/>
  <c r="BF540" i="3"/>
  <c r="BJ539" i="3" s="1"/>
  <c r="BK539" i="3" s="1"/>
  <c r="BB540" i="3"/>
  <c r="BQ540" i="3"/>
  <c r="AG543" i="3"/>
  <c r="Y543" i="3"/>
  <c r="Z543" i="3" s="1"/>
  <c r="BM543" i="3"/>
  <c r="AH543" i="3"/>
  <c r="AN543" i="3"/>
  <c r="AU542" i="3"/>
  <c r="X543" i="3"/>
  <c r="AW542" i="3"/>
  <c r="BC541" i="3" l="1"/>
  <c r="BG541" i="3" s="1"/>
  <c r="BH541" i="3" s="1"/>
  <c r="BI541" i="3" s="1"/>
  <c r="AN544" i="3"/>
  <c r="BM544" i="3"/>
  <c r="AY542" i="3"/>
  <c r="BG540" i="3"/>
  <c r="BH540" i="3" s="1"/>
  <c r="BI540" i="3" s="1"/>
  <c r="AT543" i="3"/>
  <c r="BA542" i="3"/>
  <c r="BF542" i="3" s="1"/>
  <c r="Y544" i="3"/>
  <c r="Z544" i="3" s="1"/>
  <c r="AX543" i="3"/>
  <c r="AU543" i="3"/>
  <c r="AW543" i="3"/>
  <c r="BN544" i="3"/>
  <c r="AG544" i="3"/>
  <c r="AO544" i="3"/>
  <c r="X544" i="3"/>
  <c r="AV542" i="3"/>
  <c r="AQ545" i="3"/>
  <c r="B545" i="3"/>
  <c r="A546" i="3"/>
  <c r="AR545" i="3"/>
  <c r="D545" i="3"/>
  <c r="AM545" i="3"/>
  <c r="C545" i="3"/>
  <c r="AK545" i="3"/>
  <c r="T545" i="3"/>
  <c r="S545" i="3"/>
  <c r="R545" i="3"/>
  <c r="AD545" i="3"/>
  <c r="Q545" i="3"/>
  <c r="P545" i="3"/>
  <c r="U545" i="3"/>
  <c r="O545" i="3"/>
  <c r="AF545" i="3"/>
  <c r="M545" i="3"/>
  <c r="AE545" i="3"/>
  <c r="V545" i="3"/>
  <c r="F545" i="3"/>
  <c r="G545" i="3"/>
  <c r="H545" i="3" s="1"/>
  <c r="BQ541" i="3"/>
  <c r="BB541" i="3"/>
  <c r="BF541" i="3"/>
  <c r="BJ540" i="3" s="1"/>
  <c r="BK540" i="3" s="1"/>
  <c r="AH544" i="3"/>
  <c r="BD541" i="3" l="1"/>
  <c r="BM545" i="3"/>
  <c r="AV543" i="3"/>
  <c r="BC542" i="3"/>
  <c r="BG542" i="3" s="1"/>
  <c r="BH542" i="3" s="1"/>
  <c r="BI542" i="3" s="1"/>
  <c r="AO545" i="3"/>
  <c r="BQ542" i="3"/>
  <c r="AX544" i="3"/>
  <c r="BB542" i="3"/>
  <c r="AU544" i="3"/>
  <c r="AG545" i="3"/>
  <c r="BA543" i="3"/>
  <c r="BF543" i="3" s="1"/>
  <c r="BN545" i="3"/>
  <c r="AH545" i="3"/>
  <c r="AN545" i="3"/>
  <c r="AW544" i="3"/>
  <c r="AY543" i="3"/>
  <c r="Y545" i="3"/>
  <c r="Z545" i="3" s="1"/>
  <c r="B546" i="3"/>
  <c r="A547" i="3"/>
  <c r="AQ546" i="3"/>
  <c r="AR546" i="3"/>
  <c r="C546" i="3"/>
  <c r="AM546" i="3"/>
  <c r="AK546" i="3"/>
  <c r="R546" i="3"/>
  <c r="D546" i="3"/>
  <c r="S546" i="3"/>
  <c r="Q546" i="3"/>
  <c r="P546" i="3"/>
  <c r="AD546" i="3"/>
  <c r="AE546" i="3"/>
  <c r="AF546" i="3"/>
  <c r="O546" i="3"/>
  <c r="M546" i="3"/>
  <c r="U546" i="3"/>
  <c r="V546" i="3"/>
  <c r="F546" i="3"/>
  <c r="G546" i="3"/>
  <c r="H546" i="3" s="1"/>
  <c r="T546" i="3"/>
  <c r="X545" i="3"/>
  <c r="AT544" i="3"/>
  <c r="BJ541" i="3"/>
  <c r="BK541" i="3" s="1"/>
  <c r="BN546" i="3" l="1"/>
  <c r="BD542" i="3"/>
  <c r="BC543" i="3"/>
  <c r="BD543" i="3" s="1"/>
  <c r="AO546" i="3"/>
  <c r="AT545" i="3"/>
  <c r="AY544" i="3"/>
  <c r="BB543" i="3"/>
  <c r="BQ543" i="3"/>
  <c r="AX545" i="3"/>
  <c r="BA544" i="3"/>
  <c r="BF544" i="3" s="1"/>
  <c r="BJ543" i="3" s="1"/>
  <c r="BK543" i="3" s="1"/>
  <c r="AU545" i="3"/>
  <c r="AR547" i="3"/>
  <c r="B547" i="3"/>
  <c r="AQ547" i="3"/>
  <c r="A548" i="3"/>
  <c r="D547" i="3"/>
  <c r="AM547" i="3"/>
  <c r="T547" i="3"/>
  <c r="C547" i="3"/>
  <c r="AK547" i="3"/>
  <c r="S547" i="3"/>
  <c r="R547" i="3"/>
  <c r="AD547" i="3"/>
  <c r="Q547" i="3"/>
  <c r="P547" i="3"/>
  <c r="M547" i="3"/>
  <c r="AE547" i="3"/>
  <c r="V547" i="3"/>
  <c r="U547" i="3"/>
  <c r="O547" i="3"/>
  <c r="AF547" i="3"/>
  <c r="G547" i="3"/>
  <c r="H547" i="3" s="1"/>
  <c r="BN547" i="3" s="1"/>
  <c r="F547" i="3"/>
  <c r="BJ542" i="3"/>
  <c r="BK542" i="3" s="1"/>
  <c r="AH546" i="3"/>
  <c r="X546" i="3"/>
  <c r="Y546" i="3"/>
  <c r="Z546" i="3" s="1"/>
  <c r="BM546" i="3"/>
  <c r="AG546" i="3"/>
  <c r="AN546" i="3"/>
  <c r="AW545" i="3"/>
  <c r="AV544" i="3"/>
  <c r="BM547" i="3" l="1"/>
  <c r="BG543" i="3"/>
  <c r="BH543" i="3" s="1"/>
  <c r="BI543" i="3" s="1"/>
  <c r="BB544" i="3"/>
  <c r="AV545" i="3"/>
  <c r="AO547" i="3"/>
  <c r="BC544" i="3"/>
  <c r="BD544" i="3" s="1"/>
  <c r="AY545" i="3"/>
  <c r="BQ544" i="3"/>
  <c r="BA545" i="3"/>
  <c r="BQ545" i="3" s="1"/>
  <c r="AH547" i="3"/>
  <c r="AT546" i="3"/>
  <c r="B548" i="3"/>
  <c r="AQ548" i="3"/>
  <c r="AR548" i="3"/>
  <c r="A549" i="3"/>
  <c r="C548" i="3"/>
  <c r="D548" i="3"/>
  <c r="AK548" i="3"/>
  <c r="AM548" i="3"/>
  <c r="T548" i="3"/>
  <c r="R548" i="3"/>
  <c r="S548" i="3"/>
  <c r="AD548" i="3"/>
  <c r="P548" i="3"/>
  <c r="M548" i="3"/>
  <c r="AF548" i="3"/>
  <c r="V548" i="3"/>
  <c r="O548" i="3"/>
  <c r="AE548" i="3"/>
  <c r="U548" i="3"/>
  <c r="G548" i="3"/>
  <c r="H548" i="3" s="1"/>
  <c r="Q548" i="3"/>
  <c r="F548" i="3"/>
  <c r="AU546" i="3"/>
  <c r="AW546" i="3"/>
  <c r="AG547" i="3"/>
  <c r="X547" i="3"/>
  <c r="AN547" i="3"/>
  <c r="Y547" i="3"/>
  <c r="Z547" i="3" s="1"/>
  <c r="AX546" i="3"/>
  <c r="BN548" i="3" l="1"/>
  <c r="BC545" i="3"/>
  <c r="BD545" i="3" s="1"/>
  <c r="AV546" i="3"/>
  <c r="BB545" i="3"/>
  <c r="BG544" i="3"/>
  <c r="BH544" i="3" s="1"/>
  <c r="BI544" i="3" s="1"/>
  <c r="AO548" i="3"/>
  <c r="BF545" i="3"/>
  <c r="BJ544" i="3" s="1"/>
  <c r="BK544" i="3" s="1"/>
  <c r="AX547" i="3"/>
  <c r="AU547" i="3"/>
  <c r="AT547" i="3"/>
  <c r="Y548" i="3"/>
  <c r="Z548" i="3" s="1"/>
  <c r="AQ549" i="3"/>
  <c r="B549" i="3"/>
  <c r="A550" i="3"/>
  <c r="AR549" i="3"/>
  <c r="D549" i="3"/>
  <c r="C549" i="3"/>
  <c r="AM549" i="3"/>
  <c r="Q549" i="3"/>
  <c r="R549" i="3"/>
  <c r="AK549" i="3"/>
  <c r="S549" i="3"/>
  <c r="AD549" i="3"/>
  <c r="P549" i="3"/>
  <c r="O549" i="3"/>
  <c r="M549" i="3"/>
  <c r="AE549" i="3"/>
  <c r="AF549" i="3"/>
  <c r="U549" i="3"/>
  <c r="V549" i="3"/>
  <c r="F549" i="3"/>
  <c r="G549" i="3"/>
  <c r="H549" i="3" s="1"/>
  <c r="T549" i="3"/>
  <c r="AW547" i="3"/>
  <c r="AY546" i="3"/>
  <c r="BM548" i="3"/>
  <c r="AG548" i="3"/>
  <c r="AH548" i="3"/>
  <c r="AN548" i="3"/>
  <c r="BA546" i="3"/>
  <c r="X548" i="3"/>
  <c r="BN549" i="3" l="1"/>
  <c r="BM549" i="3"/>
  <c r="AY547" i="3"/>
  <c r="BG545" i="3"/>
  <c r="BH545" i="3" s="1"/>
  <c r="BI545" i="3" s="1"/>
  <c r="BC546" i="3"/>
  <c r="BG546" i="3" s="1"/>
  <c r="BH546" i="3" s="1"/>
  <c r="BI546" i="3" s="1"/>
  <c r="AV547" i="3"/>
  <c r="AN549" i="3"/>
  <c r="AW548" i="3"/>
  <c r="AX548" i="3"/>
  <c r="BF546" i="3"/>
  <c r="BJ545" i="3" s="1"/>
  <c r="BK545" i="3" s="1"/>
  <c r="BQ546" i="3"/>
  <c r="BB546" i="3"/>
  <c r="BA547" i="3"/>
  <c r="AT548" i="3"/>
  <c r="Y549" i="3"/>
  <c r="Z549" i="3" s="1"/>
  <c r="AG549" i="3"/>
  <c r="AH549" i="3"/>
  <c r="AO549" i="3"/>
  <c r="X549" i="3"/>
  <c r="B550" i="3"/>
  <c r="A551" i="3"/>
  <c r="AQ550" i="3"/>
  <c r="AR550" i="3"/>
  <c r="D550" i="3"/>
  <c r="C550" i="3"/>
  <c r="AK550" i="3"/>
  <c r="AM550" i="3"/>
  <c r="S550" i="3"/>
  <c r="Q550" i="3"/>
  <c r="T550" i="3"/>
  <c r="R550" i="3"/>
  <c r="AD550" i="3"/>
  <c r="P550" i="3"/>
  <c r="O550" i="3"/>
  <c r="AF550" i="3"/>
  <c r="AE550" i="3"/>
  <c r="M550" i="3"/>
  <c r="U550" i="3"/>
  <c r="V550" i="3"/>
  <c r="G550" i="3"/>
  <c r="H550" i="3" s="1"/>
  <c r="BN550" i="3" s="1"/>
  <c r="F550" i="3"/>
  <c r="BM550" i="3" s="1"/>
  <c r="AU548" i="3"/>
  <c r="BC547" i="3" l="1"/>
  <c r="BG547" i="3" s="1"/>
  <c r="BH547" i="3" s="1"/>
  <c r="BI547" i="3" s="1"/>
  <c r="BD546" i="3"/>
  <c r="AU549" i="3"/>
  <c r="AN550" i="3"/>
  <c r="AY548" i="3"/>
  <c r="AV548" i="3"/>
  <c r="AT549" i="3"/>
  <c r="Y550" i="3"/>
  <c r="Z550" i="3" s="1"/>
  <c r="BB547" i="3"/>
  <c r="BF547" i="3"/>
  <c r="BJ546" i="3" s="1"/>
  <c r="BK546" i="3" s="1"/>
  <c r="BQ547" i="3"/>
  <c r="AG550" i="3"/>
  <c r="AH550" i="3"/>
  <c r="AO550" i="3"/>
  <c r="AX549" i="3"/>
  <c r="AR551" i="3"/>
  <c r="B551" i="3"/>
  <c r="AQ551" i="3"/>
  <c r="A552" i="3"/>
  <c r="D551" i="3"/>
  <c r="AM551" i="3"/>
  <c r="S551" i="3"/>
  <c r="AK551" i="3"/>
  <c r="C551" i="3"/>
  <c r="R551" i="3"/>
  <c r="Q551" i="3"/>
  <c r="AD551" i="3"/>
  <c r="P551" i="3"/>
  <c r="AE551" i="3"/>
  <c r="M551" i="3"/>
  <c r="AF551" i="3"/>
  <c r="V551" i="3"/>
  <c r="U551" i="3"/>
  <c r="O551" i="3"/>
  <c r="F551" i="3"/>
  <c r="G551" i="3"/>
  <c r="H551" i="3" s="1"/>
  <c r="T551" i="3"/>
  <c r="X550" i="3"/>
  <c r="AW549" i="3"/>
  <c r="BA548" i="3"/>
  <c r="BN551" i="3" l="1"/>
  <c r="BD547" i="3"/>
  <c r="AO551" i="3"/>
  <c r="BM551" i="3"/>
  <c r="BA549" i="3"/>
  <c r="BQ549" i="3" s="1"/>
  <c r="AV549" i="3"/>
  <c r="AT550" i="3"/>
  <c r="BC548" i="3"/>
  <c r="BD548" i="3" s="1"/>
  <c r="AN551" i="3"/>
  <c r="AU550" i="3"/>
  <c r="Y551" i="3"/>
  <c r="Z551" i="3" s="1"/>
  <c r="B552" i="3"/>
  <c r="AQ552" i="3"/>
  <c r="AR552" i="3"/>
  <c r="A553" i="3"/>
  <c r="D552" i="3"/>
  <c r="C552" i="3"/>
  <c r="AM552" i="3"/>
  <c r="AK552" i="3"/>
  <c r="S552" i="3"/>
  <c r="R552" i="3"/>
  <c r="AD552" i="3"/>
  <c r="Q552" i="3"/>
  <c r="P552" i="3"/>
  <c r="O552" i="3"/>
  <c r="AE552" i="3"/>
  <c r="M552" i="3"/>
  <c r="V552" i="3"/>
  <c r="AF552" i="3"/>
  <c r="U552" i="3"/>
  <c r="G552" i="3"/>
  <c r="H552" i="3" s="1"/>
  <c r="F552" i="3"/>
  <c r="T552" i="3"/>
  <c r="AH551" i="3"/>
  <c r="AY549" i="3"/>
  <c r="X551" i="3"/>
  <c r="AX550" i="3"/>
  <c r="BF548" i="3"/>
  <c r="BJ547" i="3" s="1"/>
  <c r="BK547" i="3" s="1"/>
  <c r="BQ548" i="3"/>
  <c r="BB548" i="3"/>
  <c r="AG551" i="3"/>
  <c r="AW550" i="3"/>
  <c r="BG548" i="3" l="1"/>
  <c r="BH548" i="3" s="1"/>
  <c r="BI548" i="3" s="1"/>
  <c r="AV550" i="3"/>
  <c r="BA550" i="3"/>
  <c r="BQ550" i="3" s="1"/>
  <c r="AG552" i="3"/>
  <c r="BB549" i="3"/>
  <c r="BF549" i="3"/>
  <c r="BJ548" i="3" s="1"/>
  <c r="BK548" i="3" s="1"/>
  <c r="BM552" i="3"/>
  <c r="BC549" i="3"/>
  <c r="BD549" i="3" s="1"/>
  <c r="AW551" i="3"/>
  <c r="AN552" i="3"/>
  <c r="AY550" i="3"/>
  <c r="AQ553" i="3"/>
  <c r="B553" i="3"/>
  <c r="A554" i="3"/>
  <c r="AR553" i="3"/>
  <c r="D553" i="3"/>
  <c r="AK553" i="3"/>
  <c r="R553" i="3"/>
  <c r="C553" i="3"/>
  <c r="AM553" i="3"/>
  <c r="S553" i="3"/>
  <c r="Q553" i="3"/>
  <c r="AD553" i="3"/>
  <c r="P553" i="3"/>
  <c r="O553" i="3"/>
  <c r="M553" i="3"/>
  <c r="AE553" i="3"/>
  <c r="AF553" i="3"/>
  <c r="U553" i="3"/>
  <c r="V553" i="3"/>
  <c r="G553" i="3"/>
  <c r="H553" i="3" s="1"/>
  <c r="F553" i="3"/>
  <c r="T553" i="3"/>
  <c r="AU551" i="3"/>
  <c r="AX551" i="3"/>
  <c r="AT551" i="3"/>
  <c r="Y552" i="3"/>
  <c r="Z552" i="3" s="1"/>
  <c r="BN552" i="3"/>
  <c r="AH552" i="3"/>
  <c r="AO552" i="3"/>
  <c r="X552" i="3"/>
  <c r="BC550" i="3" l="1"/>
  <c r="BG550" i="3" s="1"/>
  <c r="BH550" i="3" s="1"/>
  <c r="BI550" i="3" s="1"/>
  <c r="BB550" i="3"/>
  <c r="BF550" i="3"/>
  <c r="BJ549" i="3" s="1"/>
  <c r="BK549" i="3" s="1"/>
  <c r="AU552" i="3"/>
  <c r="BG549" i="3"/>
  <c r="BH549" i="3" s="1"/>
  <c r="BI549" i="3" s="1"/>
  <c r="BM553" i="3"/>
  <c r="BN553" i="3"/>
  <c r="AG553" i="3"/>
  <c r="AT552" i="3"/>
  <c r="AW552" i="3"/>
  <c r="AY551" i="3"/>
  <c r="Y553" i="3"/>
  <c r="Z553" i="3" s="1"/>
  <c r="AO553" i="3"/>
  <c r="AN553" i="3"/>
  <c r="BA551" i="3"/>
  <c r="AV551" i="3"/>
  <c r="AH553" i="3"/>
  <c r="X553" i="3"/>
  <c r="B554" i="3"/>
  <c r="A555" i="3"/>
  <c r="AR554" i="3"/>
  <c r="AQ554" i="3"/>
  <c r="D554" i="3"/>
  <c r="AK554" i="3"/>
  <c r="AM554" i="3"/>
  <c r="R554" i="3"/>
  <c r="C554" i="3"/>
  <c r="Q554" i="3"/>
  <c r="AD554" i="3"/>
  <c r="S554" i="3"/>
  <c r="P554" i="3"/>
  <c r="O554" i="3"/>
  <c r="AF554" i="3"/>
  <c r="U554" i="3"/>
  <c r="V554" i="3"/>
  <c r="M554" i="3"/>
  <c r="AE554" i="3"/>
  <c r="F554" i="3"/>
  <c r="G554" i="3"/>
  <c r="H554" i="3" s="1"/>
  <c r="BN554" i="3" s="1"/>
  <c r="T554" i="3"/>
  <c r="AX552" i="3"/>
  <c r="BD550" i="3" l="1"/>
  <c r="AV552" i="3"/>
  <c r="BM554" i="3"/>
  <c r="AU553" i="3"/>
  <c r="AT553" i="3"/>
  <c r="AG554" i="3"/>
  <c r="BC551" i="3"/>
  <c r="BD551" i="3" s="1"/>
  <c r="AY552" i="3"/>
  <c r="AX553" i="3"/>
  <c r="AO554" i="3"/>
  <c r="Y554" i="3"/>
  <c r="Z554" i="3" s="1"/>
  <c r="BB551" i="3"/>
  <c r="BQ551" i="3"/>
  <c r="BF551" i="3"/>
  <c r="BJ550" i="3" s="1"/>
  <c r="BK550" i="3" s="1"/>
  <c r="AH554" i="3"/>
  <c r="X554" i="3"/>
  <c r="AN554" i="3"/>
  <c r="AW553" i="3"/>
  <c r="AR555" i="3"/>
  <c r="B555" i="3"/>
  <c r="AQ555" i="3"/>
  <c r="A556" i="3"/>
  <c r="D555" i="3"/>
  <c r="C555" i="3"/>
  <c r="AK555" i="3"/>
  <c r="AM555" i="3"/>
  <c r="R555" i="3"/>
  <c r="T555" i="3"/>
  <c r="Q555" i="3"/>
  <c r="S555" i="3"/>
  <c r="AD555" i="3"/>
  <c r="P555" i="3"/>
  <c r="O555" i="3"/>
  <c r="M555" i="3"/>
  <c r="AF555" i="3"/>
  <c r="V555" i="3"/>
  <c r="AE555" i="3"/>
  <c r="U555" i="3"/>
  <c r="F555" i="3"/>
  <c r="G555" i="3"/>
  <c r="H555" i="3" s="1"/>
  <c r="BA552" i="3"/>
  <c r="BC552" i="3" l="1"/>
  <c r="BD552" i="3" s="1"/>
  <c r="AY553" i="3"/>
  <c r="AV553" i="3"/>
  <c r="BM555" i="3"/>
  <c r="BA553" i="3"/>
  <c r="BF553" i="3" s="1"/>
  <c r="BN555" i="3"/>
  <c r="BG551" i="3"/>
  <c r="BH551" i="3" s="1"/>
  <c r="BI551" i="3" s="1"/>
  <c r="AT554" i="3"/>
  <c r="AU554" i="3"/>
  <c r="AG555" i="3"/>
  <c r="AN555" i="3"/>
  <c r="AO555" i="3"/>
  <c r="BQ552" i="3"/>
  <c r="BF552" i="3"/>
  <c r="BJ551" i="3" s="1"/>
  <c r="BK551" i="3" s="1"/>
  <c r="BB552" i="3"/>
  <c r="B556" i="3"/>
  <c r="AQ556" i="3"/>
  <c r="AR556" i="3"/>
  <c r="A557" i="3"/>
  <c r="D556" i="3"/>
  <c r="AK556" i="3"/>
  <c r="S556" i="3"/>
  <c r="R556" i="3"/>
  <c r="C556" i="3"/>
  <c r="AM556" i="3"/>
  <c r="Q556" i="3"/>
  <c r="P556" i="3"/>
  <c r="AD556" i="3"/>
  <c r="O556" i="3"/>
  <c r="M556" i="3"/>
  <c r="AE556" i="3"/>
  <c r="AF556" i="3"/>
  <c r="V556" i="3"/>
  <c r="U556" i="3"/>
  <c r="G556" i="3"/>
  <c r="H556" i="3" s="1"/>
  <c r="F556" i="3"/>
  <c r="T556" i="3"/>
  <c r="X555" i="3"/>
  <c r="AX554" i="3"/>
  <c r="Y555" i="3"/>
  <c r="Z555" i="3" s="1"/>
  <c r="AH555" i="3"/>
  <c r="AW554" i="3"/>
  <c r="BM556" i="3" l="1"/>
  <c r="BG552" i="3"/>
  <c r="BH552" i="3" s="1"/>
  <c r="BI552" i="3" s="1"/>
  <c r="BC553" i="3"/>
  <c r="BG553" i="3" s="1"/>
  <c r="BH553" i="3" s="1"/>
  <c r="BI553" i="3" s="1"/>
  <c r="BQ553" i="3"/>
  <c r="BN556" i="3"/>
  <c r="BB553" i="3"/>
  <c r="AV554" i="3"/>
  <c r="Y556" i="3"/>
  <c r="Z556" i="3" s="1"/>
  <c r="AT555" i="3"/>
  <c r="AX555" i="3"/>
  <c r="AG556" i="3"/>
  <c r="BA554" i="3"/>
  <c r="BB554" i="3" s="1"/>
  <c r="AO556" i="3"/>
  <c r="AN556" i="3"/>
  <c r="AY554" i="3"/>
  <c r="AU555" i="3"/>
  <c r="AW555" i="3"/>
  <c r="AH556" i="3"/>
  <c r="X556" i="3"/>
  <c r="BJ552" i="3"/>
  <c r="BK552" i="3" s="1"/>
  <c r="AQ557" i="3"/>
  <c r="B557" i="3"/>
  <c r="A558" i="3"/>
  <c r="AR557" i="3"/>
  <c r="D557" i="3"/>
  <c r="C557" i="3"/>
  <c r="T557" i="3"/>
  <c r="S557" i="3"/>
  <c r="AK557" i="3"/>
  <c r="AM557" i="3"/>
  <c r="R557" i="3"/>
  <c r="AD557" i="3"/>
  <c r="P557" i="3"/>
  <c r="O557" i="3"/>
  <c r="M557" i="3"/>
  <c r="AF557" i="3"/>
  <c r="V557" i="3"/>
  <c r="U557" i="3"/>
  <c r="AE557" i="3"/>
  <c r="Q557" i="3"/>
  <c r="G557" i="3"/>
  <c r="H557" i="3" s="1"/>
  <c r="F557" i="3"/>
  <c r="BN557" i="3" l="1"/>
  <c r="BM557" i="3"/>
  <c r="BD553" i="3"/>
  <c r="BC554" i="3"/>
  <c r="BG554" i="3" s="1"/>
  <c r="BH554" i="3" s="1"/>
  <c r="BI554" i="3" s="1"/>
  <c r="AV555" i="3"/>
  <c r="AT556" i="3"/>
  <c r="AU556" i="3"/>
  <c r="AO557" i="3"/>
  <c r="AG557" i="3"/>
  <c r="BF554" i="3"/>
  <c r="BJ553" i="3" s="1"/>
  <c r="BK553" i="3" s="1"/>
  <c r="BQ554" i="3"/>
  <c r="Y557" i="3"/>
  <c r="Z557" i="3" s="1"/>
  <c r="B558" i="3"/>
  <c r="A559" i="3"/>
  <c r="AQ558" i="3"/>
  <c r="AR558" i="3"/>
  <c r="D558" i="3"/>
  <c r="AM558" i="3"/>
  <c r="T558" i="3"/>
  <c r="S558" i="3"/>
  <c r="Q558" i="3"/>
  <c r="C558" i="3"/>
  <c r="AK558" i="3"/>
  <c r="AD558" i="3"/>
  <c r="R558" i="3"/>
  <c r="P558" i="3"/>
  <c r="O558" i="3"/>
  <c r="M558" i="3"/>
  <c r="AE558" i="3"/>
  <c r="V558" i="3"/>
  <c r="U558" i="3"/>
  <c r="AF558" i="3"/>
  <c r="G558" i="3"/>
  <c r="H558" i="3" s="1"/>
  <c r="BN558" i="3" s="1"/>
  <c r="F558" i="3"/>
  <c r="BA555" i="3"/>
  <c r="AY555" i="3"/>
  <c r="AH557" i="3"/>
  <c r="AN557" i="3"/>
  <c r="X557" i="3"/>
  <c r="AX556" i="3"/>
  <c r="AW556" i="3"/>
  <c r="BM558" i="3" l="1"/>
  <c r="BD554" i="3"/>
  <c r="AU557" i="3"/>
  <c r="AN558" i="3"/>
  <c r="BC555" i="3"/>
  <c r="BG555" i="3" s="1"/>
  <c r="BH555" i="3" s="1"/>
  <c r="BI555" i="3" s="1"/>
  <c r="AV556" i="3"/>
  <c r="AX557" i="3"/>
  <c r="AH558" i="3"/>
  <c r="BA556" i="3"/>
  <c r="BF556" i="3" s="1"/>
  <c r="BQ555" i="3"/>
  <c r="BB555" i="3"/>
  <c r="BF555" i="3"/>
  <c r="BJ554" i="3" s="1"/>
  <c r="BK554" i="3" s="1"/>
  <c r="Y558" i="3"/>
  <c r="Z558" i="3" s="1"/>
  <c r="AY556" i="3"/>
  <c r="AT557" i="3"/>
  <c r="AW557" i="3"/>
  <c r="AG558" i="3"/>
  <c r="AO558" i="3"/>
  <c r="AR559" i="3"/>
  <c r="B559" i="3"/>
  <c r="AQ559" i="3"/>
  <c r="A560" i="3"/>
  <c r="C559" i="3"/>
  <c r="D559" i="3"/>
  <c r="AK559" i="3"/>
  <c r="AM559" i="3"/>
  <c r="S559" i="3"/>
  <c r="R559" i="3"/>
  <c r="T559" i="3"/>
  <c r="AD559" i="3"/>
  <c r="Q559" i="3"/>
  <c r="O559" i="3"/>
  <c r="AE559" i="3"/>
  <c r="AF559" i="3"/>
  <c r="M559" i="3"/>
  <c r="V559" i="3"/>
  <c r="U559" i="3"/>
  <c r="P559" i="3"/>
  <c r="G559" i="3"/>
  <c r="H559" i="3" s="1"/>
  <c r="F559" i="3"/>
  <c r="X558" i="3"/>
  <c r="BC556" i="3" l="1"/>
  <c r="BD556" i="3" s="1"/>
  <c r="BD555" i="3"/>
  <c r="BN559" i="3"/>
  <c r="BM559" i="3"/>
  <c r="AY557" i="3"/>
  <c r="AO559" i="3"/>
  <c r="AU558" i="3"/>
  <c r="AG559" i="3"/>
  <c r="AT558" i="3"/>
  <c r="BB556" i="3"/>
  <c r="BQ556" i="3"/>
  <c r="Y559" i="3"/>
  <c r="Z559" i="3" s="1"/>
  <c r="B560" i="3"/>
  <c r="AQ560" i="3"/>
  <c r="AR560" i="3"/>
  <c r="A561" i="3"/>
  <c r="C560" i="3"/>
  <c r="AM560" i="3"/>
  <c r="AK560" i="3"/>
  <c r="D560" i="3"/>
  <c r="T560" i="3"/>
  <c r="S560" i="3"/>
  <c r="Q560" i="3"/>
  <c r="R560" i="3"/>
  <c r="AD560" i="3"/>
  <c r="O560" i="3"/>
  <c r="P560" i="3"/>
  <c r="AE560" i="3"/>
  <c r="U560" i="3"/>
  <c r="AF560" i="3"/>
  <c r="M560" i="3"/>
  <c r="V560" i="3"/>
  <c r="G560" i="3"/>
  <c r="H560" i="3" s="1"/>
  <c r="F560" i="3"/>
  <c r="AV557" i="3"/>
  <c r="BA557" i="3"/>
  <c r="AH559" i="3"/>
  <c r="AN559" i="3"/>
  <c r="AW558" i="3"/>
  <c r="AX558" i="3"/>
  <c r="BJ555" i="3"/>
  <c r="BK555" i="3" s="1"/>
  <c r="X559" i="3"/>
  <c r="BG556" i="3" l="1"/>
  <c r="BH556" i="3" s="1"/>
  <c r="BI556" i="3" s="1"/>
  <c r="AV558" i="3"/>
  <c r="BC557" i="3"/>
  <c r="BG557" i="3" s="1"/>
  <c r="BH557" i="3" s="1"/>
  <c r="BI557" i="3" s="1"/>
  <c r="BM560" i="3"/>
  <c r="AT559" i="3"/>
  <c r="AN560" i="3"/>
  <c r="AG560" i="3"/>
  <c r="AW559" i="3"/>
  <c r="AX559" i="3"/>
  <c r="BF557" i="3"/>
  <c r="BJ556" i="3" s="1"/>
  <c r="BK556" i="3" s="1"/>
  <c r="BQ557" i="3"/>
  <c r="BB557" i="3"/>
  <c r="AU559" i="3"/>
  <c r="AY558" i="3"/>
  <c r="BA558" i="3"/>
  <c r="BN560" i="3"/>
  <c r="AH560" i="3"/>
  <c r="AO560" i="3"/>
  <c r="X560" i="3"/>
  <c r="Y560" i="3"/>
  <c r="Z560" i="3" s="1"/>
  <c r="AQ561" i="3"/>
  <c r="B561" i="3"/>
  <c r="A562" i="3"/>
  <c r="AR561" i="3"/>
  <c r="D561" i="3"/>
  <c r="C561" i="3"/>
  <c r="S561" i="3"/>
  <c r="R561" i="3"/>
  <c r="AM561" i="3"/>
  <c r="AK561" i="3"/>
  <c r="Q561" i="3"/>
  <c r="P561" i="3"/>
  <c r="AD561" i="3"/>
  <c r="O561" i="3"/>
  <c r="M561" i="3"/>
  <c r="AE561" i="3"/>
  <c r="V561" i="3"/>
  <c r="U561" i="3"/>
  <c r="AF561" i="3"/>
  <c r="G561" i="3"/>
  <c r="H561" i="3" s="1"/>
  <c r="F561" i="3"/>
  <c r="T561" i="3"/>
  <c r="BC558" i="3" l="1"/>
  <c r="BD558" i="3" s="1"/>
  <c r="BD557" i="3"/>
  <c r="AV559" i="3"/>
  <c r="AU560" i="3"/>
  <c r="AO561" i="3"/>
  <c r="BN561" i="3"/>
  <c r="BM561" i="3"/>
  <c r="Y561" i="3"/>
  <c r="Z561" i="3" s="1"/>
  <c r="AG561" i="3"/>
  <c r="AT560" i="3"/>
  <c r="BA559" i="3"/>
  <c r="BQ559" i="3" s="1"/>
  <c r="B562" i="3"/>
  <c r="A563" i="3"/>
  <c r="AQ562" i="3"/>
  <c r="AR562" i="3"/>
  <c r="C562" i="3"/>
  <c r="AM562" i="3"/>
  <c r="T562" i="3"/>
  <c r="S562" i="3"/>
  <c r="D562" i="3"/>
  <c r="AK562" i="3"/>
  <c r="Q562" i="3"/>
  <c r="AD562" i="3"/>
  <c r="P562" i="3"/>
  <c r="O562" i="3"/>
  <c r="M562" i="3"/>
  <c r="AF562" i="3"/>
  <c r="V562" i="3"/>
  <c r="U562" i="3"/>
  <c r="AE562" i="3"/>
  <c r="R562" i="3"/>
  <c r="F562" i="3"/>
  <c r="BM562" i="3" s="1"/>
  <c r="G562" i="3"/>
  <c r="H562" i="3" s="1"/>
  <c r="BB558" i="3"/>
  <c r="BF558" i="3"/>
  <c r="BJ557" i="3" s="1"/>
  <c r="BK557" i="3" s="1"/>
  <c r="BQ558" i="3"/>
  <c r="AH561" i="3"/>
  <c r="AN561" i="3"/>
  <c r="AX560" i="3"/>
  <c r="AW560" i="3"/>
  <c r="AY559" i="3"/>
  <c r="X561" i="3"/>
  <c r="BC559" i="3" l="1"/>
  <c r="BG559" i="3" s="1"/>
  <c r="BH559" i="3" s="1"/>
  <c r="BI559" i="3" s="1"/>
  <c r="BG558" i="3"/>
  <c r="BH558" i="3" s="1"/>
  <c r="BI558" i="3" s="1"/>
  <c r="AV560" i="3"/>
  <c r="AO562" i="3"/>
  <c r="AT561" i="3"/>
  <c r="BN562" i="3"/>
  <c r="BA560" i="3"/>
  <c r="BQ560" i="3" s="1"/>
  <c r="AX561" i="3"/>
  <c r="BF559" i="3"/>
  <c r="BJ558" i="3" s="1"/>
  <c r="BK558" i="3" s="1"/>
  <c r="BB559" i="3"/>
  <c r="AY560" i="3"/>
  <c r="Y562" i="3"/>
  <c r="Z562" i="3" s="1"/>
  <c r="AW561" i="3"/>
  <c r="AU561" i="3"/>
  <c r="AG562" i="3"/>
  <c r="X562" i="3"/>
  <c r="AR563" i="3"/>
  <c r="B563" i="3"/>
  <c r="AQ563" i="3"/>
  <c r="A564" i="3"/>
  <c r="C563" i="3"/>
  <c r="S563" i="3"/>
  <c r="D563" i="3"/>
  <c r="AM563" i="3"/>
  <c r="AK563" i="3"/>
  <c r="AD563" i="3"/>
  <c r="P563" i="3"/>
  <c r="R563" i="3"/>
  <c r="O563" i="3"/>
  <c r="AE563" i="3"/>
  <c r="M563" i="3"/>
  <c r="AF563" i="3"/>
  <c r="V563" i="3"/>
  <c r="U563" i="3"/>
  <c r="F563" i="3"/>
  <c r="G563" i="3"/>
  <c r="H563" i="3" s="1"/>
  <c r="Q563" i="3"/>
  <c r="T563" i="3"/>
  <c r="AH562" i="3"/>
  <c r="AN562" i="3"/>
  <c r="BD559" i="3" l="1"/>
  <c r="BF560" i="3"/>
  <c r="BJ559" i="3" s="1"/>
  <c r="BK559" i="3" s="1"/>
  <c r="BC560" i="3"/>
  <c r="BG560" i="3" s="1"/>
  <c r="BH560" i="3" s="1"/>
  <c r="BI560" i="3" s="1"/>
  <c r="BM563" i="3"/>
  <c r="BN563" i="3"/>
  <c r="AY561" i="3"/>
  <c r="BB560" i="3"/>
  <c r="AX562" i="3"/>
  <c r="AO563" i="3"/>
  <c r="AH563" i="3"/>
  <c r="Y563" i="3"/>
  <c r="Z563" i="3" s="1"/>
  <c r="BA561" i="3"/>
  <c r="BQ561" i="3" s="1"/>
  <c r="AT562" i="3"/>
  <c r="X563" i="3"/>
  <c r="AU562" i="3"/>
  <c r="AW562" i="3"/>
  <c r="AV561" i="3"/>
  <c r="B564" i="3"/>
  <c r="AQ564" i="3"/>
  <c r="AR564" i="3"/>
  <c r="A565" i="3"/>
  <c r="C564" i="3"/>
  <c r="D564" i="3"/>
  <c r="AK564" i="3"/>
  <c r="AM564" i="3"/>
  <c r="S564" i="3"/>
  <c r="Q564" i="3"/>
  <c r="R564" i="3"/>
  <c r="P564" i="3"/>
  <c r="AD564" i="3"/>
  <c r="AE564" i="3"/>
  <c r="AF564" i="3"/>
  <c r="U564" i="3"/>
  <c r="O564" i="3"/>
  <c r="M564" i="3"/>
  <c r="V564" i="3"/>
  <c r="G564" i="3"/>
  <c r="H564" i="3" s="1"/>
  <c r="F564" i="3"/>
  <c r="T564" i="3"/>
  <c r="AG563" i="3"/>
  <c r="AN563" i="3"/>
  <c r="BM564" i="3" l="1"/>
  <c r="BC561" i="3"/>
  <c r="BG561" i="3" s="1"/>
  <c r="BH561" i="3" s="1"/>
  <c r="BI561" i="3" s="1"/>
  <c r="BD560" i="3"/>
  <c r="AY562" i="3"/>
  <c r="BN564" i="3"/>
  <c r="AV562" i="3"/>
  <c r="AN564" i="3"/>
  <c r="AW563" i="3"/>
  <c r="AX563" i="3"/>
  <c r="Y564" i="3"/>
  <c r="Z564" i="3" s="1"/>
  <c r="AG564" i="3"/>
  <c r="BF561" i="3"/>
  <c r="BJ560" i="3" s="1"/>
  <c r="BK560" i="3" s="1"/>
  <c r="BB561" i="3"/>
  <c r="AH564" i="3"/>
  <c r="AO564" i="3"/>
  <c r="X564" i="3"/>
  <c r="AU563" i="3"/>
  <c r="AQ565" i="3"/>
  <c r="B565" i="3"/>
  <c r="A566" i="3"/>
  <c r="AR565" i="3"/>
  <c r="D565" i="3"/>
  <c r="C565" i="3"/>
  <c r="AK565" i="3"/>
  <c r="AM565" i="3"/>
  <c r="S565" i="3"/>
  <c r="Q565" i="3"/>
  <c r="AD565" i="3"/>
  <c r="T565" i="3"/>
  <c r="R565" i="3"/>
  <c r="O565" i="3"/>
  <c r="P565" i="3"/>
  <c r="M565" i="3"/>
  <c r="V565" i="3"/>
  <c r="AE565" i="3"/>
  <c r="AF565" i="3"/>
  <c r="U565" i="3"/>
  <c r="F565" i="3"/>
  <c r="G565" i="3"/>
  <c r="H565" i="3" s="1"/>
  <c r="AT563" i="3"/>
  <c r="BA562" i="3"/>
  <c r="BD561" i="3" l="1"/>
  <c r="BC562" i="3"/>
  <c r="BD562" i="3" s="1"/>
  <c r="BN565" i="3"/>
  <c r="AU564" i="3"/>
  <c r="AN565" i="3"/>
  <c r="BM565" i="3"/>
  <c r="AY563" i="3"/>
  <c r="AO565" i="3"/>
  <c r="AX564" i="3"/>
  <c r="AG565" i="3"/>
  <c r="AW564" i="3"/>
  <c r="AT564" i="3"/>
  <c r="BB562" i="3"/>
  <c r="BF562" i="3"/>
  <c r="BJ561" i="3" s="1"/>
  <c r="BK561" i="3" s="1"/>
  <c r="BQ562" i="3"/>
  <c r="BA563" i="3"/>
  <c r="AV563" i="3"/>
  <c r="Y565" i="3"/>
  <c r="Z565" i="3" s="1"/>
  <c r="B566" i="3"/>
  <c r="A567" i="3"/>
  <c r="AQ566" i="3"/>
  <c r="AR566" i="3"/>
  <c r="D566" i="3"/>
  <c r="C566" i="3"/>
  <c r="AM566" i="3"/>
  <c r="AK566" i="3"/>
  <c r="R566" i="3"/>
  <c r="Q566" i="3"/>
  <c r="S566" i="3"/>
  <c r="P566" i="3"/>
  <c r="AD566" i="3"/>
  <c r="M566" i="3"/>
  <c r="AF566" i="3"/>
  <c r="V566" i="3"/>
  <c r="U566" i="3"/>
  <c r="O566" i="3"/>
  <c r="AE566" i="3"/>
  <c r="G566" i="3"/>
  <c r="H566" i="3" s="1"/>
  <c r="F566" i="3"/>
  <c r="T566" i="3"/>
  <c r="AH565" i="3"/>
  <c r="X565" i="3"/>
  <c r="BG562" i="3" l="1"/>
  <c r="BH562" i="3" s="1"/>
  <c r="BI562" i="3" s="1"/>
  <c r="AV564" i="3"/>
  <c r="AY564" i="3"/>
  <c r="AG566" i="3"/>
  <c r="BN566" i="3"/>
  <c r="AX565" i="3"/>
  <c r="BM566" i="3"/>
  <c r="BC563" i="3"/>
  <c r="BD563" i="3" s="1"/>
  <c r="BA564" i="3"/>
  <c r="BB564" i="3" s="1"/>
  <c r="AN566" i="3"/>
  <c r="Y566" i="3"/>
  <c r="Z566" i="3" s="1"/>
  <c r="AR567" i="3"/>
  <c r="B567" i="3"/>
  <c r="AQ567" i="3"/>
  <c r="A568" i="3"/>
  <c r="C567" i="3"/>
  <c r="D567" i="3"/>
  <c r="AK567" i="3"/>
  <c r="T567" i="3"/>
  <c r="AM567" i="3"/>
  <c r="S567" i="3"/>
  <c r="Q567" i="3"/>
  <c r="R567" i="3"/>
  <c r="AD567" i="3"/>
  <c r="P567" i="3"/>
  <c r="M567" i="3"/>
  <c r="AF567" i="3"/>
  <c r="U567" i="3"/>
  <c r="O567" i="3"/>
  <c r="AE567" i="3"/>
  <c r="V567" i="3"/>
  <c r="F567" i="3"/>
  <c r="BM567" i="3" s="1"/>
  <c r="G567" i="3"/>
  <c r="H567" i="3" s="1"/>
  <c r="BN567" i="3" s="1"/>
  <c r="AW565" i="3"/>
  <c r="AU565" i="3"/>
  <c r="AO566" i="3"/>
  <c r="X566" i="3"/>
  <c r="BQ563" i="3"/>
  <c r="BF563" i="3"/>
  <c r="BJ562" i="3" s="1"/>
  <c r="BK562" i="3" s="1"/>
  <c r="BB563" i="3"/>
  <c r="AT565" i="3"/>
  <c r="AH566" i="3"/>
  <c r="BC564" i="3" l="1"/>
  <c r="BG564" i="3" s="1"/>
  <c r="BH564" i="3" s="1"/>
  <c r="BI564" i="3" s="1"/>
  <c r="AV565" i="3"/>
  <c r="AN567" i="3"/>
  <c r="AX566" i="3"/>
  <c r="AY565" i="3"/>
  <c r="BG563" i="3"/>
  <c r="BH563" i="3" s="1"/>
  <c r="BI563" i="3" s="1"/>
  <c r="BQ564" i="3"/>
  <c r="AG567" i="3"/>
  <c r="BF564" i="3"/>
  <c r="BJ563" i="3" s="1"/>
  <c r="BK563" i="3" s="1"/>
  <c r="Y567" i="3"/>
  <c r="Z567" i="3" s="1"/>
  <c r="B568" i="3"/>
  <c r="AQ568" i="3"/>
  <c r="AR568" i="3"/>
  <c r="A569" i="3"/>
  <c r="C568" i="3"/>
  <c r="AM568" i="3"/>
  <c r="AK568" i="3"/>
  <c r="T568" i="3"/>
  <c r="D568" i="3"/>
  <c r="S568" i="3"/>
  <c r="R568" i="3"/>
  <c r="Q568" i="3"/>
  <c r="AD568" i="3"/>
  <c r="P568" i="3"/>
  <c r="AE568" i="3"/>
  <c r="O568" i="3"/>
  <c r="M568" i="3"/>
  <c r="U568" i="3"/>
  <c r="AF568" i="3"/>
  <c r="V568" i="3"/>
  <c r="G568" i="3"/>
  <c r="H568" i="3" s="1"/>
  <c r="BN568" i="3" s="1"/>
  <c r="F568" i="3"/>
  <c r="AT566" i="3"/>
  <c r="AW566" i="3"/>
  <c r="BA565" i="3"/>
  <c r="AU566" i="3"/>
  <c r="AH567" i="3"/>
  <c r="AO567" i="3"/>
  <c r="X567" i="3"/>
  <c r="BD564" i="3" l="1"/>
  <c r="BC565" i="3"/>
  <c r="BD565" i="3" s="1"/>
  <c r="AY566" i="3"/>
  <c r="BM568" i="3"/>
  <c r="AU567" i="3"/>
  <c r="AH568" i="3"/>
  <c r="AN568" i="3"/>
  <c r="AT567" i="3"/>
  <c r="AW567" i="3"/>
  <c r="AQ569" i="3"/>
  <c r="B569" i="3"/>
  <c r="A570" i="3"/>
  <c r="AR569" i="3"/>
  <c r="C569" i="3"/>
  <c r="S569" i="3"/>
  <c r="AK569" i="3"/>
  <c r="D569" i="3"/>
  <c r="AM569" i="3"/>
  <c r="Q569" i="3"/>
  <c r="T569" i="3"/>
  <c r="P569" i="3"/>
  <c r="AD569" i="3"/>
  <c r="O569" i="3"/>
  <c r="M569" i="3"/>
  <c r="V569" i="3"/>
  <c r="AF569" i="3"/>
  <c r="AE569" i="3"/>
  <c r="G569" i="3"/>
  <c r="H569" i="3" s="1"/>
  <c r="U569" i="3"/>
  <c r="R569" i="3"/>
  <c r="F569" i="3"/>
  <c r="BF565" i="3"/>
  <c r="BQ565" i="3"/>
  <c r="BB565" i="3"/>
  <c r="AV566" i="3"/>
  <c r="BA566" i="3"/>
  <c r="Y568" i="3"/>
  <c r="Z568" i="3" s="1"/>
  <c r="AX567" i="3"/>
  <c r="AG568" i="3"/>
  <c r="AO568" i="3"/>
  <c r="X568" i="3"/>
  <c r="BG565" i="3" l="1"/>
  <c r="BH565" i="3" s="1"/>
  <c r="BI565" i="3" s="1"/>
  <c r="AY567" i="3"/>
  <c r="AU568" i="3"/>
  <c r="AN569" i="3"/>
  <c r="BC566" i="3"/>
  <c r="BD566" i="3" s="1"/>
  <c r="AV567" i="3"/>
  <c r="BN569" i="3"/>
  <c r="AT568" i="3"/>
  <c r="AX568" i="3"/>
  <c r="AH569" i="3"/>
  <c r="BJ564" i="3"/>
  <c r="BK564" i="3" s="1"/>
  <c r="B570" i="3"/>
  <c r="A571" i="3"/>
  <c r="AQ570" i="3"/>
  <c r="AR570" i="3"/>
  <c r="C570" i="3"/>
  <c r="AK570" i="3"/>
  <c r="AM570" i="3"/>
  <c r="D570" i="3"/>
  <c r="T570" i="3"/>
  <c r="Q570" i="3"/>
  <c r="S570" i="3"/>
  <c r="R570" i="3"/>
  <c r="AD570" i="3"/>
  <c r="M570" i="3"/>
  <c r="P570" i="3"/>
  <c r="O570" i="3"/>
  <c r="AF570" i="3"/>
  <c r="AE570" i="3"/>
  <c r="V570" i="3"/>
  <c r="U570" i="3"/>
  <c r="G570" i="3"/>
  <c r="H570" i="3" s="1"/>
  <c r="F570" i="3"/>
  <c r="Y569" i="3"/>
  <c r="Z569" i="3" s="1"/>
  <c r="AO569" i="3"/>
  <c r="X569" i="3"/>
  <c r="AW568" i="3"/>
  <c r="BA567" i="3"/>
  <c r="BM569" i="3"/>
  <c r="AG569" i="3"/>
  <c r="BF566" i="3"/>
  <c r="BQ566" i="3"/>
  <c r="BB566" i="3"/>
  <c r="BC567" i="3" l="1"/>
  <c r="BG567" i="3" s="1"/>
  <c r="BH567" i="3" s="1"/>
  <c r="BI567" i="3" s="1"/>
  <c r="AV568" i="3"/>
  <c r="BG566" i="3"/>
  <c r="BH566" i="3" s="1"/>
  <c r="BI566" i="3" s="1"/>
  <c r="BM570" i="3"/>
  <c r="BN570" i="3"/>
  <c r="AW569" i="3"/>
  <c r="AN570" i="3"/>
  <c r="AY568" i="3"/>
  <c r="BF567" i="3"/>
  <c r="BJ566" i="3" s="1"/>
  <c r="BK566" i="3" s="1"/>
  <c r="BQ567" i="3"/>
  <c r="BB567" i="3"/>
  <c r="Y570" i="3"/>
  <c r="Z570" i="3" s="1"/>
  <c r="AR571" i="3"/>
  <c r="B571" i="3"/>
  <c r="AQ571" i="3"/>
  <c r="A572" i="3"/>
  <c r="D571" i="3"/>
  <c r="AK571" i="3"/>
  <c r="S571" i="3"/>
  <c r="AM571" i="3"/>
  <c r="C571" i="3"/>
  <c r="R571" i="3"/>
  <c r="Q571" i="3"/>
  <c r="AD571" i="3"/>
  <c r="P571" i="3"/>
  <c r="AE571" i="3"/>
  <c r="M571" i="3"/>
  <c r="O571" i="3"/>
  <c r="AF571" i="3"/>
  <c r="U571" i="3"/>
  <c r="V571" i="3"/>
  <c r="G571" i="3"/>
  <c r="H571" i="3" s="1"/>
  <c r="F571" i="3"/>
  <c r="T571" i="3"/>
  <c r="AX569" i="3"/>
  <c r="AT569" i="3"/>
  <c r="AG570" i="3"/>
  <c r="AO570" i="3"/>
  <c r="BA568" i="3"/>
  <c r="AU569" i="3"/>
  <c r="AH570" i="3"/>
  <c r="X570" i="3"/>
  <c r="BJ565" i="3"/>
  <c r="BK565" i="3" s="1"/>
  <c r="BM571" i="3" l="1"/>
  <c r="BD567" i="3"/>
  <c r="BC568" i="3"/>
  <c r="BD568" i="3" s="1"/>
  <c r="AY569" i="3"/>
  <c r="AX570" i="3"/>
  <c r="AV569" i="3"/>
  <c r="BB568" i="3"/>
  <c r="BF568" i="3"/>
  <c r="BJ567" i="3" s="1"/>
  <c r="BK567" i="3" s="1"/>
  <c r="BQ568" i="3"/>
  <c r="AO571" i="3"/>
  <c r="AN571" i="3"/>
  <c r="B572" i="3"/>
  <c r="AQ572" i="3"/>
  <c r="AR572" i="3"/>
  <c r="A573" i="3"/>
  <c r="C572" i="3"/>
  <c r="D572" i="3"/>
  <c r="AK572" i="3"/>
  <c r="AM572" i="3"/>
  <c r="T572" i="3"/>
  <c r="S572" i="3"/>
  <c r="Q572" i="3"/>
  <c r="AD572" i="3"/>
  <c r="P572" i="3"/>
  <c r="O572" i="3"/>
  <c r="M572" i="3"/>
  <c r="AE572" i="3"/>
  <c r="V572" i="3"/>
  <c r="AF572" i="3"/>
  <c r="U572" i="3"/>
  <c r="F572" i="3"/>
  <c r="R572" i="3"/>
  <c r="G572" i="3"/>
  <c r="H572" i="3" s="1"/>
  <c r="BN572" i="3" s="1"/>
  <c r="AU570" i="3"/>
  <c r="X571" i="3"/>
  <c r="BA569" i="3"/>
  <c r="AT570" i="3"/>
  <c r="AW570" i="3"/>
  <c r="Y571" i="3"/>
  <c r="Z571" i="3" s="1"/>
  <c r="BN571" i="3"/>
  <c r="AG571" i="3"/>
  <c r="AH571" i="3"/>
  <c r="BG568" i="3" l="1"/>
  <c r="BH568" i="3" s="1"/>
  <c r="BI568" i="3" s="1"/>
  <c r="BC569" i="3"/>
  <c r="BD569" i="3" s="1"/>
  <c r="AO572" i="3"/>
  <c r="AU571" i="3"/>
  <c r="AY570" i="3"/>
  <c r="AW571" i="3"/>
  <c r="BA570" i="3"/>
  <c r="AV570" i="3"/>
  <c r="BQ569" i="3"/>
  <c r="BF569" i="3"/>
  <c r="BJ568" i="3" s="1"/>
  <c r="BK568" i="3" s="1"/>
  <c r="BB569" i="3"/>
  <c r="Y572" i="3"/>
  <c r="Z572" i="3" s="1"/>
  <c r="AQ573" i="3"/>
  <c r="B573" i="3"/>
  <c r="A574" i="3"/>
  <c r="AR573" i="3"/>
  <c r="D573" i="3"/>
  <c r="C573" i="3"/>
  <c r="S573" i="3"/>
  <c r="Q573" i="3"/>
  <c r="AK573" i="3"/>
  <c r="AM573" i="3"/>
  <c r="R573" i="3"/>
  <c r="P573" i="3"/>
  <c r="AD573" i="3"/>
  <c r="M573" i="3"/>
  <c r="AE573" i="3"/>
  <c r="O573" i="3"/>
  <c r="AF573" i="3"/>
  <c r="V573" i="3"/>
  <c r="U573" i="3"/>
  <c r="G573" i="3"/>
  <c r="H573" i="3" s="1"/>
  <c r="F573" i="3"/>
  <c r="T573" i="3"/>
  <c r="AT571" i="3"/>
  <c r="AX571" i="3"/>
  <c r="BM572" i="3"/>
  <c r="AG572" i="3"/>
  <c r="AH572" i="3"/>
  <c r="AN572" i="3"/>
  <c r="X572" i="3"/>
  <c r="BG569" i="3" l="1"/>
  <c r="BH569" i="3" s="1"/>
  <c r="BI569" i="3" s="1"/>
  <c r="AY571" i="3"/>
  <c r="BM573" i="3"/>
  <c r="BC570" i="3"/>
  <c r="BD570" i="3" s="1"/>
  <c r="AG573" i="3"/>
  <c r="AO573" i="3"/>
  <c r="AU572" i="3"/>
  <c r="AX572" i="3"/>
  <c r="BA571" i="3"/>
  <c r="AV571" i="3"/>
  <c r="BQ570" i="3"/>
  <c r="BF570" i="3"/>
  <c r="BJ569" i="3" s="1"/>
  <c r="BK569" i="3" s="1"/>
  <c r="BB570" i="3"/>
  <c r="AH573" i="3"/>
  <c r="AT572" i="3"/>
  <c r="AW572" i="3"/>
  <c r="Y573" i="3"/>
  <c r="Z573" i="3" s="1"/>
  <c r="BN573" i="3"/>
  <c r="AN573" i="3"/>
  <c r="X573" i="3"/>
  <c r="B574" i="3"/>
  <c r="A575" i="3"/>
  <c r="AQ574" i="3"/>
  <c r="AR574" i="3"/>
  <c r="C574" i="3"/>
  <c r="D574" i="3"/>
  <c r="AK574" i="3"/>
  <c r="S574" i="3"/>
  <c r="R574" i="3"/>
  <c r="AM574" i="3"/>
  <c r="AD574" i="3"/>
  <c r="P574" i="3"/>
  <c r="Q574" i="3"/>
  <c r="AF574" i="3"/>
  <c r="M574" i="3"/>
  <c r="U574" i="3"/>
  <c r="O574" i="3"/>
  <c r="AE574" i="3"/>
  <c r="V574" i="3"/>
  <c r="F574" i="3"/>
  <c r="G574" i="3"/>
  <c r="H574" i="3" s="1"/>
  <c r="T574" i="3"/>
  <c r="BC571" i="3" l="1"/>
  <c r="BG571" i="3" s="1"/>
  <c r="BH571" i="3" s="1"/>
  <c r="BI571" i="3" s="1"/>
  <c r="AY572" i="3"/>
  <c r="AU573" i="3"/>
  <c r="BG570" i="3"/>
  <c r="BH570" i="3" s="1"/>
  <c r="BI570" i="3" s="1"/>
  <c r="BN574" i="3"/>
  <c r="AN574" i="3"/>
  <c r="BM574" i="3"/>
  <c r="AG574" i="3"/>
  <c r="AO574" i="3"/>
  <c r="AW573" i="3"/>
  <c r="Y574" i="3"/>
  <c r="Z574" i="3" s="1"/>
  <c r="AR575" i="3"/>
  <c r="AQ575" i="3"/>
  <c r="A576" i="3"/>
  <c r="B575" i="3"/>
  <c r="D575" i="3"/>
  <c r="C575" i="3"/>
  <c r="AK575" i="3"/>
  <c r="AM575" i="3"/>
  <c r="Q575" i="3"/>
  <c r="S575" i="3"/>
  <c r="AD575" i="3"/>
  <c r="P575" i="3"/>
  <c r="O575" i="3"/>
  <c r="AE575" i="3"/>
  <c r="AF575" i="3"/>
  <c r="M575" i="3"/>
  <c r="V575" i="3"/>
  <c r="U575" i="3"/>
  <c r="G575" i="3"/>
  <c r="H575" i="3" s="1"/>
  <c r="F575" i="3"/>
  <c r="R575" i="3"/>
  <c r="T575" i="3"/>
  <c r="AT573" i="3"/>
  <c r="AX573" i="3"/>
  <c r="BQ571" i="3"/>
  <c r="BF571" i="3"/>
  <c r="BJ570" i="3" s="1"/>
  <c r="BK570" i="3" s="1"/>
  <c r="BB571" i="3"/>
  <c r="AV572" i="3"/>
  <c r="BA572" i="3"/>
  <c r="AH574" i="3"/>
  <c r="X574" i="3"/>
  <c r="BD571" i="3" l="1"/>
  <c r="BC572" i="3"/>
  <c r="BD572" i="3" s="1"/>
  <c r="BN575" i="3"/>
  <c r="BM575" i="3"/>
  <c r="AU574" i="3"/>
  <c r="AX574" i="3"/>
  <c r="AO575" i="3"/>
  <c r="AY573" i="3"/>
  <c r="BA573" i="3"/>
  <c r="AV573" i="3"/>
  <c r="AH575" i="3"/>
  <c r="AT574" i="3"/>
  <c r="AW574" i="3"/>
  <c r="Y575" i="3"/>
  <c r="Z575" i="3" s="1"/>
  <c r="AG575" i="3"/>
  <c r="AN575" i="3"/>
  <c r="X575" i="3"/>
  <c r="BQ572" i="3"/>
  <c r="BF572" i="3"/>
  <c r="BJ571" i="3" s="1"/>
  <c r="BK571" i="3" s="1"/>
  <c r="BB572" i="3"/>
  <c r="A577" i="3"/>
  <c r="AR576" i="3"/>
  <c r="B576" i="3"/>
  <c r="AQ576" i="3"/>
  <c r="D576" i="3"/>
  <c r="AM576" i="3"/>
  <c r="S576" i="3"/>
  <c r="Q576" i="3"/>
  <c r="AK576" i="3"/>
  <c r="C576" i="3"/>
  <c r="R576" i="3"/>
  <c r="AD576" i="3"/>
  <c r="P576" i="3"/>
  <c r="O576" i="3"/>
  <c r="AE576" i="3"/>
  <c r="AF576" i="3"/>
  <c r="V576" i="3"/>
  <c r="M576" i="3"/>
  <c r="U576" i="3"/>
  <c r="G576" i="3"/>
  <c r="H576" i="3" s="1"/>
  <c r="F576" i="3"/>
  <c r="T576" i="3"/>
  <c r="BG572" i="3" l="1"/>
  <c r="BH572" i="3" s="1"/>
  <c r="BI572" i="3" s="1"/>
  <c r="AU575" i="3"/>
  <c r="BC573" i="3"/>
  <c r="BD573" i="3" s="1"/>
  <c r="AO576" i="3"/>
  <c r="AY574" i="3"/>
  <c r="BM576" i="3"/>
  <c r="AG576" i="3"/>
  <c r="AT575" i="3"/>
  <c r="AW575" i="3"/>
  <c r="BF573" i="3"/>
  <c r="BJ572" i="3" s="1"/>
  <c r="BK572" i="3" s="1"/>
  <c r="BQ573" i="3"/>
  <c r="BB573" i="3"/>
  <c r="Y576" i="3"/>
  <c r="Z576" i="3" s="1"/>
  <c r="BN576" i="3"/>
  <c r="AH576" i="3"/>
  <c r="X576" i="3"/>
  <c r="AN576" i="3"/>
  <c r="AX575" i="3"/>
  <c r="AR577" i="3"/>
  <c r="A578" i="3"/>
  <c r="AQ577" i="3"/>
  <c r="B577" i="3"/>
  <c r="C577" i="3"/>
  <c r="AK577" i="3"/>
  <c r="T577" i="3"/>
  <c r="S577" i="3"/>
  <c r="D577" i="3"/>
  <c r="AM577" i="3"/>
  <c r="R577" i="3"/>
  <c r="Q577" i="3"/>
  <c r="AD577" i="3"/>
  <c r="P577" i="3"/>
  <c r="O577" i="3"/>
  <c r="M577" i="3"/>
  <c r="U577" i="3"/>
  <c r="AE577" i="3"/>
  <c r="AF577" i="3"/>
  <c r="V577" i="3"/>
  <c r="F577" i="3"/>
  <c r="G577" i="3"/>
  <c r="H577" i="3" s="1"/>
  <c r="BA574" i="3"/>
  <c r="AV574" i="3"/>
  <c r="BG573" i="3" l="1"/>
  <c r="BH573" i="3" s="1"/>
  <c r="BI573" i="3" s="1"/>
  <c r="BM577" i="3"/>
  <c r="AU576" i="3"/>
  <c r="AN577" i="3"/>
  <c r="BC574" i="3"/>
  <c r="BD574" i="3" s="1"/>
  <c r="BN577" i="3"/>
  <c r="AW576" i="3"/>
  <c r="AT576" i="3"/>
  <c r="BQ574" i="3"/>
  <c r="BB574" i="3"/>
  <c r="BF574" i="3"/>
  <c r="BJ573" i="3" s="1"/>
  <c r="BK573" i="3" s="1"/>
  <c r="AR578" i="3"/>
  <c r="AQ578" i="3"/>
  <c r="B578" i="3"/>
  <c r="A579" i="3"/>
  <c r="C578" i="3"/>
  <c r="D578" i="3"/>
  <c r="AM578" i="3"/>
  <c r="AK578" i="3"/>
  <c r="S578" i="3"/>
  <c r="AD578" i="3"/>
  <c r="P578" i="3"/>
  <c r="R578" i="3"/>
  <c r="Q578" i="3"/>
  <c r="O578" i="3"/>
  <c r="M578" i="3"/>
  <c r="AE578" i="3"/>
  <c r="AF578" i="3"/>
  <c r="U578" i="3"/>
  <c r="V578" i="3"/>
  <c r="G578" i="3"/>
  <c r="H578" i="3" s="1"/>
  <c r="F578" i="3"/>
  <c r="BM578" i="3" s="1"/>
  <c r="T578" i="3"/>
  <c r="BA575" i="3"/>
  <c r="AV575" i="3"/>
  <c r="AG577" i="3"/>
  <c r="AO577" i="3"/>
  <c r="Y577" i="3"/>
  <c r="Z577" i="3" s="1"/>
  <c r="AH577" i="3"/>
  <c r="X577" i="3"/>
  <c r="AX576" i="3"/>
  <c r="AY575" i="3"/>
  <c r="BN578" i="3" l="1"/>
  <c r="AV576" i="3"/>
  <c r="BG574" i="3"/>
  <c r="BH574" i="3" s="1"/>
  <c r="BI574" i="3" s="1"/>
  <c r="AU577" i="3"/>
  <c r="BA576" i="3"/>
  <c r="BB576" i="3" s="1"/>
  <c r="AT577" i="3"/>
  <c r="AN578" i="3"/>
  <c r="AH578" i="3"/>
  <c r="A580" i="3"/>
  <c r="AQ579" i="3"/>
  <c r="AR579" i="3"/>
  <c r="B579" i="3"/>
  <c r="C579" i="3"/>
  <c r="AK579" i="3"/>
  <c r="AM579" i="3"/>
  <c r="S579" i="3"/>
  <c r="D579" i="3"/>
  <c r="R579" i="3"/>
  <c r="Q579" i="3"/>
  <c r="AD579" i="3"/>
  <c r="T579" i="3"/>
  <c r="P579" i="3"/>
  <c r="M579" i="3"/>
  <c r="AE579" i="3"/>
  <c r="AF579" i="3"/>
  <c r="V579" i="3"/>
  <c r="O579" i="3"/>
  <c r="U579" i="3"/>
  <c r="F579" i="3"/>
  <c r="BM579" i="3" s="1"/>
  <c r="G579" i="3"/>
  <c r="H579" i="3" s="1"/>
  <c r="AY576" i="3"/>
  <c r="AX577" i="3"/>
  <c r="AW577" i="3"/>
  <c r="BC575" i="3"/>
  <c r="Y578" i="3"/>
  <c r="Z578" i="3" s="1"/>
  <c r="AG578" i="3"/>
  <c r="AO578" i="3"/>
  <c r="BF575" i="3"/>
  <c r="BJ574" i="3" s="1"/>
  <c r="BK574" i="3" s="1"/>
  <c r="BB575" i="3"/>
  <c r="BQ575" i="3"/>
  <c r="X578" i="3"/>
  <c r="BC576" i="3" l="1"/>
  <c r="BG576" i="3" s="1"/>
  <c r="BH576" i="3" s="1"/>
  <c r="BI576" i="3" s="1"/>
  <c r="BQ576" i="3"/>
  <c r="AV577" i="3"/>
  <c r="BF576" i="3"/>
  <c r="BJ575" i="3" s="1"/>
  <c r="BK575" i="3" s="1"/>
  <c r="AU578" i="3"/>
  <c r="AN579" i="3"/>
  <c r="AT578" i="3"/>
  <c r="AX578" i="3"/>
  <c r="AY577" i="3"/>
  <c r="BA577" i="3"/>
  <c r="BQ577" i="3" s="1"/>
  <c r="Y579" i="3"/>
  <c r="Z579" i="3" s="1"/>
  <c r="BD575" i="3"/>
  <c r="BG575" i="3"/>
  <c r="BH575" i="3" s="1"/>
  <c r="BI575" i="3" s="1"/>
  <c r="AW578" i="3"/>
  <c r="BN579" i="3"/>
  <c r="AG579" i="3"/>
  <c r="AH579" i="3"/>
  <c r="AO579" i="3"/>
  <c r="A581" i="3"/>
  <c r="AR580" i="3"/>
  <c r="B580" i="3"/>
  <c r="AQ580" i="3"/>
  <c r="C580" i="3"/>
  <c r="AK580" i="3"/>
  <c r="S580" i="3"/>
  <c r="AM580" i="3"/>
  <c r="D580" i="3"/>
  <c r="Q580" i="3"/>
  <c r="R580" i="3"/>
  <c r="AD580" i="3"/>
  <c r="T580" i="3"/>
  <c r="P580" i="3"/>
  <c r="M580" i="3"/>
  <c r="AF580" i="3"/>
  <c r="U580" i="3"/>
  <c r="V580" i="3"/>
  <c r="O580" i="3"/>
  <c r="AE580" i="3"/>
  <c r="F580" i="3"/>
  <c r="BM580" i="3" s="1"/>
  <c r="G580" i="3"/>
  <c r="H580" i="3" s="1"/>
  <c r="X579" i="3"/>
  <c r="AG580" i="3" l="1"/>
  <c r="BD576" i="3"/>
  <c r="AY578" i="3"/>
  <c r="BC577" i="3"/>
  <c r="BD577" i="3" s="1"/>
  <c r="AV578" i="3"/>
  <c r="AN580" i="3"/>
  <c r="BN580" i="3"/>
  <c r="BA578" i="3"/>
  <c r="BQ578" i="3" s="1"/>
  <c r="AU579" i="3"/>
  <c r="AX579" i="3"/>
  <c r="BB577" i="3"/>
  <c r="BF577" i="3"/>
  <c r="BJ576" i="3" s="1"/>
  <c r="BK576" i="3" s="1"/>
  <c r="AR581" i="3"/>
  <c r="A582" i="3"/>
  <c r="AQ581" i="3"/>
  <c r="B581" i="3"/>
  <c r="C581" i="3"/>
  <c r="D581" i="3"/>
  <c r="R581" i="3"/>
  <c r="Q581" i="3"/>
  <c r="AM581" i="3"/>
  <c r="AK581" i="3"/>
  <c r="S581" i="3"/>
  <c r="AD581" i="3"/>
  <c r="P581" i="3"/>
  <c r="M581" i="3"/>
  <c r="AE581" i="3"/>
  <c r="O581" i="3"/>
  <c r="AF581" i="3"/>
  <c r="U581" i="3"/>
  <c r="V581" i="3"/>
  <c r="G581" i="3"/>
  <c r="H581" i="3" s="1"/>
  <c r="F581" i="3"/>
  <c r="BM581" i="3" s="1"/>
  <c r="T581" i="3"/>
  <c r="Y580" i="3"/>
  <c r="Z580" i="3" s="1"/>
  <c r="X580" i="3"/>
  <c r="AT579" i="3"/>
  <c r="AW579" i="3"/>
  <c r="AH580" i="3"/>
  <c r="AO580" i="3"/>
  <c r="BC578" i="3" l="1"/>
  <c r="BD578" i="3" s="1"/>
  <c r="BN581" i="3"/>
  <c r="BG577" i="3"/>
  <c r="BH577" i="3" s="1"/>
  <c r="BI577" i="3" s="1"/>
  <c r="BF578" i="3"/>
  <c r="BJ577" i="3" s="1"/>
  <c r="BK577" i="3" s="1"/>
  <c r="BB578" i="3"/>
  <c r="AY579" i="3"/>
  <c r="AX580" i="3"/>
  <c r="AN581" i="3"/>
  <c r="AV579" i="3"/>
  <c r="BA579" i="3"/>
  <c r="AR582" i="3"/>
  <c r="AQ582" i="3"/>
  <c r="B582" i="3"/>
  <c r="A583" i="3"/>
  <c r="C582" i="3"/>
  <c r="D582" i="3"/>
  <c r="AM582" i="3"/>
  <c r="T582" i="3"/>
  <c r="AK582" i="3"/>
  <c r="S582" i="3"/>
  <c r="R582" i="3"/>
  <c r="Q582" i="3"/>
  <c r="AD582" i="3"/>
  <c r="P582" i="3"/>
  <c r="AE582" i="3"/>
  <c r="M582" i="3"/>
  <c r="O582" i="3"/>
  <c r="AF582" i="3"/>
  <c r="U582" i="3"/>
  <c r="V582" i="3"/>
  <c r="G582" i="3"/>
  <c r="H582" i="3" s="1"/>
  <c r="F582" i="3"/>
  <c r="AW580" i="3"/>
  <c r="Y581" i="3"/>
  <c r="Z581" i="3" s="1"/>
  <c r="AH581" i="3"/>
  <c r="AO581" i="3"/>
  <c r="AT580" i="3"/>
  <c r="AU580" i="3"/>
  <c r="AG581" i="3"/>
  <c r="X581" i="3"/>
  <c r="AY580" i="3" l="1"/>
  <c r="BG578" i="3"/>
  <c r="BH578" i="3" s="1"/>
  <c r="BI578" i="3" s="1"/>
  <c r="AO582" i="3"/>
  <c r="BN582" i="3"/>
  <c r="BM582" i="3"/>
  <c r="BC579" i="3"/>
  <c r="BG579" i="3" s="1"/>
  <c r="BH579" i="3" s="1"/>
  <c r="BI579" i="3" s="1"/>
  <c r="AW581" i="3"/>
  <c r="AX581" i="3"/>
  <c r="AG582" i="3"/>
  <c r="AH582" i="3"/>
  <c r="AN582" i="3"/>
  <c r="X582" i="3"/>
  <c r="AV580" i="3"/>
  <c r="BA580" i="3"/>
  <c r="Y582" i="3"/>
  <c r="Z582" i="3" s="1"/>
  <c r="A584" i="3"/>
  <c r="AQ583" i="3"/>
  <c r="AR583" i="3"/>
  <c r="B583" i="3"/>
  <c r="C583" i="3"/>
  <c r="D583" i="3"/>
  <c r="AK583" i="3"/>
  <c r="AM583" i="3"/>
  <c r="S583" i="3"/>
  <c r="R583" i="3"/>
  <c r="P583" i="3"/>
  <c r="Q583" i="3"/>
  <c r="AD583" i="3"/>
  <c r="O583" i="3"/>
  <c r="V583" i="3"/>
  <c r="AF583" i="3"/>
  <c r="AE583" i="3"/>
  <c r="M583" i="3"/>
  <c r="U583" i="3"/>
  <c r="G583" i="3"/>
  <c r="H583" i="3" s="1"/>
  <c r="F583" i="3"/>
  <c r="T583" i="3"/>
  <c r="BQ579" i="3"/>
  <c r="BF579" i="3"/>
  <c r="BJ578" i="3" s="1"/>
  <c r="BK578" i="3" s="1"/>
  <c r="BB579" i="3"/>
  <c r="AU581" i="3"/>
  <c r="AT581" i="3"/>
  <c r="BC580" i="3" l="1"/>
  <c r="BD580" i="3" s="1"/>
  <c r="BM583" i="3"/>
  <c r="BN583" i="3"/>
  <c r="BD579" i="3"/>
  <c r="AO583" i="3"/>
  <c r="AG583" i="3"/>
  <c r="AT582" i="3"/>
  <c r="AY581" i="3"/>
  <c r="AU582" i="3"/>
  <c r="Y583" i="3"/>
  <c r="Z583" i="3" s="1"/>
  <c r="AX582" i="3"/>
  <c r="BQ580" i="3"/>
  <c r="BB580" i="3"/>
  <c r="BF580" i="3"/>
  <c r="BJ579" i="3" s="1"/>
  <c r="BK579" i="3" s="1"/>
  <c r="AN583" i="3"/>
  <c r="AW582" i="3"/>
  <c r="AV581" i="3"/>
  <c r="BA581" i="3"/>
  <c r="A585" i="3"/>
  <c r="AR584" i="3"/>
  <c r="B584" i="3"/>
  <c r="AQ584" i="3"/>
  <c r="D584" i="3"/>
  <c r="AM584" i="3"/>
  <c r="AK584" i="3"/>
  <c r="R584" i="3"/>
  <c r="C584" i="3"/>
  <c r="S584" i="3"/>
  <c r="Q584" i="3"/>
  <c r="AD584" i="3"/>
  <c r="P584" i="3"/>
  <c r="O584" i="3"/>
  <c r="AE584" i="3"/>
  <c r="AF584" i="3"/>
  <c r="U584" i="3"/>
  <c r="V584" i="3"/>
  <c r="M584" i="3"/>
  <c r="F584" i="3"/>
  <c r="G584" i="3"/>
  <c r="H584" i="3" s="1"/>
  <c r="BN584" i="3" s="1"/>
  <c r="T584" i="3"/>
  <c r="AH583" i="3"/>
  <c r="X583" i="3"/>
  <c r="BG580" i="3" l="1"/>
  <c r="BH580" i="3" s="1"/>
  <c r="BI580" i="3" s="1"/>
  <c r="BC581" i="3"/>
  <c r="BG581" i="3" s="1"/>
  <c r="BH581" i="3" s="1"/>
  <c r="BI581" i="3" s="1"/>
  <c r="AV582" i="3"/>
  <c r="AY582" i="3"/>
  <c r="BM584" i="3"/>
  <c r="AX583" i="3"/>
  <c r="AN584" i="3"/>
  <c r="Y584" i="3"/>
  <c r="Z584" i="3" s="1"/>
  <c r="BB581" i="3"/>
  <c r="BF581" i="3"/>
  <c r="BJ580" i="3" s="1"/>
  <c r="BK580" i="3" s="1"/>
  <c r="BQ581" i="3"/>
  <c r="AT583" i="3"/>
  <c r="AH584" i="3"/>
  <c r="BA582" i="3"/>
  <c r="AR585" i="3"/>
  <c r="A586" i="3"/>
  <c r="AQ585" i="3"/>
  <c r="B585" i="3"/>
  <c r="D585" i="3"/>
  <c r="S585" i="3"/>
  <c r="C585" i="3"/>
  <c r="AM585" i="3"/>
  <c r="AK585" i="3"/>
  <c r="R585" i="3"/>
  <c r="Q585" i="3"/>
  <c r="AD585" i="3"/>
  <c r="P585" i="3"/>
  <c r="O585" i="3"/>
  <c r="AE585" i="3"/>
  <c r="M585" i="3"/>
  <c r="AF585" i="3"/>
  <c r="U585" i="3"/>
  <c r="V585" i="3"/>
  <c r="F585" i="3"/>
  <c r="G585" i="3"/>
  <c r="H585" i="3" s="1"/>
  <c r="BN585" i="3" s="1"/>
  <c r="T585" i="3"/>
  <c r="AW583" i="3"/>
  <c r="AG584" i="3"/>
  <c r="X584" i="3"/>
  <c r="AO584" i="3"/>
  <c r="AU583" i="3"/>
  <c r="BD581" i="3" l="1"/>
  <c r="BC582" i="3"/>
  <c r="BG582" i="3" s="1"/>
  <c r="BH582" i="3" s="1"/>
  <c r="BI582" i="3" s="1"/>
  <c r="AY583" i="3"/>
  <c r="BM585" i="3"/>
  <c r="AO585" i="3"/>
  <c r="AH585" i="3"/>
  <c r="AT584" i="3"/>
  <c r="AG585" i="3"/>
  <c r="X585" i="3"/>
  <c r="AX584" i="3"/>
  <c r="AR586" i="3"/>
  <c r="AQ586" i="3"/>
  <c r="B586" i="3"/>
  <c r="A587" i="3"/>
  <c r="D586" i="3"/>
  <c r="AK586" i="3"/>
  <c r="AM586" i="3"/>
  <c r="R586" i="3"/>
  <c r="C586" i="3"/>
  <c r="Q586" i="3"/>
  <c r="S586" i="3"/>
  <c r="AD586" i="3"/>
  <c r="P586" i="3"/>
  <c r="AE586" i="3"/>
  <c r="O586" i="3"/>
  <c r="M586" i="3"/>
  <c r="V586" i="3"/>
  <c r="AF586" i="3"/>
  <c r="U586" i="3"/>
  <c r="G586" i="3"/>
  <c r="H586" i="3" s="1"/>
  <c r="F586" i="3"/>
  <c r="BM586" i="3" s="1"/>
  <c r="T586" i="3"/>
  <c r="BB582" i="3"/>
  <c r="BQ582" i="3"/>
  <c r="BF582" i="3"/>
  <c r="BJ581" i="3" s="1"/>
  <c r="BK581" i="3" s="1"/>
  <c r="AV583" i="3"/>
  <c r="BA583" i="3"/>
  <c r="AW584" i="3"/>
  <c r="Y585" i="3"/>
  <c r="Z585" i="3" s="1"/>
  <c r="AN585" i="3"/>
  <c r="AU584" i="3"/>
  <c r="BD582" i="3" l="1"/>
  <c r="AT585" i="3"/>
  <c r="BC583" i="3"/>
  <c r="BD583" i="3" s="1"/>
  <c r="AU585" i="3"/>
  <c r="AH586" i="3"/>
  <c r="AV584" i="3"/>
  <c r="AN586" i="3"/>
  <c r="AX585" i="3"/>
  <c r="BA584" i="3"/>
  <c r="BQ584" i="3" s="1"/>
  <c r="BQ583" i="3"/>
  <c r="BF583" i="3"/>
  <c r="BJ582" i="3" s="1"/>
  <c r="BK582" i="3" s="1"/>
  <c r="BB583" i="3"/>
  <c r="A588" i="3"/>
  <c r="AQ587" i="3"/>
  <c r="AR587" i="3"/>
  <c r="B587" i="3"/>
  <c r="C587" i="3"/>
  <c r="D587" i="3"/>
  <c r="AK587" i="3"/>
  <c r="AM587" i="3"/>
  <c r="T587" i="3"/>
  <c r="R587" i="3"/>
  <c r="S587" i="3"/>
  <c r="Q587" i="3"/>
  <c r="AD587" i="3"/>
  <c r="O587" i="3"/>
  <c r="AF587" i="3"/>
  <c r="M587" i="3"/>
  <c r="U587" i="3"/>
  <c r="V587" i="3"/>
  <c r="P587" i="3"/>
  <c r="AE587" i="3"/>
  <c r="G587" i="3"/>
  <c r="H587" i="3" s="1"/>
  <c r="F587" i="3"/>
  <c r="X586" i="3"/>
  <c r="Y586" i="3"/>
  <c r="Z586" i="3" s="1"/>
  <c r="BN586" i="3"/>
  <c r="AG586" i="3"/>
  <c r="AO586" i="3"/>
  <c r="AY584" i="3"/>
  <c r="AW585" i="3"/>
  <c r="AV585" i="3" l="1"/>
  <c r="AY585" i="3"/>
  <c r="BG583" i="3"/>
  <c r="BH583" i="3" s="1"/>
  <c r="BI583" i="3" s="1"/>
  <c r="AW586" i="3"/>
  <c r="AN587" i="3"/>
  <c r="BC584" i="3"/>
  <c r="BD584" i="3" s="1"/>
  <c r="BM587" i="3"/>
  <c r="AU586" i="3"/>
  <c r="AG587" i="3"/>
  <c r="BF584" i="3"/>
  <c r="BJ583" i="3" s="1"/>
  <c r="BK583" i="3" s="1"/>
  <c r="BB584" i="3"/>
  <c r="Y587" i="3"/>
  <c r="Z587" i="3" s="1"/>
  <c r="A589" i="3"/>
  <c r="AR588" i="3"/>
  <c r="B588" i="3"/>
  <c r="AQ588" i="3"/>
  <c r="C588" i="3"/>
  <c r="D588" i="3"/>
  <c r="S588" i="3"/>
  <c r="AM588" i="3"/>
  <c r="AK588" i="3"/>
  <c r="Q588" i="3"/>
  <c r="P588" i="3"/>
  <c r="R588" i="3"/>
  <c r="AD588" i="3"/>
  <c r="O588" i="3"/>
  <c r="AE588" i="3"/>
  <c r="M588" i="3"/>
  <c r="U588" i="3"/>
  <c r="AF588" i="3"/>
  <c r="V588" i="3"/>
  <c r="G588" i="3"/>
  <c r="H588" i="3" s="1"/>
  <c r="F588" i="3"/>
  <c r="T588" i="3"/>
  <c r="BA585" i="3"/>
  <c r="AX586" i="3"/>
  <c r="AT586" i="3"/>
  <c r="BN587" i="3"/>
  <c r="AH587" i="3"/>
  <c r="AO587" i="3"/>
  <c r="X587" i="3"/>
  <c r="BM588" i="3" l="1"/>
  <c r="BN588" i="3"/>
  <c r="BC585" i="3"/>
  <c r="BD585" i="3" s="1"/>
  <c r="BG584" i="3"/>
  <c r="BH584" i="3" s="1"/>
  <c r="BI584" i="3" s="1"/>
  <c r="AY586" i="3"/>
  <c r="AN588" i="3"/>
  <c r="AX587" i="3"/>
  <c r="BB585" i="3"/>
  <c r="BF585" i="3"/>
  <c r="BJ584" i="3" s="1"/>
  <c r="BK584" i="3" s="1"/>
  <c r="BQ585" i="3"/>
  <c r="AR589" i="3"/>
  <c r="A590" i="3"/>
  <c r="AQ589" i="3"/>
  <c r="B589" i="3"/>
  <c r="C589" i="3"/>
  <c r="AM589" i="3"/>
  <c r="AK589" i="3"/>
  <c r="S589" i="3"/>
  <c r="Q589" i="3"/>
  <c r="D589" i="3"/>
  <c r="T589" i="3"/>
  <c r="R589" i="3"/>
  <c r="AD589" i="3"/>
  <c r="P589" i="3"/>
  <c r="O589" i="3"/>
  <c r="AE589" i="3"/>
  <c r="AF589" i="3"/>
  <c r="V589" i="3"/>
  <c r="M589" i="3"/>
  <c r="U589" i="3"/>
  <c r="G589" i="3"/>
  <c r="H589" i="3" s="1"/>
  <c r="F589" i="3"/>
  <c r="AW587" i="3"/>
  <c r="Y588" i="3"/>
  <c r="Z588" i="3" s="1"/>
  <c r="AT587" i="3"/>
  <c r="AU587" i="3"/>
  <c r="AG588" i="3"/>
  <c r="AH588" i="3"/>
  <c r="AO588" i="3"/>
  <c r="X588" i="3"/>
  <c r="AV586" i="3"/>
  <c r="BA586" i="3"/>
  <c r="AY587" i="3" l="1"/>
  <c r="BG585" i="3"/>
  <c r="BH585" i="3" s="1"/>
  <c r="BI585" i="3" s="1"/>
  <c r="BM589" i="3"/>
  <c r="BC586" i="3"/>
  <c r="BD586" i="3" s="1"/>
  <c r="AN589" i="3"/>
  <c r="AU588" i="3"/>
  <c r="AX588" i="3"/>
  <c r="AG589" i="3"/>
  <c r="AV587" i="3"/>
  <c r="BA587" i="3"/>
  <c r="AT588" i="3"/>
  <c r="AW588" i="3"/>
  <c r="BN589" i="3"/>
  <c r="AH589" i="3"/>
  <c r="AO589" i="3"/>
  <c r="X589" i="3"/>
  <c r="BQ586" i="3"/>
  <c r="BF586" i="3"/>
  <c r="BJ585" i="3" s="1"/>
  <c r="BK585" i="3" s="1"/>
  <c r="BB586" i="3"/>
  <c r="Y589" i="3"/>
  <c r="Z589" i="3" s="1"/>
  <c r="AR590" i="3"/>
  <c r="AQ590" i="3"/>
  <c r="B590" i="3"/>
  <c r="A591" i="3"/>
  <c r="D590" i="3"/>
  <c r="C590" i="3"/>
  <c r="AK590" i="3"/>
  <c r="AM590" i="3"/>
  <c r="S590" i="3"/>
  <c r="R590" i="3"/>
  <c r="Q590" i="3"/>
  <c r="T590" i="3"/>
  <c r="AD590" i="3"/>
  <c r="P590" i="3"/>
  <c r="O590" i="3"/>
  <c r="M590" i="3"/>
  <c r="V590" i="3"/>
  <c r="AE590" i="3"/>
  <c r="AF590" i="3"/>
  <c r="U590" i="3"/>
  <c r="F590" i="3"/>
  <c r="G590" i="3"/>
  <c r="H590" i="3" s="1"/>
  <c r="BC587" i="3" l="1"/>
  <c r="BG587" i="3" s="1"/>
  <c r="BH587" i="3" s="1"/>
  <c r="BI587" i="3" s="1"/>
  <c r="BG586" i="3"/>
  <c r="BH586" i="3" s="1"/>
  <c r="BI586" i="3" s="1"/>
  <c r="AN590" i="3"/>
  <c r="BN590" i="3"/>
  <c r="AU589" i="3"/>
  <c r="AW589" i="3"/>
  <c r="AY588" i="3"/>
  <c r="AT589" i="3"/>
  <c r="AG590" i="3"/>
  <c r="A592" i="3"/>
  <c r="AQ591" i="3"/>
  <c r="AR591" i="3"/>
  <c r="B591" i="3"/>
  <c r="C591" i="3"/>
  <c r="T591" i="3"/>
  <c r="D591" i="3"/>
  <c r="AM591" i="3"/>
  <c r="AK591" i="3"/>
  <c r="S591" i="3"/>
  <c r="R591" i="3"/>
  <c r="Q591" i="3"/>
  <c r="AD591" i="3"/>
  <c r="AE591" i="3"/>
  <c r="P591" i="3"/>
  <c r="O591" i="3"/>
  <c r="AF591" i="3"/>
  <c r="V591" i="3"/>
  <c r="U591" i="3"/>
  <c r="M591" i="3"/>
  <c r="F591" i="3"/>
  <c r="BM591" i="3" s="1"/>
  <c r="G591" i="3"/>
  <c r="H591" i="3" s="1"/>
  <c r="Y590" i="3"/>
  <c r="Z590" i="3" s="1"/>
  <c r="AV588" i="3"/>
  <c r="BA588" i="3"/>
  <c r="X590" i="3"/>
  <c r="BM590" i="3"/>
  <c r="AH590" i="3"/>
  <c r="AO590" i="3"/>
  <c r="AX589" i="3"/>
  <c r="BB587" i="3"/>
  <c r="BQ587" i="3"/>
  <c r="BF587" i="3"/>
  <c r="BJ586" i="3" s="1"/>
  <c r="BK586" i="3" s="1"/>
  <c r="BD587" i="3" l="1"/>
  <c r="BC588" i="3"/>
  <c r="BD588" i="3" s="1"/>
  <c r="AU590" i="3"/>
  <c r="AV589" i="3"/>
  <c r="BN591" i="3"/>
  <c r="AY589" i="3"/>
  <c r="AW590" i="3"/>
  <c r="AT590" i="3"/>
  <c r="AH591" i="3"/>
  <c r="AO591" i="3"/>
  <c r="BF588" i="3"/>
  <c r="BJ587" i="3" s="1"/>
  <c r="BK587" i="3" s="1"/>
  <c r="BB588" i="3"/>
  <c r="BQ588" i="3"/>
  <c r="AX590" i="3"/>
  <c r="BA589" i="3"/>
  <c r="AG591" i="3"/>
  <c r="AN591" i="3"/>
  <c r="Y591" i="3"/>
  <c r="Z591" i="3" s="1"/>
  <c r="A593" i="3"/>
  <c r="AR592" i="3"/>
  <c r="B592" i="3"/>
  <c r="AQ592" i="3"/>
  <c r="D592" i="3"/>
  <c r="C592" i="3"/>
  <c r="AK592" i="3"/>
  <c r="T592" i="3"/>
  <c r="S592" i="3"/>
  <c r="AM592" i="3"/>
  <c r="Q592" i="3"/>
  <c r="R592" i="3"/>
  <c r="AD592" i="3"/>
  <c r="O592" i="3"/>
  <c r="M592" i="3"/>
  <c r="AE592" i="3"/>
  <c r="AF592" i="3"/>
  <c r="U592" i="3"/>
  <c r="P592" i="3"/>
  <c r="V592" i="3"/>
  <c r="G592" i="3"/>
  <c r="H592" i="3" s="1"/>
  <c r="BN592" i="3" s="1"/>
  <c r="F592" i="3"/>
  <c r="X591" i="3"/>
  <c r="BM592" i="3" l="1"/>
  <c r="BG588" i="3"/>
  <c r="BH588" i="3" s="1"/>
  <c r="BI588" i="3" s="1"/>
  <c r="AV590" i="3"/>
  <c r="BC589" i="3"/>
  <c r="BD589" i="3" s="1"/>
  <c r="AU591" i="3"/>
  <c r="BA590" i="3"/>
  <c r="BF590" i="3" s="1"/>
  <c r="AX591" i="3"/>
  <c r="AT591" i="3"/>
  <c r="AO592" i="3"/>
  <c r="AY590" i="3"/>
  <c r="AG592" i="3"/>
  <c r="AN592" i="3"/>
  <c r="X592" i="3"/>
  <c r="AW591" i="3"/>
  <c r="Y592" i="3"/>
  <c r="Z592" i="3" s="1"/>
  <c r="AR593" i="3"/>
  <c r="A594" i="3"/>
  <c r="AQ593" i="3"/>
  <c r="B593" i="3"/>
  <c r="D593" i="3"/>
  <c r="AK593" i="3"/>
  <c r="R593" i="3"/>
  <c r="AM593" i="3"/>
  <c r="C593" i="3"/>
  <c r="Q593" i="3"/>
  <c r="P593" i="3"/>
  <c r="S593" i="3"/>
  <c r="AD593" i="3"/>
  <c r="O593" i="3"/>
  <c r="AF593" i="3"/>
  <c r="V593" i="3"/>
  <c r="AE593" i="3"/>
  <c r="M593" i="3"/>
  <c r="U593" i="3"/>
  <c r="F593" i="3"/>
  <c r="G593" i="3"/>
  <c r="H593" i="3" s="1"/>
  <c r="T593" i="3"/>
  <c r="BQ589" i="3"/>
  <c r="BF589" i="3"/>
  <c r="BJ588" i="3" s="1"/>
  <c r="BK588" i="3" s="1"/>
  <c r="BB589" i="3"/>
  <c r="AH592" i="3"/>
  <c r="BC590" i="3" l="1"/>
  <c r="BD590" i="3" s="1"/>
  <c r="AN593" i="3"/>
  <c r="BN593" i="3"/>
  <c r="BG589" i="3"/>
  <c r="BH589" i="3" s="1"/>
  <c r="BI589" i="3" s="1"/>
  <c r="AG593" i="3"/>
  <c r="BB590" i="3"/>
  <c r="AV591" i="3"/>
  <c r="BJ589" i="3"/>
  <c r="BK589" i="3" s="1"/>
  <c r="BQ590" i="3"/>
  <c r="AY591" i="3"/>
  <c r="AX592" i="3"/>
  <c r="AR594" i="3"/>
  <c r="AQ594" i="3"/>
  <c r="B594" i="3"/>
  <c r="A595" i="3"/>
  <c r="C594" i="3"/>
  <c r="D594" i="3"/>
  <c r="AK594" i="3"/>
  <c r="AM594" i="3"/>
  <c r="S594" i="3"/>
  <c r="AD594" i="3"/>
  <c r="T594" i="3"/>
  <c r="P594" i="3"/>
  <c r="AE594" i="3"/>
  <c r="M594" i="3"/>
  <c r="V594" i="3"/>
  <c r="O594" i="3"/>
  <c r="AF594" i="3"/>
  <c r="U594" i="3"/>
  <c r="R594" i="3"/>
  <c r="Q594" i="3"/>
  <c r="G594" i="3"/>
  <c r="H594" i="3" s="1"/>
  <c r="F594" i="3"/>
  <c r="AH593" i="3"/>
  <c r="Y593" i="3"/>
  <c r="Z593" i="3" s="1"/>
  <c r="BM593" i="3"/>
  <c r="AO593" i="3"/>
  <c r="AT592" i="3"/>
  <c r="AW592" i="3"/>
  <c r="X593" i="3"/>
  <c r="AU592" i="3"/>
  <c r="BA591" i="3"/>
  <c r="BG590" i="3" l="1"/>
  <c r="BH590" i="3" s="1"/>
  <c r="BI590" i="3" s="1"/>
  <c r="AU593" i="3"/>
  <c r="BM594" i="3"/>
  <c r="AV592" i="3"/>
  <c r="BC591" i="3"/>
  <c r="BG591" i="3" s="1"/>
  <c r="BH591" i="3" s="1"/>
  <c r="BI591" i="3" s="1"/>
  <c r="AW593" i="3"/>
  <c r="AN594" i="3"/>
  <c r="BA592" i="3"/>
  <c r="AY592" i="3"/>
  <c r="BB591" i="3"/>
  <c r="BF591" i="3"/>
  <c r="BJ590" i="3" s="1"/>
  <c r="BK590" i="3" s="1"/>
  <c r="BQ591" i="3"/>
  <c r="AT593" i="3"/>
  <c r="AX593" i="3"/>
  <c r="BN594" i="3"/>
  <c r="AH594" i="3"/>
  <c r="AG594" i="3"/>
  <c r="AO594" i="3"/>
  <c r="X594" i="3"/>
  <c r="Y594" i="3"/>
  <c r="Z594" i="3" s="1"/>
  <c r="A596" i="3"/>
  <c r="AQ595" i="3"/>
  <c r="AR595" i="3"/>
  <c r="B595" i="3"/>
  <c r="D595" i="3"/>
  <c r="AM595" i="3"/>
  <c r="C595" i="3"/>
  <c r="AK595" i="3"/>
  <c r="S595" i="3"/>
  <c r="Q595" i="3"/>
  <c r="R595" i="3"/>
  <c r="P595" i="3"/>
  <c r="AD595" i="3"/>
  <c r="M595" i="3"/>
  <c r="AE595" i="3"/>
  <c r="U595" i="3"/>
  <c r="O595" i="3"/>
  <c r="AF595" i="3"/>
  <c r="V595" i="3"/>
  <c r="G595" i="3"/>
  <c r="H595" i="3" s="1"/>
  <c r="F595" i="3"/>
  <c r="T595" i="3"/>
  <c r="BD591" i="3" l="1"/>
  <c r="BM595" i="3"/>
  <c r="BC592" i="3"/>
  <c r="BG592" i="3" s="1"/>
  <c r="BH592" i="3" s="1"/>
  <c r="BI592" i="3" s="1"/>
  <c r="BN595" i="3"/>
  <c r="AY593" i="3"/>
  <c r="AO595" i="3"/>
  <c r="AT594" i="3"/>
  <c r="AU594" i="3"/>
  <c r="A597" i="3"/>
  <c r="AR596" i="3"/>
  <c r="B596" i="3"/>
  <c r="AQ596" i="3"/>
  <c r="D596" i="3"/>
  <c r="C596" i="3"/>
  <c r="S596" i="3"/>
  <c r="AK596" i="3"/>
  <c r="AM596" i="3"/>
  <c r="Q596" i="3"/>
  <c r="AD596" i="3"/>
  <c r="P596" i="3"/>
  <c r="R596" i="3"/>
  <c r="O596" i="3"/>
  <c r="M596" i="3"/>
  <c r="U596" i="3"/>
  <c r="AE596" i="3"/>
  <c r="AF596" i="3"/>
  <c r="V596" i="3"/>
  <c r="G596" i="3"/>
  <c r="H596" i="3" s="1"/>
  <c r="F596" i="3"/>
  <c r="T596" i="3"/>
  <c r="AV593" i="3"/>
  <c r="BA593" i="3"/>
  <c r="AN595" i="3"/>
  <c r="AG595" i="3"/>
  <c r="AH595" i="3"/>
  <c r="X595" i="3"/>
  <c r="AW594" i="3"/>
  <c r="BQ592" i="3"/>
  <c r="BB592" i="3"/>
  <c r="BF592" i="3"/>
  <c r="BJ591" i="3" s="1"/>
  <c r="BK591" i="3" s="1"/>
  <c r="Y595" i="3"/>
  <c r="Z595" i="3" s="1"/>
  <c r="AX594" i="3"/>
  <c r="BD592" i="3" l="1"/>
  <c r="BC593" i="3"/>
  <c r="BG593" i="3" s="1"/>
  <c r="BH593" i="3" s="1"/>
  <c r="BI593" i="3" s="1"/>
  <c r="BM596" i="3"/>
  <c r="AG596" i="3"/>
  <c r="AV594" i="3"/>
  <c r="AU595" i="3"/>
  <c r="AX595" i="3"/>
  <c r="AN596" i="3"/>
  <c r="AY594" i="3"/>
  <c r="BB593" i="3"/>
  <c r="BF593" i="3"/>
  <c r="BJ592" i="3" s="1"/>
  <c r="BK592" i="3" s="1"/>
  <c r="BQ593" i="3"/>
  <c r="AW595" i="3"/>
  <c r="BA594" i="3"/>
  <c r="AT595" i="3"/>
  <c r="Y596" i="3"/>
  <c r="Z596" i="3" s="1"/>
  <c r="BN596" i="3"/>
  <c r="AH596" i="3"/>
  <c r="AO596" i="3"/>
  <c r="X596" i="3"/>
  <c r="AR597" i="3"/>
  <c r="A598" i="3"/>
  <c r="AQ597" i="3"/>
  <c r="B597" i="3"/>
  <c r="C597" i="3"/>
  <c r="AK597" i="3"/>
  <c r="AM597" i="3"/>
  <c r="T597" i="3"/>
  <c r="D597" i="3"/>
  <c r="R597" i="3"/>
  <c r="S597" i="3"/>
  <c r="AD597" i="3"/>
  <c r="O597" i="3"/>
  <c r="AE597" i="3"/>
  <c r="M597" i="3"/>
  <c r="AF597" i="3"/>
  <c r="V597" i="3"/>
  <c r="U597" i="3"/>
  <c r="P597" i="3"/>
  <c r="Q597" i="3"/>
  <c r="G597" i="3"/>
  <c r="H597" i="3" s="1"/>
  <c r="F597" i="3"/>
  <c r="BN597" i="3" l="1"/>
  <c r="BD593" i="3"/>
  <c r="BC594" i="3"/>
  <c r="BD594" i="3" s="1"/>
  <c r="AY595" i="3"/>
  <c r="BM597" i="3"/>
  <c r="AV595" i="3"/>
  <c r="AO597" i="3"/>
  <c r="AX596" i="3"/>
  <c r="AT596" i="3"/>
  <c r="BA595" i="3"/>
  <c r="BF595" i="3" s="1"/>
  <c r="Y597" i="3"/>
  <c r="Z597" i="3" s="1"/>
  <c r="AN597" i="3"/>
  <c r="X597" i="3"/>
  <c r="AU596" i="3"/>
  <c r="AR598" i="3"/>
  <c r="AQ598" i="3"/>
  <c r="B598" i="3"/>
  <c r="A599" i="3"/>
  <c r="C598" i="3"/>
  <c r="S598" i="3"/>
  <c r="Q598" i="3"/>
  <c r="D598" i="3"/>
  <c r="AM598" i="3"/>
  <c r="AK598" i="3"/>
  <c r="R598" i="3"/>
  <c r="AD598" i="3"/>
  <c r="P598" i="3"/>
  <c r="O598" i="3"/>
  <c r="M598" i="3"/>
  <c r="AE598" i="3"/>
  <c r="AF598" i="3"/>
  <c r="U598" i="3"/>
  <c r="V598" i="3"/>
  <c r="F598" i="3"/>
  <c r="G598" i="3"/>
  <c r="H598" i="3" s="1"/>
  <c r="T598" i="3"/>
  <c r="BQ594" i="3"/>
  <c r="BF594" i="3"/>
  <c r="BJ593" i="3" s="1"/>
  <c r="BK593" i="3" s="1"/>
  <c r="BB594" i="3"/>
  <c r="AG597" i="3"/>
  <c r="AH597" i="3"/>
  <c r="AW596" i="3"/>
  <c r="BG594" i="3" l="1"/>
  <c r="BH594" i="3" s="1"/>
  <c r="BI594" i="3" s="1"/>
  <c r="BC595" i="3"/>
  <c r="BD595" i="3" s="1"/>
  <c r="BN598" i="3"/>
  <c r="AV596" i="3"/>
  <c r="AN598" i="3"/>
  <c r="AX597" i="3"/>
  <c r="BB595" i="3"/>
  <c r="BQ595" i="3"/>
  <c r="A600" i="3"/>
  <c r="AQ599" i="3"/>
  <c r="AR599" i="3"/>
  <c r="B599" i="3"/>
  <c r="C599" i="3"/>
  <c r="D599" i="3"/>
  <c r="AM599" i="3"/>
  <c r="AK599" i="3"/>
  <c r="T599" i="3"/>
  <c r="S599" i="3"/>
  <c r="Q599" i="3"/>
  <c r="AD599" i="3"/>
  <c r="R599" i="3"/>
  <c r="P599" i="3"/>
  <c r="M599" i="3"/>
  <c r="AF599" i="3"/>
  <c r="AE599" i="3"/>
  <c r="U599" i="3"/>
  <c r="O599" i="3"/>
  <c r="V599" i="3"/>
  <c r="G599" i="3"/>
  <c r="H599" i="3" s="1"/>
  <c r="F599" i="3"/>
  <c r="AW597" i="3"/>
  <c r="Y598" i="3"/>
  <c r="Z598" i="3" s="1"/>
  <c r="BM598" i="3"/>
  <c r="AG598" i="3"/>
  <c r="AH598" i="3"/>
  <c r="AO598" i="3"/>
  <c r="AT597" i="3"/>
  <c r="BJ594" i="3"/>
  <c r="BK594" i="3" s="1"/>
  <c r="BA596" i="3"/>
  <c r="AY596" i="3"/>
  <c r="X598" i="3"/>
  <c r="AU597" i="3"/>
  <c r="BG595" i="3" l="1"/>
  <c r="BH595" i="3" s="1"/>
  <c r="BI595" i="3" s="1"/>
  <c r="BC596" i="3"/>
  <c r="BG596" i="3" s="1"/>
  <c r="BH596" i="3" s="1"/>
  <c r="BI596" i="3" s="1"/>
  <c r="BM599" i="3"/>
  <c r="AV597" i="3"/>
  <c r="AT598" i="3"/>
  <c r="AU598" i="3"/>
  <c r="AO599" i="3"/>
  <c r="BF596" i="3"/>
  <c r="BJ595" i="3" s="1"/>
  <c r="BK595" i="3" s="1"/>
  <c r="BQ596" i="3"/>
  <c r="BB596" i="3"/>
  <c r="BA597" i="3"/>
  <c r="AY597" i="3"/>
  <c r="A601" i="3"/>
  <c r="AR600" i="3"/>
  <c r="B600" i="3"/>
  <c r="AQ600" i="3"/>
  <c r="D600" i="3"/>
  <c r="C600" i="3"/>
  <c r="S600" i="3"/>
  <c r="AK600" i="3"/>
  <c r="AM600" i="3"/>
  <c r="T600" i="3"/>
  <c r="R600" i="3"/>
  <c r="P600" i="3"/>
  <c r="AD600" i="3"/>
  <c r="O600" i="3"/>
  <c r="M600" i="3"/>
  <c r="U600" i="3"/>
  <c r="AE600" i="3"/>
  <c r="AF600" i="3"/>
  <c r="V600" i="3"/>
  <c r="Q600" i="3"/>
  <c r="G600" i="3"/>
  <c r="H600" i="3" s="1"/>
  <c r="F600" i="3"/>
  <c r="BM600" i="3" s="1"/>
  <c r="AX598" i="3"/>
  <c r="BN599" i="3"/>
  <c r="AG599" i="3"/>
  <c r="AN599" i="3"/>
  <c r="X599" i="3"/>
  <c r="Y599" i="3"/>
  <c r="Z599" i="3" s="1"/>
  <c r="AW598" i="3"/>
  <c r="AH599" i="3"/>
  <c r="BN600" i="3" l="1"/>
  <c r="BC597" i="3"/>
  <c r="BD597" i="3" s="1"/>
  <c r="BD596" i="3"/>
  <c r="AY598" i="3"/>
  <c r="AG600" i="3"/>
  <c r="AV598" i="3"/>
  <c r="AN600" i="3"/>
  <c r="AU599" i="3"/>
  <c r="AX599" i="3"/>
  <c r="AT599" i="3"/>
  <c r="AW599" i="3"/>
  <c r="AH600" i="3"/>
  <c r="AO600" i="3"/>
  <c r="X600" i="3"/>
  <c r="Y600" i="3"/>
  <c r="Z600" i="3" s="1"/>
  <c r="AR601" i="3"/>
  <c r="A602" i="3"/>
  <c r="AQ601" i="3"/>
  <c r="B601" i="3"/>
  <c r="D601" i="3"/>
  <c r="AM601" i="3"/>
  <c r="T601" i="3"/>
  <c r="C601" i="3"/>
  <c r="AK601" i="3"/>
  <c r="P601" i="3"/>
  <c r="S601" i="3"/>
  <c r="Q601" i="3"/>
  <c r="AD601" i="3"/>
  <c r="O601" i="3"/>
  <c r="M601" i="3"/>
  <c r="V601" i="3"/>
  <c r="AF601" i="3"/>
  <c r="AE601" i="3"/>
  <c r="U601" i="3"/>
  <c r="R601" i="3"/>
  <c r="F601" i="3"/>
  <c r="G601" i="3"/>
  <c r="H601" i="3" s="1"/>
  <c r="BF597" i="3"/>
  <c r="BJ596" i="3" s="1"/>
  <c r="BK596" i="3" s="1"/>
  <c r="BQ597" i="3"/>
  <c r="BB597" i="3"/>
  <c r="BA598" i="3"/>
  <c r="BG597" i="3" l="1"/>
  <c r="BH597" i="3" s="1"/>
  <c r="BI597" i="3" s="1"/>
  <c r="BC598" i="3"/>
  <c r="BD598" i="3" s="1"/>
  <c r="AY599" i="3"/>
  <c r="BM601" i="3"/>
  <c r="BN601" i="3"/>
  <c r="AU600" i="3"/>
  <c r="AO601" i="3"/>
  <c r="AT600" i="3"/>
  <c r="BQ598" i="3"/>
  <c r="BF598" i="3"/>
  <c r="BB598" i="3"/>
  <c r="AR602" i="3"/>
  <c r="AQ602" i="3"/>
  <c r="B602" i="3"/>
  <c r="A603" i="3"/>
  <c r="C602" i="3"/>
  <c r="AK602" i="3"/>
  <c r="AM602" i="3"/>
  <c r="T602" i="3"/>
  <c r="S602" i="3"/>
  <c r="Q602" i="3"/>
  <c r="D602" i="3"/>
  <c r="R602" i="3"/>
  <c r="AD602" i="3"/>
  <c r="O602" i="3"/>
  <c r="M602" i="3"/>
  <c r="AF602" i="3"/>
  <c r="P602" i="3"/>
  <c r="AE602" i="3"/>
  <c r="V602" i="3"/>
  <c r="U602" i="3"/>
  <c r="G602" i="3"/>
  <c r="H602" i="3" s="1"/>
  <c r="F602" i="3"/>
  <c r="AV599" i="3"/>
  <c r="BA599" i="3"/>
  <c r="AG601" i="3"/>
  <c r="X601" i="3"/>
  <c r="AN601" i="3"/>
  <c r="AX600" i="3"/>
  <c r="AW600" i="3"/>
  <c r="Y601" i="3"/>
  <c r="Z601" i="3" s="1"/>
  <c r="AH601" i="3"/>
  <c r="BN602" i="3" l="1"/>
  <c r="AV600" i="3"/>
  <c r="BG598" i="3"/>
  <c r="BH598" i="3" s="1"/>
  <c r="BI598" i="3" s="1"/>
  <c r="BC599" i="3"/>
  <c r="BD599" i="3" s="1"/>
  <c r="AN602" i="3"/>
  <c r="AH602" i="3"/>
  <c r="AX601" i="3"/>
  <c r="BA600" i="3"/>
  <c r="BQ600" i="3" s="1"/>
  <c r="BB599" i="3"/>
  <c r="BF599" i="3"/>
  <c r="BJ598" i="3" s="1"/>
  <c r="BK598" i="3" s="1"/>
  <c r="BQ599" i="3"/>
  <c r="A604" i="3"/>
  <c r="AQ603" i="3"/>
  <c r="AR603" i="3"/>
  <c r="B603" i="3"/>
  <c r="D603" i="3"/>
  <c r="C603" i="3"/>
  <c r="S603" i="3"/>
  <c r="AM603" i="3"/>
  <c r="AK603" i="3"/>
  <c r="Q603" i="3"/>
  <c r="R603" i="3"/>
  <c r="AD603" i="3"/>
  <c r="P603" i="3"/>
  <c r="O603" i="3"/>
  <c r="M603" i="3"/>
  <c r="AF603" i="3"/>
  <c r="AE603" i="3"/>
  <c r="U603" i="3"/>
  <c r="V603" i="3"/>
  <c r="G603" i="3"/>
  <c r="H603" i="3" s="1"/>
  <c r="F603" i="3"/>
  <c r="T603" i="3"/>
  <c r="AT601" i="3"/>
  <c r="AY600" i="3"/>
  <c r="BM602" i="3"/>
  <c r="AG602" i="3"/>
  <c r="AO602" i="3"/>
  <c r="AU601" i="3"/>
  <c r="AW601" i="3"/>
  <c r="Y602" i="3"/>
  <c r="Z602" i="3" s="1"/>
  <c r="BJ597" i="3"/>
  <c r="BK597" i="3" s="1"/>
  <c r="X602" i="3"/>
  <c r="BC600" i="3" l="1"/>
  <c r="BG600" i="3" s="1"/>
  <c r="BH600" i="3" s="1"/>
  <c r="BI600" i="3" s="1"/>
  <c r="BG599" i="3"/>
  <c r="BH599" i="3" s="1"/>
  <c r="BI599" i="3" s="1"/>
  <c r="BN603" i="3"/>
  <c r="BM603" i="3"/>
  <c r="AW602" i="3"/>
  <c r="AN603" i="3"/>
  <c r="AO603" i="3"/>
  <c r="AT602" i="3"/>
  <c r="AY601" i="3"/>
  <c r="AU602" i="3"/>
  <c r="AG603" i="3"/>
  <c r="BB600" i="3"/>
  <c r="Y603" i="3"/>
  <c r="Z603" i="3" s="1"/>
  <c r="BF600" i="3"/>
  <c r="BJ599" i="3" s="1"/>
  <c r="BK599" i="3" s="1"/>
  <c r="A605" i="3"/>
  <c r="AR604" i="3"/>
  <c r="B604" i="3"/>
  <c r="AQ604" i="3"/>
  <c r="D604" i="3"/>
  <c r="AM604" i="3"/>
  <c r="AK604" i="3"/>
  <c r="C604" i="3"/>
  <c r="T604" i="3"/>
  <c r="S604" i="3"/>
  <c r="Q604" i="3"/>
  <c r="AD604" i="3"/>
  <c r="P604" i="3"/>
  <c r="AE604" i="3"/>
  <c r="M604" i="3"/>
  <c r="AF604" i="3"/>
  <c r="U604" i="3"/>
  <c r="V604" i="3"/>
  <c r="O604" i="3"/>
  <c r="R604" i="3"/>
  <c r="F604" i="3"/>
  <c r="G604" i="3"/>
  <c r="H604" i="3" s="1"/>
  <c r="AX602" i="3"/>
  <c r="BA601" i="3"/>
  <c r="AV601" i="3"/>
  <c r="AH603" i="3"/>
  <c r="X603" i="3"/>
  <c r="BD600" i="3" l="1"/>
  <c r="BN604" i="3"/>
  <c r="AX603" i="3"/>
  <c r="AV602" i="3"/>
  <c r="BC601" i="3"/>
  <c r="BG601" i="3" s="1"/>
  <c r="BH601" i="3" s="1"/>
  <c r="BI601" i="3" s="1"/>
  <c r="BA602" i="3"/>
  <c r="BQ602" i="3" s="1"/>
  <c r="AN604" i="3"/>
  <c r="AU603" i="3"/>
  <c r="BF601" i="3"/>
  <c r="BJ600" i="3" s="1"/>
  <c r="BK600" i="3" s="1"/>
  <c r="BB601" i="3"/>
  <c r="BQ601" i="3"/>
  <c r="Y604" i="3"/>
  <c r="Z604" i="3" s="1"/>
  <c r="AR605" i="3"/>
  <c r="A606" i="3"/>
  <c r="AQ605" i="3"/>
  <c r="B605" i="3"/>
  <c r="C605" i="3"/>
  <c r="D605" i="3"/>
  <c r="AM605" i="3"/>
  <c r="AK605" i="3"/>
  <c r="S605" i="3"/>
  <c r="R605" i="3"/>
  <c r="AD605" i="3"/>
  <c r="P605" i="3"/>
  <c r="Q605" i="3"/>
  <c r="O605" i="3"/>
  <c r="AE605" i="3"/>
  <c r="M605" i="3"/>
  <c r="AF605" i="3"/>
  <c r="V605" i="3"/>
  <c r="U605" i="3"/>
  <c r="G605" i="3"/>
  <c r="H605" i="3" s="1"/>
  <c r="F605" i="3"/>
  <c r="BM605" i="3" s="1"/>
  <c r="T605" i="3"/>
  <c r="AT603" i="3"/>
  <c r="AW603" i="3"/>
  <c r="AY602" i="3"/>
  <c r="BM604" i="3"/>
  <c r="AO604" i="3"/>
  <c r="AG604" i="3"/>
  <c r="AH604" i="3"/>
  <c r="X604" i="3"/>
  <c r="BN605" i="3" l="1"/>
  <c r="BC602" i="3"/>
  <c r="BG602" i="3" s="1"/>
  <c r="BH602" i="3" s="1"/>
  <c r="BI602" i="3" s="1"/>
  <c r="AY603" i="3"/>
  <c r="BD601" i="3"/>
  <c r="BB602" i="3"/>
  <c r="BF602" i="3"/>
  <c r="BJ601" i="3" s="1"/>
  <c r="BK601" i="3" s="1"/>
  <c r="AO605" i="3"/>
  <c r="AU604" i="3"/>
  <c r="AX604" i="3"/>
  <c r="BA603" i="3"/>
  <c r="AV603" i="3"/>
  <c r="AT604" i="3"/>
  <c r="AW604" i="3"/>
  <c r="AG605" i="3"/>
  <c r="AH605" i="3"/>
  <c r="AN605" i="3"/>
  <c r="X605" i="3"/>
  <c r="AR606" i="3"/>
  <c r="AQ606" i="3"/>
  <c r="B606" i="3"/>
  <c r="A607" i="3"/>
  <c r="D606" i="3"/>
  <c r="C606" i="3"/>
  <c r="AK606" i="3"/>
  <c r="AM606" i="3"/>
  <c r="S606" i="3"/>
  <c r="R606" i="3"/>
  <c r="Q606" i="3"/>
  <c r="AD606" i="3"/>
  <c r="P606" i="3"/>
  <c r="O606" i="3"/>
  <c r="AE606" i="3"/>
  <c r="M606" i="3"/>
  <c r="AF606" i="3"/>
  <c r="V606" i="3"/>
  <c r="U606" i="3"/>
  <c r="G606" i="3"/>
  <c r="H606" i="3" s="1"/>
  <c r="F606" i="3"/>
  <c r="T606" i="3"/>
  <c r="Y605" i="3"/>
  <c r="Z605" i="3" s="1"/>
  <c r="BD602" i="3" l="1"/>
  <c r="AY604" i="3"/>
  <c r="BC603" i="3"/>
  <c r="BG603" i="3" s="1"/>
  <c r="BH603" i="3" s="1"/>
  <c r="BI603" i="3" s="1"/>
  <c r="BN606" i="3"/>
  <c r="AN606" i="3"/>
  <c r="AU605" i="3"/>
  <c r="Y606" i="3"/>
  <c r="Z606" i="3" s="1"/>
  <c r="BA604" i="3"/>
  <c r="BQ604" i="3" s="1"/>
  <c r="A608" i="3"/>
  <c r="AQ607" i="3"/>
  <c r="AR607" i="3"/>
  <c r="B607" i="3"/>
  <c r="C607" i="3"/>
  <c r="AK607" i="3"/>
  <c r="D607" i="3"/>
  <c r="AM607" i="3"/>
  <c r="S607" i="3"/>
  <c r="Q607" i="3"/>
  <c r="AD607" i="3"/>
  <c r="P607" i="3"/>
  <c r="AE607" i="3"/>
  <c r="O607" i="3"/>
  <c r="AF607" i="3"/>
  <c r="M607" i="3"/>
  <c r="V607" i="3"/>
  <c r="U607" i="3"/>
  <c r="R607" i="3"/>
  <c r="F607" i="3"/>
  <c r="G607" i="3"/>
  <c r="H607" i="3" s="1"/>
  <c r="T607" i="3"/>
  <c r="BQ603" i="3"/>
  <c r="BB603" i="3"/>
  <c r="BF603" i="3"/>
  <c r="BJ602" i="3" s="1"/>
  <c r="BK602" i="3" s="1"/>
  <c r="X606" i="3"/>
  <c r="AW605" i="3"/>
  <c r="BM606" i="3"/>
  <c r="AH606" i="3"/>
  <c r="AG606" i="3"/>
  <c r="AO606" i="3"/>
  <c r="AT605" i="3"/>
  <c r="AX605" i="3"/>
  <c r="AV604" i="3"/>
  <c r="BN607" i="3" l="1"/>
  <c r="AN607" i="3"/>
  <c r="BD603" i="3"/>
  <c r="BC604" i="3"/>
  <c r="BD604" i="3" s="1"/>
  <c r="BM607" i="3"/>
  <c r="BF604" i="3"/>
  <c r="BJ603" i="3" s="1"/>
  <c r="BK603" i="3" s="1"/>
  <c r="AW606" i="3"/>
  <c r="BB604" i="3"/>
  <c r="Y607" i="3"/>
  <c r="Z607" i="3" s="1"/>
  <c r="A609" i="3"/>
  <c r="AR608" i="3"/>
  <c r="B608" i="3"/>
  <c r="AQ608" i="3"/>
  <c r="D608" i="3"/>
  <c r="AK608" i="3"/>
  <c r="S608" i="3"/>
  <c r="C608" i="3"/>
  <c r="AM608" i="3"/>
  <c r="Q608" i="3"/>
  <c r="R608" i="3"/>
  <c r="AD608" i="3"/>
  <c r="P608" i="3"/>
  <c r="O608" i="3"/>
  <c r="AF608" i="3"/>
  <c r="V608" i="3"/>
  <c r="AE608" i="3"/>
  <c r="M608" i="3"/>
  <c r="U608" i="3"/>
  <c r="F608" i="3"/>
  <c r="G608" i="3"/>
  <c r="H608" i="3" s="1"/>
  <c r="T608" i="3"/>
  <c r="AU606" i="3"/>
  <c r="AT606" i="3"/>
  <c r="AX606" i="3"/>
  <c r="AY605" i="3"/>
  <c r="AG607" i="3"/>
  <c r="AH607" i="3"/>
  <c r="X607" i="3"/>
  <c r="AV605" i="3"/>
  <c r="BA605" i="3"/>
  <c r="AO607" i="3"/>
  <c r="BN608" i="3" l="1"/>
  <c r="BM608" i="3"/>
  <c r="BG604" i="3"/>
  <c r="BH604" i="3" s="1"/>
  <c r="BI604" i="3" s="1"/>
  <c r="AV606" i="3"/>
  <c r="AO608" i="3"/>
  <c r="AY606" i="3"/>
  <c r="Y608" i="3"/>
  <c r="Z608" i="3" s="1"/>
  <c r="BQ605" i="3"/>
  <c r="BF605" i="3"/>
  <c r="BJ604" i="3" s="1"/>
  <c r="BK604" i="3" s="1"/>
  <c r="BB605" i="3"/>
  <c r="AR609" i="3"/>
  <c r="A610" i="3"/>
  <c r="AQ609" i="3"/>
  <c r="B609" i="3"/>
  <c r="C609" i="3"/>
  <c r="D609" i="3"/>
  <c r="AK609" i="3"/>
  <c r="Q609" i="3"/>
  <c r="AM609" i="3"/>
  <c r="S609" i="3"/>
  <c r="R609" i="3"/>
  <c r="T609" i="3"/>
  <c r="AD609" i="3"/>
  <c r="P609" i="3"/>
  <c r="AE609" i="3"/>
  <c r="M609" i="3"/>
  <c r="O609" i="3"/>
  <c r="AF609" i="3"/>
  <c r="V609" i="3"/>
  <c r="U609" i="3"/>
  <c r="G609" i="3"/>
  <c r="H609" i="3" s="1"/>
  <c r="F609" i="3"/>
  <c r="AX607" i="3"/>
  <c r="X608" i="3"/>
  <c r="AU607" i="3"/>
  <c r="AT607" i="3"/>
  <c r="AW607" i="3"/>
  <c r="AG608" i="3"/>
  <c r="AH608" i="3"/>
  <c r="AN608" i="3"/>
  <c r="BC605" i="3"/>
  <c r="BA606" i="3"/>
  <c r="AN609" i="3" l="1"/>
  <c r="BC606" i="3"/>
  <c r="BG606" i="3" s="1"/>
  <c r="BH606" i="3" s="1"/>
  <c r="BI606" i="3" s="1"/>
  <c r="BN609" i="3"/>
  <c r="AG609" i="3"/>
  <c r="AU608" i="3"/>
  <c r="AO609" i="3"/>
  <c r="BD605" i="3"/>
  <c r="BG605" i="3"/>
  <c r="BH605" i="3" s="1"/>
  <c r="BI605" i="3" s="1"/>
  <c r="AV607" i="3"/>
  <c r="BA607" i="3"/>
  <c r="BB606" i="3"/>
  <c r="BF606" i="3"/>
  <c r="BJ605" i="3" s="1"/>
  <c r="BK605" i="3" s="1"/>
  <c r="BQ606" i="3"/>
  <c r="Y609" i="3"/>
  <c r="Z609" i="3" s="1"/>
  <c r="AR610" i="3"/>
  <c r="AQ610" i="3"/>
  <c r="B610" i="3"/>
  <c r="A611" i="3"/>
  <c r="D610" i="3"/>
  <c r="AK610" i="3"/>
  <c r="AM610" i="3"/>
  <c r="R610" i="3"/>
  <c r="Q610" i="3"/>
  <c r="C610" i="3"/>
  <c r="S610" i="3"/>
  <c r="P610" i="3"/>
  <c r="AD610" i="3"/>
  <c r="O610" i="3"/>
  <c r="M610" i="3"/>
  <c r="AE610" i="3"/>
  <c r="AF610" i="3"/>
  <c r="V610" i="3"/>
  <c r="U610" i="3"/>
  <c r="F610" i="3"/>
  <c r="G610" i="3"/>
  <c r="H610" i="3" s="1"/>
  <c r="BN610" i="3" s="1"/>
  <c r="T610" i="3"/>
  <c r="AW608" i="3"/>
  <c r="AT608" i="3"/>
  <c r="AX608" i="3"/>
  <c r="AY607" i="3"/>
  <c r="BM609" i="3"/>
  <c r="AH609" i="3"/>
  <c r="X609" i="3"/>
  <c r="BD606" i="3" l="1"/>
  <c r="BM610" i="3"/>
  <c r="AX609" i="3"/>
  <c r="BC607" i="3"/>
  <c r="BD607" i="3" s="1"/>
  <c r="AN610" i="3"/>
  <c r="AY608" i="3"/>
  <c r="A612" i="3"/>
  <c r="AQ611" i="3"/>
  <c r="AR611" i="3"/>
  <c r="B611" i="3"/>
  <c r="C611" i="3"/>
  <c r="AK611" i="3"/>
  <c r="T611" i="3"/>
  <c r="S611" i="3"/>
  <c r="AM611" i="3"/>
  <c r="D611" i="3"/>
  <c r="Q611" i="3"/>
  <c r="R611" i="3"/>
  <c r="AD611" i="3"/>
  <c r="P611" i="3"/>
  <c r="AE611" i="3"/>
  <c r="AF611" i="3"/>
  <c r="V611" i="3"/>
  <c r="O611" i="3"/>
  <c r="M611" i="3"/>
  <c r="U611" i="3"/>
  <c r="G611" i="3"/>
  <c r="H611" i="3" s="1"/>
  <c r="F611" i="3"/>
  <c r="AU609" i="3"/>
  <c r="Y610" i="3"/>
  <c r="Z610" i="3" s="1"/>
  <c r="AG610" i="3"/>
  <c r="X610" i="3"/>
  <c r="AO610" i="3"/>
  <c r="AT609" i="3"/>
  <c r="AV608" i="3"/>
  <c r="BA608" i="3"/>
  <c r="BF607" i="3"/>
  <c r="BJ606" i="3" s="1"/>
  <c r="BK606" i="3" s="1"/>
  <c r="BQ607" i="3"/>
  <c r="BB607" i="3"/>
  <c r="AH610" i="3"/>
  <c r="AW609" i="3"/>
  <c r="AY609" i="3" l="1"/>
  <c r="AN611" i="3"/>
  <c r="BN611" i="3"/>
  <c r="BM611" i="3"/>
  <c r="BG607" i="3"/>
  <c r="BH607" i="3" s="1"/>
  <c r="BI607" i="3" s="1"/>
  <c r="AT610" i="3"/>
  <c r="AO611" i="3"/>
  <c r="AX610" i="3"/>
  <c r="BC608" i="3"/>
  <c r="BG608" i="3" s="1"/>
  <c r="BH608" i="3" s="1"/>
  <c r="BI608" i="3" s="1"/>
  <c r="BB608" i="3"/>
  <c r="BF608" i="3"/>
  <c r="BJ607" i="3" s="1"/>
  <c r="BK607" i="3" s="1"/>
  <c r="BQ608" i="3"/>
  <c r="AV609" i="3"/>
  <c r="BA609" i="3"/>
  <c r="A613" i="3"/>
  <c r="AR612" i="3"/>
  <c r="B612" i="3"/>
  <c r="AQ612" i="3"/>
  <c r="C612" i="3"/>
  <c r="D612" i="3"/>
  <c r="AM612" i="3"/>
  <c r="T612" i="3"/>
  <c r="AK612" i="3"/>
  <c r="Q612" i="3"/>
  <c r="R612" i="3"/>
  <c r="S612" i="3"/>
  <c r="AD612" i="3"/>
  <c r="P612" i="3"/>
  <c r="O612" i="3"/>
  <c r="AE612" i="3"/>
  <c r="V612" i="3"/>
  <c r="M612" i="3"/>
  <c r="AF612" i="3"/>
  <c r="U612" i="3"/>
  <c r="G612" i="3"/>
  <c r="H612" i="3" s="1"/>
  <c r="F612" i="3"/>
  <c r="AW610" i="3"/>
  <c r="AG611" i="3"/>
  <c r="AH611" i="3"/>
  <c r="X611" i="3"/>
  <c r="Y611" i="3"/>
  <c r="Z611" i="3" s="1"/>
  <c r="AU610" i="3"/>
  <c r="BD608" i="3" l="1"/>
  <c r="BC609" i="3"/>
  <c r="BG609" i="3" s="1"/>
  <c r="BH609" i="3" s="1"/>
  <c r="BI609" i="3" s="1"/>
  <c r="AO612" i="3"/>
  <c r="BN612" i="3"/>
  <c r="AV610" i="3"/>
  <c r="AT611" i="3"/>
  <c r="AH612" i="3"/>
  <c r="AY610" i="3"/>
  <c r="AN612" i="3"/>
  <c r="Y612" i="3"/>
  <c r="Z612" i="3" s="1"/>
  <c r="BQ609" i="3"/>
  <c r="BB609" i="3"/>
  <c r="BF609" i="3"/>
  <c r="BJ608" i="3" s="1"/>
  <c r="BK608" i="3" s="1"/>
  <c r="AW611" i="3"/>
  <c r="BM612" i="3"/>
  <c r="AG612" i="3"/>
  <c r="BA610" i="3"/>
  <c r="AU611" i="3"/>
  <c r="AX611" i="3"/>
  <c r="AR613" i="3"/>
  <c r="A614" i="3"/>
  <c r="AQ613" i="3"/>
  <c r="B613" i="3"/>
  <c r="C613" i="3"/>
  <c r="D613" i="3"/>
  <c r="AK613" i="3"/>
  <c r="AM613" i="3"/>
  <c r="S613" i="3"/>
  <c r="R613" i="3"/>
  <c r="Q613" i="3"/>
  <c r="AD613" i="3"/>
  <c r="P613" i="3"/>
  <c r="M613" i="3"/>
  <c r="O613" i="3"/>
  <c r="AF613" i="3"/>
  <c r="U613" i="3"/>
  <c r="AE613" i="3"/>
  <c r="V613" i="3"/>
  <c r="F613" i="3"/>
  <c r="G613" i="3"/>
  <c r="H613" i="3" s="1"/>
  <c r="T613" i="3"/>
  <c r="X612" i="3"/>
  <c r="BD609" i="3" l="1"/>
  <c r="AG613" i="3"/>
  <c r="AO613" i="3"/>
  <c r="BN613" i="3"/>
  <c r="AT612" i="3"/>
  <c r="AX612" i="3"/>
  <c r="BC610" i="3"/>
  <c r="BD610" i="3" s="1"/>
  <c r="AW612" i="3"/>
  <c r="BA611" i="3"/>
  <c r="BB611" i="3" s="1"/>
  <c r="AY611" i="3"/>
  <c r="AR614" i="3"/>
  <c r="AQ614" i="3"/>
  <c r="B614" i="3"/>
  <c r="A615" i="3"/>
  <c r="C614" i="3"/>
  <c r="D614" i="3"/>
  <c r="AM614" i="3"/>
  <c r="S614" i="3"/>
  <c r="AK614" i="3"/>
  <c r="T614" i="3"/>
  <c r="Q614" i="3"/>
  <c r="AD614" i="3"/>
  <c r="R614" i="3"/>
  <c r="P614" i="3"/>
  <c r="M614" i="3"/>
  <c r="AE614" i="3"/>
  <c r="AF614" i="3"/>
  <c r="O614" i="3"/>
  <c r="U614" i="3"/>
  <c r="V614" i="3"/>
  <c r="G614" i="3"/>
  <c r="H614" i="3" s="1"/>
  <c r="F614" i="3"/>
  <c r="BB610" i="3"/>
  <c r="BQ610" i="3"/>
  <c r="BF610" i="3"/>
  <c r="BJ609" i="3" s="1"/>
  <c r="BK609" i="3" s="1"/>
  <c r="Y613" i="3"/>
  <c r="Z613" i="3" s="1"/>
  <c r="BM613" i="3"/>
  <c r="AH613" i="3"/>
  <c r="AN613" i="3"/>
  <c r="AU612" i="3"/>
  <c r="AV611" i="3"/>
  <c r="X613" i="3"/>
  <c r="AT613" i="3" l="1"/>
  <c r="AO614" i="3"/>
  <c r="AY612" i="3"/>
  <c r="BC611" i="3"/>
  <c r="BG611" i="3" s="1"/>
  <c r="BH611" i="3" s="1"/>
  <c r="BI611" i="3" s="1"/>
  <c r="BQ611" i="3"/>
  <c r="BN614" i="3"/>
  <c r="AV612" i="3"/>
  <c r="BG610" i="3"/>
  <c r="BH610" i="3" s="1"/>
  <c r="BI610" i="3" s="1"/>
  <c r="BA612" i="3"/>
  <c r="BQ612" i="3" s="1"/>
  <c r="AW613" i="3"/>
  <c r="BF611" i="3"/>
  <c r="BJ610" i="3" s="1"/>
  <c r="BK610" i="3" s="1"/>
  <c r="Y614" i="3"/>
  <c r="Z614" i="3" s="1"/>
  <c r="A616" i="3"/>
  <c r="AQ615" i="3"/>
  <c r="AR615" i="3"/>
  <c r="B615" i="3"/>
  <c r="D615" i="3"/>
  <c r="AM615" i="3"/>
  <c r="AK615" i="3"/>
  <c r="S615" i="3"/>
  <c r="Q615" i="3"/>
  <c r="C615" i="3"/>
  <c r="R615" i="3"/>
  <c r="AD615" i="3"/>
  <c r="P615" i="3"/>
  <c r="M615" i="3"/>
  <c r="AE615" i="3"/>
  <c r="V615" i="3"/>
  <c r="U615" i="3"/>
  <c r="O615" i="3"/>
  <c r="AF615" i="3"/>
  <c r="G615" i="3"/>
  <c r="H615" i="3" s="1"/>
  <c r="F615" i="3"/>
  <c r="T615" i="3"/>
  <c r="AX613" i="3"/>
  <c r="AU613" i="3"/>
  <c r="BM614" i="3"/>
  <c r="AG614" i="3"/>
  <c r="AH614" i="3"/>
  <c r="AN614" i="3"/>
  <c r="X614" i="3"/>
  <c r="AV613" i="3" l="1"/>
  <c r="BD611" i="3"/>
  <c r="BC612" i="3"/>
  <c r="BD612" i="3" s="1"/>
  <c r="BN615" i="3"/>
  <c r="BF612" i="3"/>
  <c r="BJ611" i="3" s="1"/>
  <c r="BK611" i="3" s="1"/>
  <c r="AY613" i="3"/>
  <c r="BB612" i="3"/>
  <c r="AN615" i="3"/>
  <c r="AX614" i="3"/>
  <c r="AH615" i="3"/>
  <c r="A617" i="3"/>
  <c r="AR616" i="3"/>
  <c r="B616" i="3"/>
  <c r="AQ616" i="3"/>
  <c r="C616" i="3"/>
  <c r="AK616" i="3"/>
  <c r="R616" i="3"/>
  <c r="D616" i="3"/>
  <c r="AM616" i="3"/>
  <c r="S616" i="3"/>
  <c r="Q616" i="3"/>
  <c r="AD616" i="3"/>
  <c r="P616" i="3"/>
  <c r="AE616" i="3"/>
  <c r="M616" i="3"/>
  <c r="U616" i="3"/>
  <c r="V616" i="3"/>
  <c r="O616" i="3"/>
  <c r="AF616" i="3"/>
  <c r="F616" i="3"/>
  <c r="G616" i="3"/>
  <c r="H616" i="3" s="1"/>
  <c r="T616" i="3"/>
  <c r="Y615" i="3"/>
  <c r="Z615" i="3" s="1"/>
  <c r="X615" i="3"/>
  <c r="AT614" i="3"/>
  <c r="AU614" i="3"/>
  <c r="AW614" i="3"/>
  <c r="BM615" i="3"/>
  <c r="AG615" i="3"/>
  <c r="AO615" i="3"/>
  <c r="BA613" i="3"/>
  <c r="BC613" i="3" l="1"/>
  <c r="BD613" i="3" s="1"/>
  <c r="BG612" i="3"/>
  <c r="BH612" i="3" s="1"/>
  <c r="BI612" i="3" s="1"/>
  <c r="BM616" i="3"/>
  <c r="AY614" i="3"/>
  <c r="AT615" i="3"/>
  <c r="AG616" i="3"/>
  <c r="AX615" i="3"/>
  <c r="AO616" i="3"/>
  <c r="AU615" i="3"/>
  <c r="Y616" i="3"/>
  <c r="Z616" i="3" s="1"/>
  <c r="BQ613" i="3"/>
  <c r="BF613" i="3"/>
  <c r="BJ612" i="3" s="1"/>
  <c r="BK612" i="3" s="1"/>
  <c r="BB613" i="3"/>
  <c r="AV614" i="3"/>
  <c r="BA614" i="3"/>
  <c r="AR617" i="3"/>
  <c r="A618" i="3"/>
  <c r="AQ617" i="3"/>
  <c r="B617" i="3"/>
  <c r="D617" i="3"/>
  <c r="C617" i="3"/>
  <c r="AK617" i="3"/>
  <c r="S617" i="3"/>
  <c r="R617" i="3"/>
  <c r="AM617" i="3"/>
  <c r="Q617" i="3"/>
  <c r="AD617" i="3"/>
  <c r="P617" i="3"/>
  <c r="O617" i="3"/>
  <c r="M617" i="3"/>
  <c r="AE617" i="3"/>
  <c r="AF617" i="3"/>
  <c r="U617" i="3"/>
  <c r="V617" i="3"/>
  <c r="F617" i="3"/>
  <c r="G617" i="3"/>
  <c r="H617" i="3" s="1"/>
  <c r="BN617" i="3" s="1"/>
  <c r="T617" i="3"/>
  <c r="AW615" i="3"/>
  <c r="BN616" i="3"/>
  <c r="AH616" i="3"/>
  <c r="AN616" i="3"/>
  <c r="X616" i="3"/>
  <c r="BG613" i="3" l="1"/>
  <c r="BH613" i="3" s="1"/>
  <c r="BI613" i="3" s="1"/>
  <c r="AV615" i="3"/>
  <c r="BM617" i="3"/>
  <c r="BC614" i="3"/>
  <c r="BG614" i="3" s="1"/>
  <c r="BH614" i="3" s="1"/>
  <c r="BI614" i="3" s="1"/>
  <c r="AX616" i="3"/>
  <c r="AY615" i="3"/>
  <c r="AO617" i="3"/>
  <c r="AR618" i="3"/>
  <c r="AQ618" i="3"/>
  <c r="B618" i="3"/>
  <c r="A619" i="3"/>
  <c r="C618" i="3"/>
  <c r="D618" i="3"/>
  <c r="AK618" i="3"/>
  <c r="AM618" i="3"/>
  <c r="S618" i="3"/>
  <c r="Q618" i="3"/>
  <c r="R618" i="3"/>
  <c r="AD618" i="3"/>
  <c r="P618" i="3"/>
  <c r="O618" i="3"/>
  <c r="AE618" i="3"/>
  <c r="AF618" i="3"/>
  <c r="V618" i="3"/>
  <c r="U618" i="3"/>
  <c r="M618" i="3"/>
  <c r="G618" i="3"/>
  <c r="H618" i="3" s="1"/>
  <c r="F618" i="3"/>
  <c r="T618" i="3"/>
  <c r="BF614" i="3"/>
  <c r="BJ613" i="3" s="1"/>
  <c r="BK613" i="3" s="1"/>
  <c r="BB614" i="3"/>
  <c r="BQ614" i="3"/>
  <c r="AT616" i="3"/>
  <c r="Y617" i="3"/>
  <c r="Z617" i="3" s="1"/>
  <c r="AG617" i="3"/>
  <c r="AH617" i="3"/>
  <c r="AN617" i="3"/>
  <c r="X617" i="3"/>
  <c r="AU616" i="3"/>
  <c r="AW616" i="3"/>
  <c r="BA615" i="3"/>
  <c r="BM618" i="3" l="1"/>
  <c r="BC615" i="3"/>
  <c r="BG615" i="3" s="1"/>
  <c r="BH615" i="3" s="1"/>
  <c r="BI615" i="3" s="1"/>
  <c r="BN618" i="3"/>
  <c r="BD614" i="3"/>
  <c r="AV616" i="3"/>
  <c r="AN618" i="3"/>
  <c r="AY616" i="3"/>
  <c r="AU617" i="3"/>
  <c r="AT617" i="3"/>
  <c r="Y618" i="3"/>
  <c r="Z618" i="3" s="1"/>
  <c r="AH618" i="3"/>
  <c r="BF615" i="3"/>
  <c r="BJ614" i="3" s="1"/>
  <c r="BK614" i="3" s="1"/>
  <c r="BB615" i="3"/>
  <c r="BQ615" i="3"/>
  <c r="AX617" i="3"/>
  <c r="AG618" i="3"/>
  <c r="AO618" i="3"/>
  <c r="X618" i="3"/>
  <c r="A620" i="3"/>
  <c r="AQ619" i="3"/>
  <c r="AR619" i="3"/>
  <c r="B619" i="3"/>
  <c r="C619" i="3"/>
  <c r="D619" i="3"/>
  <c r="R619" i="3"/>
  <c r="AK619" i="3"/>
  <c r="AM619" i="3"/>
  <c r="S619" i="3"/>
  <c r="T619" i="3"/>
  <c r="Q619" i="3"/>
  <c r="AD619" i="3"/>
  <c r="M619" i="3"/>
  <c r="P619" i="3"/>
  <c r="O619" i="3"/>
  <c r="V619" i="3"/>
  <c r="AE619" i="3"/>
  <c r="AF619" i="3"/>
  <c r="U619" i="3"/>
  <c r="G619" i="3"/>
  <c r="H619" i="3" s="1"/>
  <c r="F619" i="3"/>
  <c r="AW617" i="3"/>
  <c r="BA616" i="3"/>
  <c r="BD615" i="3" l="1"/>
  <c r="AY617" i="3"/>
  <c r="BC616" i="3"/>
  <c r="BG616" i="3" s="1"/>
  <c r="BH616" i="3" s="1"/>
  <c r="BI616" i="3" s="1"/>
  <c r="BM619" i="3"/>
  <c r="AT618" i="3"/>
  <c r="BN619" i="3"/>
  <c r="AV617" i="3"/>
  <c r="AX618" i="3"/>
  <c r="AO619" i="3"/>
  <c r="AU618" i="3"/>
  <c r="AG619" i="3"/>
  <c r="A621" i="3"/>
  <c r="AR620" i="3"/>
  <c r="B620" i="3"/>
  <c r="AQ620" i="3"/>
  <c r="C620" i="3"/>
  <c r="AK620" i="3"/>
  <c r="R620" i="3"/>
  <c r="Q620" i="3"/>
  <c r="AM620" i="3"/>
  <c r="D620" i="3"/>
  <c r="S620" i="3"/>
  <c r="AD620" i="3"/>
  <c r="P620" i="3"/>
  <c r="O620" i="3"/>
  <c r="AF620" i="3"/>
  <c r="U620" i="3"/>
  <c r="M620" i="3"/>
  <c r="AE620" i="3"/>
  <c r="V620" i="3"/>
  <c r="G620" i="3"/>
  <c r="H620" i="3" s="1"/>
  <c r="F620" i="3"/>
  <c r="T620" i="3"/>
  <c r="AH619" i="3"/>
  <c r="AN619" i="3"/>
  <c r="X619" i="3"/>
  <c r="AW618" i="3"/>
  <c r="BQ616" i="3"/>
  <c r="BF616" i="3"/>
  <c r="BJ615" i="3" s="1"/>
  <c r="BK615" i="3" s="1"/>
  <c r="BB616" i="3"/>
  <c r="Y619" i="3"/>
  <c r="Z619" i="3" s="1"/>
  <c r="BA617" i="3"/>
  <c r="BM620" i="3" l="1"/>
  <c r="BC617" i="3"/>
  <c r="BD617" i="3" s="1"/>
  <c r="BD616" i="3"/>
  <c r="BN620" i="3"/>
  <c r="AV618" i="3"/>
  <c r="AO620" i="3"/>
  <c r="AY618" i="3"/>
  <c r="AT619" i="3"/>
  <c r="AG620" i="3"/>
  <c r="BA618" i="3"/>
  <c r="BB618" i="3" s="1"/>
  <c r="AU619" i="3"/>
  <c r="AW619" i="3"/>
  <c r="Y620" i="3"/>
  <c r="Z620" i="3" s="1"/>
  <c r="BB617" i="3"/>
  <c r="BQ617" i="3"/>
  <c r="BF617" i="3"/>
  <c r="BJ616" i="3" s="1"/>
  <c r="BK616" i="3" s="1"/>
  <c r="AR621" i="3"/>
  <c r="A622" i="3"/>
  <c r="AQ621" i="3"/>
  <c r="B621" i="3"/>
  <c r="C621" i="3"/>
  <c r="AM621" i="3"/>
  <c r="AK621" i="3"/>
  <c r="T621" i="3"/>
  <c r="S621" i="3"/>
  <c r="Q621" i="3"/>
  <c r="D621" i="3"/>
  <c r="R621" i="3"/>
  <c r="AD621" i="3"/>
  <c r="P621" i="3"/>
  <c r="O621" i="3"/>
  <c r="V621" i="3"/>
  <c r="M621" i="3"/>
  <c r="AF621" i="3"/>
  <c r="AE621" i="3"/>
  <c r="U621" i="3"/>
  <c r="F621" i="3"/>
  <c r="G621" i="3"/>
  <c r="H621" i="3" s="1"/>
  <c r="AX619" i="3"/>
  <c r="AN620" i="3"/>
  <c r="X620" i="3"/>
  <c r="AH620" i="3"/>
  <c r="BM621" i="3" l="1"/>
  <c r="BG617" i="3"/>
  <c r="BH617" i="3" s="1"/>
  <c r="BI617" i="3" s="1"/>
  <c r="BC618" i="3"/>
  <c r="BD618" i="3" s="1"/>
  <c r="BQ618" i="3"/>
  <c r="AG621" i="3"/>
  <c r="AO621" i="3"/>
  <c r="AV619" i="3"/>
  <c r="BF618" i="3"/>
  <c r="BJ617" i="3" s="1"/>
  <c r="BK617" i="3" s="1"/>
  <c r="AW620" i="3"/>
  <c r="BA619" i="3"/>
  <c r="BF619" i="3" s="1"/>
  <c r="AT620" i="3"/>
  <c r="AY619" i="3"/>
  <c r="AU620" i="3"/>
  <c r="AR622" i="3"/>
  <c r="AQ622" i="3"/>
  <c r="B622" i="3"/>
  <c r="A623" i="3"/>
  <c r="D622" i="3"/>
  <c r="T622" i="3"/>
  <c r="C622" i="3"/>
  <c r="AM622" i="3"/>
  <c r="AK622" i="3"/>
  <c r="R622" i="3"/>
  <c r="AD622" i="3"/>
  <c r="S622" i="3"/>
  <c r="Q622" i="3"/>
  <c r="P622" i="3"/>
  <c r="O622" i="3"/>
  <c r="AF622" i="3"/>
  <c r="V622" i="3"/>
  <c r="AE622" i="3"/>
  <c r="M622" i="3"/>
  <c r="U622" i="3"/>
  <c r="G622" i="3"/>
  <c r="H622" i="3" s="1"/>
  <c r="F622" i="3"/>
  <c r="AX620" i="3"/>
  <c r="BN621" i="3"/>
  <c r="AN621" i="3"/>
  <c r="Y621" i="3"/>
  <c r="Z621" i="3" s="1"/>
  <c r="AH621" i="3"/>
  <c r="X621" i="3"/>
  <c r="BG618" i="3" l="1"/>
  <c r="BH618" i="3" s="1"/>
  <c r="BI618" i="3" s="1"/>
  <c r="BJ618" i="3"/>
  <c r="BK618" i="3" s="1"/>
  <c r="BN622" i="3"/>
  <c r="AV620" i="3"/>
  <c r="BB619" i="3"/>
  <c r="BQ619" i="3"/>
  <c r="BC619" i="3"/>
  <c r="BD619" i="3" s="1"/>
  <c r="BA620" i="3"/>
  <c r="BB620" i="3" s="1"/>
  <c r="AX621" i="3"/>
  <c r="AO622" i="3"/>
  <c r="A624" i="3"/>
  <c r="AQ623" i="3"/>
  <c r="AR623" i="3"/>
  <c r="B623" i="3"/>
  <c r="C623" i="3"/>
  <c r="D623" i="3"/>
  <c r="AK623" i="3"/>
  <c r="AM623" i="3"/>
  <c r="S623" i="3"/>
  <c r="R623" i="3"/>
  <c r="Q623" i="3"/>
  <c r="T623" i="3"/>
  <c r="AD623" i="3"/>
  <c r="AE623" i="3"/>
  <c r="M623" i="3"/>
  <c r="V623" i="3"/>
  <c r="U623" i="3"/>
  <c r="P623" i="3"/>
  <c r="O623" i="3"/>
  <c r="AF623" i="3"/>
  <c r="F623" i="3"/>
  <c r="G623" i="3"/>
  <c r="H623" i="3" s="1"/>
  <c r="AY620" i="3"/>
  <c r="AU621" i="3"/>
  <c r="BM622" i="3"/>
  <c r="AG622" i="3"/>
  <c r="AH622" i="3"/>
  <c r="AN622" i="3"/>
  <c r="Y622" i="3"/>
  <c r="Z622" i="3" s="1"/>
  <c r="AT621" i="3"/>
  <c r="AW621" i="3"/>
  <c r="X622" i="3"/>
  <c r="BM623" i="3" l="1"/>
  <c r="BN623" i="3"/>
  <c r="AV621" i="3"/>
  <c r="BC620" i="3"/>
  <c r="BD620" i="3" s="1"/>
  <c r="BQ620" i="3"/>
  <c r="BG619" i="3"/>
  <c r="BH619" i="3" s="1"/>
  <c r="BI619" i="3" s="1"/>
  <c r="BF620" i="3"/>
  <c r="BJ619" i="3" s="1"/>
  <c r="BK619" i="3" s="1"/>
  <c r="AY621" i="3"/>
  <c r="AX622" i="3"/>
  <c r="AO623" i="3"/>
  <c r="Y623" i="3"/>
  <c r="Z623" i="3" s="1"/>
  <c r="BA621" i="3"/>
  <c r="AW622" i="3"/>
  <c r="AT622" i="3"/>
  <c r="AH623" i="3"/>
  <c r="AG623" i="3"/>
  <c r="AN623" i="3"/>
  <c r="A625" i="3"/>
  <c r="AR624" i="3"/>
  <c r="B624" i="3"/>
  <c r="AQ624" i="3"/>
  <c r="D624" i="3"/>
  <c r="C624" i="3"/>
  <c r="AM624" i="3"/>
  <c r="AK624" i="3"/>
  <c r="S624" i="3"/>
  <c r="Q624" i="3"/>
  <c r="AD624" i="3"/>
  <c r="T624" i="3"/>
  <c r="R624" i="3"/>
  <c r="AE624" i="3"/>
  <c r="P624" i="3"/>
  <c r="O624" i="3"/>
  <c r="M624" i="3"/>
  <c r="AF624" i="3"/>
  <c r="V624" i="3"/>
  <c r="U624" i="3"/>
  <c r="G624" i="3"/>
  <c r="H624" i="3" s="1"/>
  <c r="F624" i="3"/>
  <c r="BM624" i="3" s="1"/>
  <c r="AU622" i="3"/>
  <c r="X623" i="3"/>
  <c r="BN624" i="3" l="1"/>
  <c r="BC621" i="3"/>
  <c r="BG621" i="3" s="1"/>
  <c r="BH621" i="3" s="1"/>
  <c r="BI621" i="3" s="1"/>
  <c r="BG620" i="3"/>
  <c r="BH620" i="3" s="1"/>
  <c r="BI620" i="3" s="1"/>
  <c r="AY622" i="3"/>
  <c r="AV622" i="3"/>
  <c r="AT623" i="3"/>
  <c r="AN624" i="3"/>
  <c r="AH624" i="3"/>
  <c r="AU623" i="3"/>
  <c r="BB621" i="3"/>
  <c r="BQ621" i="3"/>
  <c r="BF621" i="3"/>
  <c r="BJ620" i="3" s="1"/>
  <c r="BK620" i="3" s="1"/>
  <c r="AG624" i="3"/>
  <c r="AO624" i="3"/>
  <c r="X624" i="3"/>
  <c r="AW623" i="3"/>
  <c r="BA622" i="3"/>
  <c r="Y624" i="3"/>
  <c r="Z624" i="3" s="1"/>
  <c r="AR625" i="3"/>
  <c r="A626" i="3"/>
  <c r="AQ625" i="3"/>
  <c r="B625" i="3"/>
  <c r="D625" i="3"/>
  <c r="AM625" i="3"/>
  <c r="R625" i="3"/>
  <c r="C625" i="3"/>
  <c r="AK625" i="3"/>
  <c r="S625" i="3"/>
  <c r="Q625" i="3"/>
  <c r="AD625" i="3"/>
  <c r="P625" i="3"/>
  <c r="O625" i="3"/>
  <c r="M625" i="3"/>
  <c r="AE625" i="3"/>
  <c r="AF625" i="3"/>
  <c r="V625" i="3"/>
  <c r="U625" i="3"/>
  <c r="G625" i="3"/>
  <c r="H625" i="3" s="1"/>
  <c r="F625" i="3"/>
  <c r="T625" i="3"/>
  <c r="AX623" i="3"/>
  <c r="BD621" i="3" l="1"/>
  <c r="BC622" i="3"/>
  <c r="BG622" i="3" s="1"/>
  <c r="BH622" i="3" s="1"/>
  <c r="BI622" i="3" s="1"/>
  <c r="BN625" i="3"/>
  <c r="AV623" i="3"/>
  <c r="AN625" i="3"/>
  <c r="BA623" i="3"/>
  <c r="BB623" i="3" s="1"/>
  <c r="AG625" i="3"/>
  <c r="Y625" i="3"/>
  <c r="Z625" i="3" s="1"/>
  <c r="AW624" i="3"/>
  <c r="AX624" i="3"/>
  <c r="AT624" i="3"/>
  <c r="X625" i="3"/>
  <c r="BM625" i="3"/>
  <c r="AO625" i="3"/>
  <c r="AY623" i="3"/>
  <c r="AU624" i="3"/>
  <c r="AR626" i="3"/>
  <c r="AQ626" i="3"/>
  <c r="B626" i="3"/>
  <c r="A627" i="3"/>
  <c r="D626" i="3"/>
  <c r="AK626" i="3"/>
  <c r="T626" i="3"/>
  <c r="Q626" i="3"/>
  <c r="C626" i="3"/>
  <c r="AM626" i="3"/>
  <c r="S626" i="3"/>
  <c r="AD626" i="3"/>
  <c r="P626" i="3"/>
  <c r="M626" i="3"/>
  <c r="AF626" i="3"/>
  <c r="AE626" i="3"/>
  <c r="U626" i="3"/>
  <c r="V626" i="3"/>
  <c r="O626" i="3"/>
  <c r="F626" i="3"/>
  <c r="R626" i="3"/>
  <c r="G626" i="3"/>
  <c r="H626" i="3" s="1"/>
  <c r="BB622" i="3"/>
  <c r="BQ622" i="3"/>
  <c r="BF622" i="3"/>
  <c r="BJ621" i="3" s="1"/>
  <c r="BK621" i="3" s="1"/>
  <c r="AH625" i="3"/>
  <c r="BD622" i="3" l="1"/>
  <c r="AN626" i="3"/>
  <c r="AX625" i="3"/>
  <c r="BC623" i="3"/>
  <c r="BD623" i="3" s="1"/>
  <c r="BQ623" i="3"/>
  <c r="BN626" i="3"/>
  <c r="BF623" i="3"/>
  <c r="BJ622" i="3" s="1"/>
  <c r="BK622" i="3" s="1"/>
  <c r="AY624" i="3"/>
  <c r="BA624" i="3"/>
  <c r="BF624" i="3" s="1"/>
  <c r="AV624" i="3"/>
  <c r="A628" i="3"/>
  <c r="AQ627" i="3"/>
  <c r="AR627" i="3"/>
  <c r="B627" i="3"/>
  <c r="D627" i="3"/>
  <c r="AK627" i="3"/>
  <c r="AM627" i="3"/>
  <c r="C627" i="3"/>
  <c r="Q627" i="3"/>
  <c r="S627" i="3"/>
  <c r="AD627" i="3"/>
  <c r="P627" i="3"/>
  <c r="R627" i="3"/>
  <c r="O627" i="3"/>
  <c r="M627" i="3"/>
  <c r="U627" i="3"/>
  <c r="AF627" i="3"/>
  <c r="AE627" i="3"/>
  <c r="V627" i="3"/>
  <c r="F627" i="3"/>
  <c r="BM627" i="3" s="1"/>
  <c r="G627" i="3"/>
  <c r="H627" i="3" s="1"/>
  <c r="BN627" i="3" s="1"/>
  <c r="T627" i="3"/>
  <c r="BM626" i="3"/>
  <c r="AG626" i="3"/>
  <c r="AH626" i="3"/>
  <c r="AO626" i="3"/>
  <c r="AU625" i="3"/>
  <c r="Y626" i="3"/>
  <c r="Z626" i="3" s="1"/>
  <c r="X626" i="3"/>
  <c r="AT625" i="3"/>
  <c r="AW625" i="3"/>
  <c r="AY625" i="3" l="1"/>
  <c r="BJ623" i="3"/>
  <c r="BK623" i="3" s="1"/>
  <c r="BG623" i="3"/>
  <c r="BH623" i="3" s="1"/>
  <c r="BI623" i="3" s="1"/>
  <c r="BC624" i="3"/>
  <c r="BD624" i="3" s="1"/>
  <c r="BQ624" i="3"/>
  <c r="BB624" i="3"/>
  <c r="AU626" i="3"/>
  <c r="AN627" i="3"/>
  <c r="AT626" i="3"/>
  <c r="AX626" i="3"/>
  <c r="AV625" i="3"/>
  <c r="BA625" i="3"/>
  <c r="AH627" i="3"/>
  <c r="AW626" i="3"/>
  <c r="Y627" i="3"/>
  <c r="Z627" i="3" s="1"/>
  <c r="AG627" i="3"/>
  <c r="X627" i="3"/>
  <c r="AO627" i="3"/>
  <c r="A629" i="3"/>
  <c r="AR628" i="3"/>
  <c r="B628" i="3"/>
  <c r="AQ628" i="3"/>
  <c r="C628" i="3"/>
  <c r="D628" i="3"/>
  <c r="AK628" i="3"/>
  <c r="S628" i="3"/>
  <c r="AM628" i="3"/>
  <c r="Q628" i="3"/>
  <c r="R628" i="3"/>
  <c r="AD628" i="3"/>
  <c r="P628" i="3"/>
  <c r="O628" i="3"/>
  <c r="M628" i="3"/>
  <c r="AE628" i="3"/>
  <c r="AF628" i="3"/>
  <c r="U628" i="3"/>
  <c r="V628" i="3"/>
  <c r="G628" i="3"/>
  <c r="H628" i="3" s="1"/>
  <c r="F628" i="3"/>
  <c r="BM628" i="3" s="1"/>
  <c r="T628" i="3"/>
  <c r="BN628" i="3" l="1"/>
  <c r="BC625" i="3"/>
  <c r="BG625" i="3" s="1"/>
  <c r="BH625" i="3" s="1"/>
  <c r="BI625" i="3" s="1"/>
  <c r="BG624" i="3"/>
  <c r="BH624" i="3" s="1"/>
  <c r="BI624" i="3" s="1"/>
  <c r="AV626" i="3"/>
  <c r="AN628" i="3"/>
  <c r="AY626" i="3"/>
  <c r="AU627" i="3"/>
  <c r="BA626" i="3"/>
  <c r="BQ626" i="3" s="1"/>
  <c r="AR629" i="3"/>
  <c r="A630" i="3"/>
  <c r="AQ629" i="3"/>
  <c r="B629" i="3"/>
  <c r="D629" i="3"/>
  <c r="C629" i="3"/>
  <c r="AK629" i="3"/>
  <c r="AM629" i="3"/>
  <c r="T629" i="3"/>
  <c r="S629" i="3"/>
  <c r="Q629" i="3"/>
  <c r="R629" i="3"/>
  <c r="AD629" i="3"/>
  <c r="O629" i="3"/>
  <c r="M629" i="3"/>
  <c r="AE629" i="3"/>
  <c r="P629" i="3"/>
  <c r="V629" i="3"/>
  <c r="AF629" i="3"/>
  <c r="U629" i="3"/>
  <c r="G629" i="3"/>
  <c r="H629" i="3" s="1"/>
  <c r="BN629" i="3" s="1"/>
  <c r="F629" i="3"/>
  <c r="AO628" i="3"/>
  <c r="Y628" i="3"/>
  <c r="Z628" i="3" s="1"/>
  <c r="AG628" i="3"/>
  <c r="AH628" i="3"/>
  <c r="AX627" i="3"/>
  <c r="AT627" i="3"/>
  <c r="AW627" i="3"/>
  <c r="BB625" i="3"/>
  <c r="BF625" i="3"/>
  <c r="BJ624" i="3" s="1"/>
  <c r="BK624" i="3" s="1"/>
  <c r="BQ625" i="3"/>
  <c r="X628" i="3"/>
  <c r="BM629" i="3" l="1"/>
  <c r="BD625" i="3"/>
  <c r="BC626" i="3"/>
  <c r="BG626" i="3" s="1"/>
  <c r="BH626" i="3" s="1"/>
  <c r="BI626" i="3" s="1"/>
  <c r="AN629" i="3"/>
  <c r="BB626" i="3"/>
  <c r="AT628" i="3"/>
  <c r="AG629" i="3"/>
  <c r="BF626" i="3"/>
  <c r="BJ625" i="3" s="1"/>
  <c r="BK625" i="3" s="1"/>
  <c r="BA627" i="3"/>
  <c r="AV627" i="3"/>
  <c r="Y629" i="3"/>
  <c r="Z629" i="3" s="1"/>
  <c r="AY627" i="3"/>
  <c r="AW628" i="3"/>
  <c r="AH629" i="3"/>
  <c r="AO629" i="3"/>
  <c r="AU628" i="3"/>
  <c r="AX628" i="3"/>
  <c r="AR630" i="3"/>
  <c r="AQ630" i="3"/>
  <c r="B630" i="3"/>
  <c r="A631" i="3"/>
  <c r="C630" i="3"/>
  <c r="AM630" i="3"/>
  <c r="S630" i="3"/>
  <c r="AK630" i="3"/>
  <c r="D630" i="3"/>
  <c r="R630" i="3"/>
  <c r="Q630" i="3"/>
  <c r="P630" i="3"/>
  <c r="AD630" i="3"/>
  <c r="AE630" i="3"/>
  <c r="O630" i="3"/>
  <c r="AF630" i="3"/>
  <c r="V630" i="3"/>
  <c r="M630" i="3"/>
  <c r="U630" i="3"/>
  <c r="G630" i="3"/>
  <c r="H630" i="3" s="1"/>
  <c r="F630" i="3"/>
  <c r="T630" i="3"/>
  <c r="X629" i="3"/>
  <c r="BM630" i="3" l="1"/>
  <c r="BD626" i="3"/>
  <c r="AO630" i="3"/>
  <c r="BN630" i="3"/>
  <c r="AU629" i="3"/>
  <c r="AV628" i="3"/>
  <c r="AW629" i="3"/>
  <c r="BA628" i="3"/>
  <c r="BQ628" i="3" s="1"/>
  <c r="BB627" i="3"/>
  <c r="BF627" i="3"/>
  <c r="BQ627" i="3"/>
  <c r="AH630" i="3"/>
  <c r="X630" i="3"/>
  <c r="AY628" i="3"/>
  <c r="A632" i="3"/>
  <c r="AQ631" i="3"/>
  <c r="AR631" i="3"/>
  <c r="B631" i="3"/>
  <c r="C631" i="3"/>
  <c r="T631" i="3"/>
  <c r="S631" i="3"/>
  <c r="D631" i="3"/>
  <c r="AM631" i="3"/>
  <c r="AK631" i="3"/>
  <c r="R631" i="3"/>
  <c r="AD631" i="3"/>
  <c r="Q631" i="3"/>
  <c r="P631" i="3"/>
  <c r="AF631" i="3"/>
  <c r="U631" i="3"/>
  <c r="O631" i="3"/>
  <c r="AE631" i="3"/>
  <c r="M631" i="3"/>
  <c r="V631" i="3"/>
  <c r="G631" i="3"/>
  <c r="H631" i="3" s="1"/>
  <c r="F631" i="3"/>
  <c r="AT629" i="3"/>
  <c r="AX629" i="3"/>
  <c r="Y630" i="3"/>
  <c r="Z630" i="3" s="1"/>
  <c r="AG630" i="3"/>
  <c r="AN630" i="3"/>
  <c r="BC627" i="3"/>
  <c r="BC628" i="3" l="1"/>
  <c r="BG628" i="3" s="1"/>
  <c r="BH628" i="3" s="1"/>
  <c r="BI628" i="3" s="1"/>
  <c r="BM631" i="3"/>
  <c r="AW630" i="3"/>
  <c r="AO631" i="3"/>
  <c r="BN631" i="3"/>
  <c r="AG631" i="3"/>
  <c r="AY629" i="3"/>
  <c r="AT630" i="3"/>
  <c r="BB628" i="3"/>
  <c r="BF628" i="3"/>
  <c r="BJ627" i="3" s="1"/>
  <c r="BK627" i="3" s="1"/>
  <c r="BD627" i="3"/>
  <c r="BG627" i="3"/>
  <c r="BH627" i="3" s="1"/>
  <c r="BI627" i="3" s="1"/>
  <c r="AV629" i="3"/>
  <c r="BA629" i="3"/>
  <c r="A633" i="3"/>
  <c r="AR632" i="3"/>
  <c r="B632" i="3"/>
  <c r="AQ632" i="3"/>
  <c r="D632" i="3"/>
  <c r="C632" i="3"/>
  <c r="AM632" i="3"/>
  <c r="AK632" i="3"/>
  <c r="T632" i="3"/>
  <c r="R632" i="3"/>
  <c r="Q632" i="3"/>
  <c r="P632" i="3"/>
  <c r="S632" i="3"/>
  <c r="AD632" i="3"/>
  <c r="O632" i="3"/>
  <c r="M632" i="3"/>
  <c r="AE632" i="3"/>
  <c r="AF632" i="3"/>
  <c r="V632" i="3"/>
  <c r="U632" i="3"/>
  <c r="G632" i="3"/>
  <c r="H632" i="3" s="1"/>
  <c r="BN632" i="3" s="1"/>
  <c r="F632" i="3"/>
  <c r="BM632" i="3" s="1"/>
  <c r="BJ626" i="3"/>
  <c r="AN631" i="3"/>
  <c r="X631" i="3"/>
  <c r="Y631" i="3"/>
  <c r="Z631" i="3" s="1"/>
  <c r="AU630" i="3"/>
  <c r="AH631" i="3"/>
  <c r="AX630" i="3"/>
  <c r="BD628" i="3" l="1"/>
  <c r="AY630" i="3"/>
  <c r="AX631" i="3"/>
  <c r="BC629" i="3"/>
  <c r="BG629" i="3" s="1"/>
  <c r="BH629" i="3" s="1"/>
  <c r="BI629" i="3" s="1"/>
  <c r="AG632" i="3"/>
  <c r="AN632" i="3"/>
  <c r="BA630" i="3"/>
  <c r="BB630" i="3" s="1"/>
  <c r="BK626" i="3"/>
  <c r="BK6" i="3" s="1"/>
  <c r="A261" i="2" s="1"/>
  <c r="BK5" i="3"/>
  <c r="A692" i="3" s="1"/>
  <c r="B692" i="3" s="1"/>
  <c r="BF629" i="3"/>
  <c r="BJ628" i="3" s="1"/>
  <c r="BK628" i="3" s="1"/>
  <c r="BB629" i="3"/>
  <c r="BQ629" i="3"/>
  <c r="AU631" i="3"/>
  <c r="AW631" i="3"/>
  <c r="AT631" i="3"/>
  <c r="AH632" i="3"/>
  <c r="AO632" i="3"/>
  <c r="X632" i="3"/>
  <c r="AV630" i="3"/>
  <c r="Y632" i="3"/>
  <c r="Z632" i="3" s="1"/>
  <c r="AR633" i="3"/>
  <c r="A634" i="3"/>
  <c r="AQ633" i="3"/>
  <c r="B633" i="3"/>
  <c r="C633" i="3"/>
  <c r="D633" i="3"/>
  <c r="AK633" i="3"/>
  <c r="S633" i="3"/>
  <c r="Q633" i="3"/>
  <c r="AM633" i="3"/>
  <c r="T633" i="3"/>
  <c r="P633" i="3"/>
  <c r="AD633" i="3"/>
  <c r="O633" i="3"/>
  <c r="AE633" i="3"/>
  <c r="M633" i="3"/>
  <c r="AF633" i="3"/>
  <c r="V633" i="3"/>
  <c r="U633" i="3"/>
  <c r="F633" i="3"/>
  <c r="R633" i="3"/>
  <c r="G633" i="3"/>
  <c r="H633" i="3" s="1"/>
  <c r="BN633" i="3" s="1"/>
  <c r="AY631" i="3" l="1"/>
  <c r="BD629" i="3"/>
  <c r="BC630" i="3"/>
  <c r="BG630" i="3" s="1"/>
  <c r="BH630" i="3" s="1"/>
  <c r="BI630" i="3" s="1"/>
  <c r="AH633" i="3"/>
  <c r="A688" i="3"/>
  <c r="A690" i="3"/>
  <c r="B690" i="3" s="1"/>
  <c r="A691" i="3"/>
  <c r="B691" i="3" s="1"/>
  <c r="A260" i="2"/>
  <c r="C260" i="2"/>
  <c r="B260" i="2"/>
  <c r="B261" i="2"/>
  <c r="BM633" i="3"/>
  <c r="AU632" i="3"/>
  <c r="AT632" i="3"/>
  <c r="AW632" i="3"/>
  <c r="AN633" i="3"/>
  <c r="BF630" i="3"/>
  <c r="BJ629" i="3" s="1"/>
  <c r="BK629" i="3" s="1"/>
  <c r="BQ630" i="3"/>
  <c r="Y633" i="3"/>
  <c r="Z633" i="3" s="1"/>
  <c r="AR634" i="3"/>
  <c r="AQ634" i="3"/>
  <c r="B634" i="3"/>
  <c r="A635" i="3"/>
  <c r="C634" i="3"/>
  <c r="D634" i="3"/>
  <c r="S634" i="3"/>
  <c r="AK634" i="3"/>
  <c r="AM634" i="3"/>
  <c r="T634" i="3"/>
  <c r="R634" i="3"/>
  <c r="AD634" i="3"/>
  <c r="O634" i="3"/>
  <c r="AE634" i="3"/>
  <c r="P634" i="3"/>
  <c r="M634" i="3"/>
  <c r="AF634" i="3"/>
  <c r="V634" i="3"/>
  <c r="U634" i="3"/>
  <c r="F634" i="3"/>
  <c r="Q634" i="3"/>
  <c r="G634" i="3"/>
  <c r="H634" i="3" s="1"/>
  <c r="BN634" i="3" s="1"/>
  <c r="AG633" i="3"/>
  <c r="AO633" i="3"/>
  <c r="X633" i="3"/>
  <c r="AX632" i="3"/>
  <c r="AV631" i="3"/>
  <c r="BA631" i="3"/>
  <c r="BD630" i="3" l="1"/>
  <c r="BC631" i="3"/>
  <c r="BG631" i="3" s="1"/>
  <c r="BH631" i="3" s="1"/>
  <c r="BI631" i="3" s="1"/>
  <c r="AT633" i="3"/>
  <c r="B688" i="3"/>
  <c r="C688" i="3"/>
  <c r="F688" i="3"/>
  <c r="M688" i="3"/>
  <c r="O688" i="3"/>
  <c r="Q688" i="3"/>
  <c r="S688" i="3"/>
  <c r="U688" i="3"/>
  <c r="AE688" i="3"/>
  <c r="AK688" i="3"/>
  <c r="AR688" i="3"/>
  <c r="D688" i="3"/>
  <c r="G688" i="3"/>
  <c r="H688" i="3" s="1"/>
  <c r="P688" i="3"/>
  <c r="R688" i="3"/>
  <c r="T688" i="3"/>
  <c r="V688" i="3"/>
  <c r="AD688" i="3"/>
  <c r="AF688" i="3"/>
  <c r="AM688" i="3"/>
  <c r="AQ688" i="3"/>
  <c r="BM634" i="3"/>
  <c r="AV632" i="3"/>
  <c r="BA632" i="3"/>
  <c r="BQ632" i="3" s="1"/>
  <c r="AG634" i="3"/>
  <c r="AY632" i="3"/>
  <c r="AW633" i="3"/>
  <c r="AO634" i="3"/>
  <c r="BF631" i="3"/>
  <c r="BJ630" i="3" s="1"/>
  <c r="BK630" i="3" s="1"/>
  <c r="BQ631" i="3"/>
  <c r="BB631" i="3"/>
  <c r="Y634" i="3"/>
  <c r="Z634" i="3" s="1"/>
  <c r="A636" i="3"/>
  <c r="AQ635" i="3"/>
  <c r="AR635" i="3"/>
  <c r="B635" i="3"/>
  <c r="C635" i="3"/>
  <c r="AM635" i="3"/>
  <c r="AK635" i="3"/>
  <c r="D635" i="3"/>
  <c r="S635" i="3"/>
  <c r="R635" i="3"/>
  <c r="Q635" i="3"/>
  <c r="AD635" i="3"/>
  <c r="P635" i="3"/>
  <c r="O635" i="3"/>
  <c r="M635" i="3"/>
  <c r="AF635" i="3"/>
  <c r="AE635" i="3"/>
  <c r="V635" i="3"/>
  <c r="U635" i="3"/>
  <c r="G635" i="3"/>
  <c r="H635" i="3" s="1"/>
  <c r="F635" i="3"/>
  <c r="T635" i="3"/>
  <c r="AU633" i="3"/>
  <c r="AX633" i="3"/>
  <c r="AH634" i="3"/>
  <c r="AN634" i="3"/>
  <c r="X634" i="3"/>
  <c r="BM635" i="3" l="1"/>
  <c r="BN635" i="3"/>
  <c r="BD631" i="3"/>
  <c r="AN688" i="3"/>
  <c r="AV633" i="3"/>
  <c r="BF632" i="3"/>
  <c r="BJ631" i="3" s="1"/>
  <c r="BK631" i="3" s="1"/>
  <c r="AH688" i="3"/>
  <c r="AG688" i="3"/>
  <c r="Y688" i="3"/>
  <c r="Z688" i="3" s="1"/>
  <c r="AO688" i="3"/>
  <c r="X688" i="3"/>
  <c r="BC632" i="3"/>
  <c r="BG632" i="3" s="1"/>
  <c r="BH632" i="3" s="1"/>
  <c r="BI632" i="3" s="1"/>
  <c r="BB632" i="3"/>
  <c r="AT634" i="3"/>
  <c r="AY633" i="3"/>
  <c r="AU634" i="3"/>
  <c r="AW634" i="3"/>
  <c r="AG635" i="3"/>
  <c r="AO635" i="3"/>
  <c r="Y635" i="3"/>
  <c r="Z635" i="3" s="1"/>
  <c r="A637" i="3"/>
  <c r="AR636" i="3"/>
  <c r="B636" i="3"/>
  <c r="AQ636" i="3"/>
  <c r="D636" i="3"/>
  <c r="C636" i="3"/>
  <c r="AM636" i="3"/>
  <c r="T636" i="3"/>
  <c r="S636" i="3"/>
  <c r="AK636" i="3"/>
  <c r="Q636" i="3"/>
  <c r="AD636" i="3"/>
  <c r="P636" i="3"/>
  <c r="O636" i="3"/>
  <c r="AE636" i="3"/>
  <c r="M636" i="3"/>
  <c r="AF636" i="3"/>
  <c r="V636" i="3"/>
  <c r="U636" i="3"/>
  <c r="R636" i="3"/>
  <c r="G636" i="3"/>
  <c r="H636" i="3" s="1"/>
  <c r="BN636" i="3" s="1"/>
  <c r="F636" i="3"/>
  <c r="X635" i="3"/>
  <c r="BA633" i="3"/>
  <c r="AX634" i="3"/>
  <c r="AH635" i="3"/>
  <c r="AN635" i="3"/>
  <c r="BM636" i="3" l="1"/>
  <c r="BC633" i="3"/>
  <c r="BD633" i="3" s="1"/>
  <c r="BD632" i="3"/>
  <c r="AV634" i="3"/>
  <c r="AW688" i="3"/>
  <c r="AT688" i="3"/>
  <c r="AU688" i="3"/>
  <c r="AX688" i="3"/>
  <c r="AY634" i="3"/>
  <c r="AN636" i="3"/>
  <c r="AG636" i="3"/>
  <c r="BA634" i="3"/>
  <c r="BQ634" i="3" s="1"/>
  <c r="BQ633" i="3"/>
  <c r="BB633" i="3"/>
  <c r="BF633" i="3"/>
  <c r="BJ632" i="3" s="1"/>
  <c r="BK632" i="3" s="1"/>
  <c r="AX635" i="3"/>
  <c r="AT635" i="3"/>
  <c r="AW635" i="3"/>
  <c r="AU635" i="3"/>
  <c r="AH636" i="3"/>
  <c r="AO636" i="3"/>
  <c r="X636" i="3"/>
  <c r="Y636" i="3"/>
  <c r="Z636" i="3" s="1"/>
  <c r="AR637" i="3"/>
  <c r="A638" i="3"/>
  <c r="AQ637" i="3"/>
  <c r="B637" i="3"/>
  <c r="D637" i="3"/>
  <c r="S637" i="3"/>
  <c r="C637" i="3"/>
  <c r="AK637" i="3"/>
  <c r="AM637" i="3"/>
  <c r="Q637" i="3"/>
  <c r="R637" i="3"/>
  <c r="P637" i="3"/>
  <c r="AD637" i="3"/>
  <c r="AE637" i="3"/>
  <c r="M637" i="3"/>
  <c r="U637" i="3"/>
  <c r="O637" i="3"/>
  <c r="AF637" i="3"/>
  <c r="V637" i="3"/>
  <c r="G637" i="3"/>
  <c r="H637" i="3" s="1"/>
  <c r="F637" i="3"/>
  <c r="T637" i="3"/>
  <c r="BG633" i="3" l="1"/>
  <c r="BH633" i="3" s="1"/>
  <c r="BI633" i="3" s="1"/>
  <c r="BM637" i="3"/>
  <c r="BC634" i="3"/>
  <c r="BD634" i="3" s="1"/>
  <c r="AY688" i="3"/>
  <c r="AV688" i="3"/>
  <c r="BA688" i="3"/>
  <c r="BB688" i="3" s="1"/>
  <c r="AY635" i="3"/>
  <c r="BN637" i="3"/>
  <c r="AN637" i="3"/>
  <c r="AX636" i="3"/>
  <c r="AH637" i="3"/>
  <c r="AT636" i="3"/>
  <c r="AU636" i="3"/>
  <c r="BF634" i="3"/>
  <c r="BJ633" i="3" s="1"/>
  <c r="BK633" i="3" s="1"/>
  <c r="BB634" i="3"/>
  <c r="X637" i="3"/>
  <c r="AR638" i="3"/>
  <c r="AQ638" i="3"/>
  <c r="B638" i="3"/>
  <c r="A639" i="3"/>
  <c r="D638" i="3"/>
  <c r="AM638" i="3"/>
  <c r="AK638" i="3"/>
  <c r="R638" i="3"/>
  <c r="C638" i="3"/>
  <c r="S638" i="3"/>
  <c r="Q638" i="3"/>
  <c r="AD638" i="3"/>
  <c r="P638" i="3"/>
  <c r="O638" i="3"/>
  <c r="M638" i="3"/>
  <c r="AE638" i="3"/>
  <c r="AF638" i="3"/>
  <c r="V638" i="3"/>
  <c r="U638" i="3"/>
  <c r="G638" i="3"/>
  <c r="H638" i="3" s="1"/>
  <c r="F638" i="3"/>
  <c r="T638" i="3"/>
  <c r="BA635" i="3"/>
  <c r="AV635" i="3"/>
  <c r="Y637" i="3"/>
  <c r="Z637" i="3" s="1"/>
  <c r="AG637" i="3"/>
  <c r="AO637" i="3"/>
  <c r="AW636" i="3"/>
  <c r="BM638" i="3" l="1"/>
  <c r="BC635" i="3"/>
  <c r="BG635" i="3" s="1"/>
  <c r="BH635" i="3" s="1"/>
  <c r="BI635" i="3" s="1"/>
  <c r="BG634" i="3"/>
  <c r="BH634" i="3" s="1"/>
  <c r="BI634" i="3" s="1"/>
  <c r="AY636" i="3"/>
  <c r="BC688" i="3"/>
  <c r="BD688" i="3" s="1"/>
  <c r="BN638" i="3"/>
  <c r="AV636" i="3"/>
  <c r="AX637" i="3"/>
  <c r="AO638" i="3"/>
  <c r="Y638" i="3"/>
  <c r="Z638" i="3" s="1"/>
  <c r="BQ635" i="3"/>
  <c r="BB635" i="3"/>
  <c r="BF635" i="3"/>
  <c r="BJ634" i="3" s="1"/>
  <c r="BK634" i="3" s="1"/>
  <c r="X638" i="3"/>
  <c r="AT637" i="3"/>
  <c r="A640" i="3"/>
  <c r="AQ639" i="3"/>
  <c r="AR639" i="3"/>
  <c r="B639" i="3"/>
  <c r="C639" i="3"/>
  <c r="D639" i="3"/>
  <c r="S639" i="3"/>
  <c r="AM639" i="3"/>
  <c r="AK639" i="3"/>
  <c r="Q639" i="3"/>
  <c r="AD639" i="3"/>
  <c r="P639" i="3"/>
  <c r="O639" i="3"/>
  <c r="AE639" i="3"/>
  <c r="U639" i="3"/>
  <c r="M639" i="3"/>
  <c r="AF639" i="3"/>
  <c r="V639" i="3"/>
  <c r="F639" i="3"/>
  <c r="R639" i="3"/>
  <c r="G639" i="3"/>
  <c r="H639" i="3" s="1"/>
  <c r="T639" i="3"/>
  <c r="BA636" i="3"/>
  <c r="AW637" i="3"/>
  <c r="AG638" i="3"/>
  <c r="AH638" i="3"/>
  <c r="AN638" i="3"/>
  <c r="AU637" i="3"/>
  <c r="BM639" i="3" l="1"/>
  <c r="BD635" i="3"/>
  <c r="BC636" i="3"/>
  <c r="BG636" i="3" s="1"/>
  <c r="BH636" i="3" s="1"/>
  <c r="BI636" i="3" s="1"/>
  <c r="BG688" i="3"/>
  <c r="BH688" i="3" s="1"/>
  <c r="BI688" i="3" s="1"/>
  <c r="BN639" i="3"/>
  <c r="AY637" i="3"/>
  <c r="AO639" i="3"/>
  <c r="AU638" i="3"/>
  <c r="BQ636" i="3"/>
  <c r="BF636" i="3"/>
  <c r="BJ635" i="3" s="1"/>
  <c r="BK635" i="3" s="1"/>
  <c r="BB636" i="3"/>
  <c r="AV637" i="3"/>
  <c r="BA637" i="3"/>
  <c r="AH639" i="3"/>
  <c r="X639" i="3"/>
  <c r="AX638" i="3"/>
  <c r="Y639" i="3"/>
  <c r="Z639" i="3" s="1"/>
  <c r="AG639" i="3"/>
  <c r="AN639" i="3"/>
  <c r="A641" i="3"/>
  <c r="AR640" i="3"/>
  <c r="B640" i="3"/>
  <c r="AQ640" i="3"/>
  <c r="C640" i="3"/>
  <c r="AK640" i="3"/>
  <c r="S640" i="3"/>
  <c r="Q640" i="3"/>
  <c r="D640" i="3"/>
  <c r="AM640" i="3"/>
  <c r="R640" i="3"/>
  <c r="AD640" i="3"/>
  <c r="P640" i="3"/>
  <c r="M640" i="3"/>
  <c r="AE640" i="3"/>
  <c r="V640" i="3"/>
  <c r="O640" i="3"/>
  <c r="AF640" i="3"/>
  <c r="U640" i="3"/>
  <c r="F640" i="3"/>
  <c r="G640" i="3"/>
  <c r="H640" i="3" s="1"/>
  <c r="T640" i="3"/>
  <c r="AW638" i="3"/>
  <c r="AT638" i="3"/>
  <c r="BN640" i="3" l="1"/>
  <c r="AU639" i="3"/>
  <c r="BD636" i="3"/>
  <c r="BG690" i="3"/>
  <c r="BH690" i="3" s="1"/>
  <c r="BI690" i="3" s="1"/>
  <c r="BG689" i="3"/>
  <c r="BH689" i="3" s="1"/>
  <c r="BI689" i="3" s="1"/>
  <c r="AT639" i="3"/>
  <c r="BC637" i="3"/>
  <c r="BG637" i="3" s="1"/>
  <c r="BH637" i="3" s="1"/>
  <c r="BI637" i="3" s="1"/>
  <c r="AN640" i="3"/>
  <c r="BM640" i="3"/>
  <c r="Y640" i="3"/>
  <c r="Z640" i="3" s="1"/>
  <c r="BA638" i="3"/>
  <c r="AV638" i="3"/>
  <c r="AR641" i="3"/>
  <c r="A642" i="3"/>
  <c r="AQ641" i="3"/>
  <c r="B641" i="3"/>
  <c r="C641" i="3"/>
  <c r="D641" i="3"/>
  <c r="AM641" i="3"/>
  <c r="AK641" i="3"/>
  <c r="T641" i="3"/>
  <c r="S641" i="3"/>
  <c r="AD641" i="3"/>
  <c r="R641" i="3"/>
  <c r="Q641" i="3"/>
  <c r="P641" i="3"/>
  <c r="O641" i="3"/>
  <c r="AE641" i="3"/>
  <c r="M641" i="3"/>
  <c r="AF641" i="3"/>
  <c r="V641" i="3"/>
  <c r="U641" i="3"/>
  <c r="G641" i="3"/>
  <c r="H641" i="3" s="1"/>
  <c r="F641" i="3"/>
  <c r="BB637" i="3"/>
  <c r="BF637" i="3"/>
  <c r="BJ636" i="3" s="1"/>
  <c r="BK636" i="3" s="1"/>
  <c r="BQ637" i="3"/>
  <c r="AY638" i="3"/>
  <c r="AG640" i="3"/>
  <c r="X640" i="3"/>
  <c r="AW639" i="3"/>
  <c r="AH640" i="3"/>
  <c r="AO640" i="3"/>
  <c r="AX639" i="3"/>
  <c r="AV639" i="3" l="1"/>
  <c r="BD637" i="3"/>
  <c r="BA639" i="3"/>
  <c r="BF639" i="3" s="1"/>
  <c r="AX640" i="3"/>
  <c r="BM641" i="3"/>
  <c r="AO641" i="3"/>
  <c r="AG641" i="3"/>
  <c r="BB638" i="3"/>
  <c r="BF638" i="3"/>
  <c r="BJ637" i="3" s="1"/>
  <c r="BK637" i="3" s="1"/>
  <c r="BQ638" i="3"/>
  <c r="AT640" i="3"/>
  <c r="AW640" i="3"/>
  <c r="AU640" i="3"/>
  <c r="AY639" i="3"/>
  <c r="BN641" i="3"/>
  <c r="AH641" i="3"/>
  <c r="AN641" i="3"/>
  <c r="X641" i="3"/>
  <c r="Y641" i="3"/>
  <c r="Z641" i="3" s="1"/>
  <c r="AR642" i="3"/>
  <c r="AQ642" i="3"/>
  <c r="B642" i="3"/>
  <c r="A643" i="3"/>
  <c r="C642" i="3"/>
  <c r="D642" i="3"/>
  <c r="AK642" i="3"/>
  <c r="S642" i="3"/>
  <c r="R642" i="3"/>
  <c r="Q642" i="3"/>
  <c r="AD642" i="3"/>
  <c r="P642" i="3"/>
  <c r="AM642" i="3"/>
  <c r="AE642" i="3"/>
  <c r="M642" i="3"/>
  <c r="AF642" i="3"/>
  <c r="O642" i="3"/>
  <c r="V642" i="3"/>
  <c r="U642" i="3"/>
  <c r="F642" i="3"/>
  <c r="G642" i="3"/>
  <c r="H642" i="3" s="1"/>
  <c r="T642" i="3"/>
  <c r="BC638" i="3"/>
  <c r="BC639" i="3" l="1"/>
  <c r="BG639" i="3" s="1"/>
  <c r="BH639" i="3" s="1"/>
  <c r="BI639" i="3" s="1"/>
  <c r="AN642" i="3"/>
  <c r="BQ639" i="3"/>
  <c r="BB639" i="3"/>
  <c r="AY640" i="3"/>
  <c r="BM642" i="3"/>
  <c r="AX641" i="3"/>
  <c r="AT641" i="3"/>
  <c r="AG642" i="3"/>
  <c r="Y642" i="3"/>
  <c r="Z642" i="3" s="1"/>
  <c r="A644" i="3"/>
  <c r="AQ643" i="3"/>
  <c r="AR643" i="3"/>
  <c r="B643" i="3"/>
  <c r="D643" i="3"/>
  <c r="AK643" i="3"/>
  <c r="C643" i="3"/>
  <c r="AM643" i="3"/>
  <c r="T643" i="3"/>
  <c r="R643" i="3"/>
  <c r="Q643" i="3"/>
  <c r="AD643" i="3"/>
  <c r="S643" i="3"/>
  <c r="P643" i="3"/>
  <c r="O643" i="3"/>
  <c r="AF643" i="3"/>
  <c r="V643" i="3"/>
  <c r="U643" i="3"/>
  <c r="AE643" i="3"/>
  <c r="M643" i="3"/>
  <c r="G643" i="3"/>
  <c r="H643" i="3" s="1"/>
  <c r="BN643" i="3" s="1"/>
  <c r="F643" i="3"/>
  <c r="BD638" i="3"/>
  <c r="BG638" i="3"/>
  <c r="BH638" i="3" s="1"/>
  <c r="BI638" i="3" s="1"/>
  <c r="AV640" i="3"/>
  <c r="BA640" i="3"/>
  <c r="AH642" i="3"/>
  <c r="BN642" i="3"/>
  <c r="AO642" i="3"/>
  <c r="X642" i="3"/>
  <c r="AU641" i="3"/>
  <c r="BJ638" i="3"/>
  <c r="BK638" i="3" s="1"/>
  <c r="AW641" i="3"/>
  <c r="BD639" i="3" l="1"/>
  <c r="AU642" i="3"/>
  <c r="AN643" i="3"/>
  <c r="BC640" i="3"/>
  <c r="BD640" i="3" s="1"/>
  <c r="AY641" i="3"/>
  <c r="BM643" i="3"/>
  <c r="AV641" i="3"/>
  <c r="AT642" i="3"/>
  <c r="AW642" i="3"/>
  <c r="BB640" i="3"/>
  <c r="BQ640" i="3"/>
  <c r="BF640" i="3"/>
  <c r="BJ639" i="3" s="1"/>
  <c r="BK639" i="3" s="1"/>
  <c r="Y643" i="3"/>
  <c r="Z643" i="3" s="1"/>
  <c r="A645" i="3"/>
  <c r="AR644" i="3"/>
  <c r="B644" i="3"/>
  <c r="AQ644" i="3"/>
  <c r="D644" i="3"/>
  <c r="C644" i="3"/>
  <c r="AK644" i="3"/>
  <c r="AM644" i="3"/>
  <c r="T644" i="3"/>
  <c r="R644" i="3"/>
  <c r="S644" i="3"/>
  <c r="AD644" i="3"/>
  <c r="Q644" i="3"/>
  <c r="P644" i="3"/>
  <c r="O644" i="3"/>
  <c r="U644" i="3"/>
  <c r="V644" i="3"/>
  <c r="M644" i="3"/>
  <c r="AE644" i="3"/>
  <c r="AF644" i="3"/>
  <c r="G644" i="3"/>
  <c r="H644" i="3" s="1"/>
  <c r="BN644" i="3" s="1"/>
  <c r="F644" i="3"/>
  <c r="AH643" i="3"/>
  <c r="BA641" i="3"/>
  <c r="AX642" i="3"/>
  <c r="AG643" i="3"/>
  <c r="X643" i="3"/>
  <c r="AO643" i="3"/>
  <c r="BM644" i="3" l="1"/>
  <c r="AV642" i="3"/>
  <c r="BG640" i="3"/>
  <c r="BH640" i="3" s="1"/>
  <c r="BI640" i="3" s="1"/>
  <c r="BC641" i="3"/>
  <c r="BD641" i="3" s="1"/>
  <c r="AN644" i="3"/>
  <c r="AY642" i="3"/>
  <c r="AT643" i="3"/>
  <c r="BA642" i="3"/>
  <c r="BQ642" i="3" s="1"/>
  <c r="AU643" i="3"/>
  <c r="Y644" i="3"/>
  <c r="Z644" i="3" s="1"/>
  <c r="AR645" i="3"/>
  <c r="A646" i="3"/>
  <c r="AQ645" i="3"/>
  <c r="B645" i="3"/>
  <c r="C645" i="3"/>
  <c r="AM645" i="3"/>
  <c r="S645" i="3"/>
  <c r="R645" i="3"/>
  <c r="Q645" i="3"/>
  <c r="D645" i="3"/>
  <c r="AK645" i="3"/>
  <c r="AD645" i="3"/>
  <c r="P645" i="3"/>
  <c r="O645" i="3"/>
  <c r="M645" i="3"/>
  <c r="AF645" i="3"/>
  <c r="AE645" i="3"/>
  <c r="U645" i="3"/>
  <c r="V645" i="3"/>
  <c r="G645" i="3"/>
  <c r="H645" i="3" s="1"/>
  <c r="F645" i="3"/>
  <c r="BM645" i="3" s="1"/>
  <c r="T645" i="3"/>
  <c r="AX643" i="3"/>
  <c r="AG644" i="3"/>
  <c r="AO644" i="3"/>
  <c r="BQ641" i="3"/>
  <c r="BF641" i="3"/>
  <c r="BJ640" i="3" s="1"/>
  <c r="BK640" i="3" s="1"/>
  <c r="BB641" i="3"/>
  <c r="AW643" i="3"/>
  <c r="AH644" i="3"/>
  <c r="X644" i="3"/>
  <c r="BC642" i="3" l="1"/>
  <c r="BD642" i="3" s="1"/>
  <c r="BN645" i="3"/>
  <c r="BG641" i="3"/>
  <c r="BH641" i="3" s="1"/>
  <c r="BI641" i="3" s="1"/>
  <c r="AO645" i="3"/>
  <c r="AV643" i="3"/>
  <c r="BB642" i="3"/>
  <c r="BF642" i="3"/>
  <c r="BJ641" i="3" s="1"/>
  <c r="BK641" i="3" s="1"/>
  <c r="AX644" i="3"/>
  <c r="AG645" i="3"/>
  <c r="AY643" i="3"/>
  <c r="BA643" i="3"/>
  <c r="BB643" i="3" s="1"/>
  <c r="AR646" i="3"/>
  <c r="AQ646" i="3"/>
  <c r="B646" i="3"/>
  <c r="A647" i="3"/>
  <c r="C646" i="3"/>
  <c r="AM646" i="3"/>
  <c r="T646" i="3"/>
  <c r="D646" i="3"/>
  <c r="AK646" i="3"/>
  <c r="S646" i="3"/>
  <c r="Q646" i="3"/>
  <c r="R646" i="3"/>
  <c r="AD646" i="3"/>
  <c r="P646" i="3"/>
  <c r="O646" i="3"/>
  <c r="AE646" i="3"/>
  <c r="M646" i="3"/>
  <c r="AF646" i="3"/>
  <c r="V646" i="3"/>
  <c r="U646" i="3"/>
  <c r="F646" i="3"/>
  <c r="BM646" i="3" s="1"/>
  <c r="G646" i="3"/>
  <c r="H646" i="3" s="1"/>
  <c r="AW644" i="3"/>
  <c r="AU644" i="3"/>
  <c r="Y645" i="3"/>
  <c r="Z645" i="3" s="1"/>
  <c r="AH645" i="3"/>
  <c r="AN645" i="3"/>
  <c r="AT644" i="3"/>
  <c r="X645" i="3"/>
  <c r="BG642" i="3" l="1"/>
  <c r="BH642" i="3" s="1"/>
  <c r="BI642" i="3" s="1"/>
  <c r="BN646" i="3"/>
  <c r="AY644" i="3"/>
  <c r="BC643" i="3"/>
  <c r="BD643" i="3" s="1"/>
  <c r="BF643" i="3"/>
  <c r="BJ642" i="3" s="1"/>
  <c r="BK642" i="3" s="1"/>
  <c r="AW645" i="3"/>
  <c r="AU645" i="3"/>
  <c r="AG646" i="3"/>
  <c r="AN646" i="3"/>
  <c r="BQ643" i="3"/>
  <c r="AV644" i="3"/>
  <c r="BA644" i="3"/>
  <c r="AT645" i="3"/>
  <c r="AX645" i="3"/>
  <c r="AH646" i="3"/>
  <c r="AO646" i="3"/>
  <c r="X646" i="3"/>
  <c r="Y646" i="3"/>
  <c r="Z646" i="3" s="1"/>
  <c r="A648" i="3"/>
  <c r="AQ647" i="3"/>
  <c r="AR647" i="3"/>
  <c r="B647" i="3"/>
  <c r="C647" i="3"/>
  <c r="AK647" i="3"/>
  <c r="AM647" i="3"/>
  <c r="D647" i="3"/>
  <c r="R647" i="3"/>
  <c r="Q647" i="3"/>
  <c r="S647" i="3"/>
  <c r="AD647" i="3"/>
  <c r="P647" i="3"/>
  <c r="O647" i="3"/>
  <c r="AE647" i="3"/>
  <c r="V647" i="3"/>
  <c r="M647" i="3"/>
  <c r="AF647" i="3"/>
  <c r="U647" i="3"/>
  <c r="G647" i="3"/>
  <c r="H647" i="3" s="1"/>
  <c r="F647" i="3"/>
  <c r="BM647" i="3" s="1"/>
  <c r="T647" i="3"/>
  <c r="BN647" i="3" l="1"/>
  <c r="BC644" i="3"/>
  <c r="BD644" i="3" s="1"/>
  <c r="BG643" i="3"/>
  <c r="BH643" i="3" s="1"/>
  <c r="BI643" i="3" s="1"/>
  <c r="AT646" i="3"/>
  <c r="AU646" i="3"/>
  <c r="AY645" i="3"/>
  <c r="AO647" i="3"/>
  <c r="AW646" i="3"/>
  <c r="AH647" i="3"/>
  <c r="Y647" i="3"/>
  <c r="Z647" i="3" s="1"/>
  <c r="A649" i="3"/>
  <c r="AR648" i="3"/>
  <c r="B648" i="3"/>
  <c r="AQ648" i="3"/>
  <c r="D648" i="3"/>
  <c r="C648" i="3"/>
  <c r="AK648" i="3"/>
  <c r="R648" i="3"/>
  <c r="AM648" i="3"/>
  <c r="S648" i="3"/>
  <c r="Q648" i="3"/>
  <c r="AD648" i="3"/>
  <c r="P648" i="3"/>
  <c r="O648" i="3"/>
  <c r="M648" i="3"/>
  <c r="U648" i="3"/>
  <c r="V648" i="3"/>
  <c r="AF648" i="3"/>
  <c r="AE648" i="3"/>
  <c r="F648" i="3"/>
  <c r="G648" i="3"/>
  <c r="H648" i="3" s="1"/>
  <c r="BN648" i="3" s="1"/>
  <c r="T648" i="3"/>
  <c r="AV645" i="3"/>
  <c r="BA645" i="3"/>
  <c r="AG647" i="3"/>
  <c r="AN647" i="3"/>
  <c r="X647" i="3"/>
  <c r="AX646" i="3"/>
  <c r="BQ644" i="3"/>
  <c r="BF644" i="3"/>
  <c r="BJ643" i="3" s="1"/>
  <c r="BK643" i="3" s="1"/>
  <c r="BB644" i="3"/>
  <c r="BG644" i="3" l="1"/>
  <c r="BH644" i="3" s="1"/>
  <c r="BI644" i="3" s="1"/>
  <c r="BM648" i="3"/>
  <c r="AV646" i="3"/>
  <c r="AN648" i="3"/>
  <c r="BC645" i="3"/>
  <c r="BD645" i="3" s="1"/>
  <c r="BA646" i="3"/>
  <c r="BB646" i="3" s="1"/>
  <c r="AT647" i="3"/>
  <c r="AU647" i="3"/>
  <c r="AX647" i="3"/>
  <c r="BB645" i="3"/>
  <c r="BF645" i="3"/>
  <c r="BJ644" i="3" s="1"/>
  <c r="BK644" i="3" s="1"/>
  <c r="BQ645" i="3"/>
  <c r="AW647" i="3"/>
  <c r="Y648" i="3"/>
  <c r="Z648" i="3" s="1"/>
  <c r="X648" i="3"/>
  <c r="AY646" i="3"/>
  <c r="AH648" i="3"/>
  <c r="AG648" i="3"/>
  <c r="AR649" i="3"/>
  <c r="A650" i="3"/>
  <c r="AQ649" i="3"/>
  <c r="B649" i="3"/>
  <c r="C649" i="3"/>
  <c r="D649" i="3"/>
  <c r="AM649" i="3"/>
  <c r="AK649" i="3"/>
  <c r="R649" i="3"/>
  <c r="Q649" i="3"/>
  <c r="S649" i="3"/>
  <c r="AD649" i="3"/>
  <c r="P649" i="3"/>
  <c r="O649" i="3"/>
  <c r="M649" i="3"/>
  <c r="AE649" i="3"/>
  <c r="AF649" i="3"/>
  <c r="V649" i="3"/>
  <c r="U649" i="3"/>
  <c r="F649" i="3"/>
  <c r="G649" i="3"/>
  <c r="H649" i="3" s="1"/>
  <c r="T649" i="3"/>
  <c r="AO648" i="3"/>
  <c r="BC646" i="3" l="1"/>
  <c r="BG646" i="3" s="1"/>
  <c r="BH646" i="3" s="1"/>
  <c r="BI646" i="3" s="1"/>
  <c r="BG645" i="3"/>
  <c r="BH645" i="3" s="1"/>
  <c r="BI645" i="3" s="1"/>
  <c r="BQ646" i="3"/>
  <c r="BN649" i="3"/>
  <c r="BF646" i="3"/>
  <c r="BJ645" i="3" s="1"/>
  <c r="BK645" i="3" s="1"/>
  <c r="AY647" i="3"/>
  <c r="AV647" i="3"/>
  <c r="AW648" i="3"/>
  <c r="AN649" i="3"/>
  <c r="BA647" i="3"/>
  <c r="BF647" i="3" s="1"/>
  <c r="AR650" i="3"/>
  <c r="AQ650" i="3"/>
  <c r="B650" i="3"/>
  <c r="A651" i="3"/>
  <c r="C650" i="3"/>
  <c r="D650" i="3"/>
  <c r="S650" i="3"/>
  <c r="Q650" i="3"/>
  <c r="R650" i="3"/>
  <c r="AM650" i="3"/>
  <c r="AK650" i="3"/>
  <c r="AD650" i="3"/>
  <c r="P650" i="3"/>
  <c r="O650" i="3"/>
  <c r="M650" i="3"/>
  <c r="AF650" i="3"/>
  <c r="U650" i="3"/>
  <c r="V650" i="3"/>
  <c r="AE650" i="3"/>
  <c r="G650" i="3"/>
  <c r="H650" i="3" s="1"/>
  <c r="F650" i="3"/>
  <c r="BM650" i="3" s="1"/>
  <c r="T650" i="3"/>
  <c r="X649" i="3"/>
  <c r="Y649" i="3"/>
  <c r="Z649" i="3" s="1"/>
  <c r="BM649" i="3"/>
  <c r="AG649" i="3"/>
  <c r="AH649" i="3"/>
  <c r="AO649" i="3"/>
  <c r="AU648" i="3"/>
  <c r="AX648" i="3"/>
  <c r="AT648" i="3"/>
  <c r="BD646" i="3" l="1"/>
  <c r="BN650" i="3"/>
  <c r="BJ646" i="3"/>
  <c r="BK646" i="3" s="1"/>
  <c r="AY648" i="3"/>
  <c r="BC647" i="3"/>
  <c r="BG647" i="3" s="1"/>
  <c r="BH647" i="3" s="1"/>
  <c r="BI647" i="3" s="1"/>
  <c r="AT649" i="3"/>
  <c r="BQ647" i="3"/>
  <c r="BB647" i="3"/>
  <c r="AU649" i="3"/>
  <c r="AW649" i="3"/>
  <c r="AV648" i="3"/>
  <c r="BA648" i="3"/>
  <c r="AN650" i="3"/>
  <c r="AO650" i="3"/>
  <c r="Y650" i="3"/>
  <c r="Z650" i="3" s="1"/>
  <c r="AX649" i="3"/>
  <c r="AG650" i="3"/>
  <c r="X650" i="3"/>
  <c r="A652" i="3"/>
  <c r="AQ651" i="3"/>
  <c r="AR651" i="3"/>
  <c r="B651" i="3"/>
  <c r="C651" i="3"/>
  <c r="AM651" i="3"/>
  <c r="AK651" i="3"/>
  <c r="T651" i="3"/>
  <c r="S651" i="3"/>
  <c r="R651" i="3"/>
  <c r="Q651" i="3"/>
  <c r="D651" i="3"/>
  <c r="AD651" i="3"/>
  <c r="O651" i="3"/>
  <c r="M651" i="3"/>
  <c r="U651" i="3"/>
  <c r="V651" i="3"/>
  <c r="P651" i="3"/>
  <c r="AE651" i="3"/>
  <c r="AF651" i="3"/>
  <c r="G651" i="3"/>
  <c r="H651" i="3" s="1"/>
  <c r="F651" i="3"/>
  <c r="AH650" i="3"/>
  <c r="BD647" i="3" l="1"/>
  <c r="BC648" i="3"/>
  <c r="BD648" i="3" s="1"/>
  <c r="BM651" i="3"/>
  <c r="AN651" i="3"/>
  <c r="AV649" i="3"/>
  <c r="AH651" i="3"/>
  <c r="AW650" i="3"/>
  <c r="AY649" i="3"/>
  <c r="BB648" i="3"/>
  <c r="BF648" i="3"/>
  <c r="BJ647" i="3" s="1"/>
  <c r="BK647" i="3" s="1"/>
  <c r="BQ648" i="3"/>
  <c r="A653" i="3"/>
  <c r="AR652" i="3"/>
  <c r="B652" i="3"/>
  <c r="AQ652" i="3"/>
  <c r="D652" i="3"/>
  <c r="C652" i="3"/>
  <c r="AK652" i="3"/>
  <c r="AM652" i="3"/>
  <c r="Q652" i="3"/>
  <c r="S652" i="3"/>
  <c r="R652" i="3"/>
  <c r="AD652" i="3"/>
  <c r="P652" i="3"/>
  <c r="O652" i="3"/>
  <c r="AF652" i="3"/>
  <c r="AE652" i="3"/>
  <c r="U652" i="3"/>
  <c r="M652" i="3"/>
  <c r="V652" i="3"/>
  <c r="G652" i="3"/>
  <c r="H652" i="3" s="1"/>
  <c r="F652" i="3"/>
  <c r="T652" i="3"/>
  <c r="AU650" i="3"/>
  <c r="AX650" i="3"/>
  <c r="BN651" i="3"/>
  <c r="AG651" i="3"/>
  <c r="AO651" i="3"/>
  <c r="X651" i="3"/>
  <c r="BA649" i="3"/>
  <c r="Y651" i="3"/>
  <c r="Z651" i="3" s="1"/>
  <c r="AT650" i="3"/>
  <c r="AY650" i="3" l="1"/>
  <c r="BG648" i="3"/>
  <c r="BH648" i="3" s="1"/>
  <c r="BI648" i="3" s="1"/>
  <c r="BM652" i="3"/>
  <c r="AO652" i="3"/>
  <c r="BC649" i="3"/>
  <c r="BG649" i="3" s="1"/>
  <c r="BH649" i="3" s="1"/>
  <c r="BI649" i="3" s="1"/>
  <c r="AW651" i="3"/>
  <c r="AU651" i="3"/>
  <c r="AV650" i="3"/>
  <c r="BA650" i="3"/>
  <c r="AX651" i="3"/>
  <c r="AT651" i="3"/>
  <c r="Y652" i="3"/>
  <c r="Z652" i="3" s="1"/>
  <c r="BN652" i="3"/>
  <c r="AG652" i="3"/>
  <c r="AH652" i="3"/>
  <c r="AN652" i="3"/>
  <c r="X652" i="3"/>
  <c r="BF649" i="3"/>
  <c r="BJ648" i="3" s="1"/>
  <c r="BK648" i="3" s="1"/>
  <c r="BB649" i="3"/>
  <c r="BQ649" i="3"/>
  <c r="AQ653" i="3"/>
  <c r="B653" i="3"/>
  <c r="A654" i="3"/>
  <c r="AR653" i="3"/>
  <c r="C653" i="3"/>
  <c r="S653" i="3"/>
  <c r="Q653" i="3"/>
  <c r="D653" i="3"/>
  <c r="AK653" i="3"/>
  <c r="AM653" i="3"/>
  <c r="T653" i="3"/>
  <c r="R653" i="3"/>
  <c r="AD653" i="3"/>
  <c r="P653" i="3"/>
  <c r="O653" i="3"/>
  <c r="AE653" i="3"/>
  <c r="AF653" i="3"/>
  <c r="V653" i="3"/>
  <c r="U653" i="3"/>
  <c r="M653" i="3"/>
  <c r="G653" i="3"/>
  <c r="H653" i="3" s="1"/>
  <c r="F653" i="3"/>
  <c r="BC650" i="3" l="1"/>
  <c r="BD650" i="3" s="1"/>
  <c r="BN653" i="3"/>
  <c r="BD649" i="3"/>
  <c r="AY651" i="3"/>
  <c r="AT652" i="3"/>
  <c r="AO653" i="3"/>
  <c r="AX652" i="3"/>
  <c r="AR654" i="3"/>
  <c r="AQ654" i="3"/>
  <c r="B654" i="3"/>
  <c r="A655" i="3"/>
  <c r="C654" i="3"/>
  <c r="S654" i="3"/>
  <c r="AM654" i="3"/>
  <c r="AK654" i="3"/>
  <c r="D654" i="3"/>
  <c r="T654" i="3"/>
  <c r="R654" i="3"/>
  <c r="Q654" i="3"/>
  <c r="AD654" i="3"/>
  <c r="P654" i="3"/>
  <c r="AE654" i="3"/>
  <c r="V654" i="3"/>
  <c r="O654" i="3"/>
  <c r="M654" i="3"/>
  <c r="AF654" i="3"/>
  <c r="U654" i="3"/>
  <c r="G654" i="3"/>
  <c r="H654" i="3" s="1"/>
  <c r="F654" i="3"/>
  <c r="Y653" i="3"/>
  <c r="Z653" i="3" s="1"/>
  <c r="BB650" i="3"/>
  <c r="BQ650" i="3"/>
  <c r="BF650" i="3"/>
  <c r="BJ649" i="3" s="1"/>
  <c r="BK649" i="3" s="1"/>
  <c r="BM653" i="3"/>
  <c r="AG653" i="3"/>
  <c r="AN653" i="3"/>
  <c r="AU652" i="3"/>
  <c r="AW652" i="3"/>
  <c r="AV651" i="3"/>
  <c r="BA651" i="3"/>
  <c r="AH653" i="3"/>
  <c r="X653" i="3"/>
  <c r="BN654" i="3" l="1"/>
  <c r="BG650" i="3"/>
  <c r="BH650" i="3" s="1"/>
  <c r="BI650" i="3" s="1"/>
  <c r="AV652" i="3"/>
  <c r="BC651" i="3"/>
  <c r="BG651" i="3" s="1"/>
  <c r="BH651" i="3" s="1"/>
  <c r="BI651" i="3" s="1"/>
  <c r="BM654" i="3"/>
  <c r="AO654" i="3"/>
  <c r="AH654" i="3"/>
  <c r="AX653" i="3"/>
  <c r="AY652" i="3"/>
  <c r="BA652" i="3"/>
  <c r="BQ652" i="3" s="1"/>
  <c r="AU653" i="3"/>
  <c r="BF651" i="3"/>
  <c r="BJ650" i="3" s="1"/>
  <c r="BK650" i="3" s="1"/>
  <c r="BQ651" i="3"/>
  <c r="BB651" i="3"/>
  <c r="AT653" i="3"/>
  <c r="AW653" i="3"/>
  <c r="AG654" i="3"/>
  <c r="Y654" i="3"/>
  <c r="Z654" i="3" s="1"/>
  <c r="AN654" i="3"/>
  <c r="X654" i="3"/>
  <c r="A656" i="3"/>
  <c r="AQ655" i="3"/>
  <c r="AR655" i="3"/>
  <c r="B655" i="3"/>
  <c r="C655" i="3"/>
  <c r="D655" i="3"/>
  <c r="AM655" i="3"/>
  <c r="T655" i="3"/>
  <c r="Q655" i="3"/>
  <c r="S655" i="3"/>
  <c r="R655" i="3"/>
  <c r="AD655" i="3"/>
  <c r="AK655" i="3"/>
  <c r="O655" i="3"/>
  <c r="M655" i="3"/>
  <c r="P655" i="3"/>
  <c r="AE655" i="3"/>
  <c r="AF655" i="3"/>
  <c r="U655" i="3"/>
  <c r="V655" i="3"/>
  <c r="G655" i="3"/>
  <c r="H655" i="3" s="1"/>
  <c r="F655" i="3"/>
  <c r="BC652" i="3" l="1"/>
  <c r="BD652" i="3" s="1"/>
  <c r="AO655" i="3"/>
  <c r="BD651" i="3"/>
  <c r="BM655" i="3"/>
  <c r="BN655" i="3"/>
  <c r="AT654" i="3"/>
  <c r="AX654" i="3"/>
  <c r="AU654" i="3"/>
  <c r="AV653" i="3"/>
  <c r="AY653" i="3"/>
  <c r="BF652" i="3"/>
  <c r="BJ651" i="3" s="1"/>
  <c r="BK651" i="3" s="1"/>
  <c r="BB652" i="3"/>
  <c r="BA653" i="3"/>
  <c r="BF653" i="3" s="1"/>
  <c r="AG655" i="3"/>
  <c r="Y655" i="3"/>
  <c r="Z655" i="3" s="1"/>
  <c r="AH655" i="3"/>
  <c r="AW654" i="3"/>
  <c r="A657" i="3"/>
  <c r="AR656" i="3"/>
  <c r="B656" i="3"/>
  <c r="AQ656" i="3"/>
  <c r="C656" i="3"/>
  <c r="D656" i="3"/>
  <c r="AK656" i="3"/>
  <c r="T656" i="3"/>
  <c r="S656" i="3"/>
  <c r="AM656" i="3"/>
  <c r="R656" i="3"/>
  <c r="Q656" i="3"/>
  <c r="AD656" i="3"/>
  <c r="O656" i="3"/>
  <c r="AF656" i="3"/>
  <c r="AE656" i="3"/>
  <c r="M656" i="3"/>
  <c r="U656" i="3"/>
  <c r="P656" i="3"/>
  <c r="V656" i="3"/>
  <c r="F656" i="3"/>
  <c r="BM656" i="3" s="1"/>
  <c r="G656" i="3"/>
  <c r="H656" i="3" s="1"/>
  <c r="AN655" i="3"/>
  <c r="X655" i="3"/>
  <c r="BN656" i="3" l="1"/>
  <c r="BG652" i="3"/>
  <c r="BH652" i="3" s="1"/>
  <c r="BI652" i="3" s="1"/>
  <c r="AV654" i="3"/>
  <c r="BJ652" i="3"/>
  <c r="BK652" i="3" s="1"/>
  <c r="AT655" i="3"/>
  <c r="BC653" i="3"/>
  <c r="BD653" i="3" s="1"/>
  <c r="AY654" i="3"/>
  <c r="BB653" i="3"/>
  <c r="BQ653" i="3"/>
  <c r="AN656" i="3"/>
  <c r="AG656" i="3"/>
  <c r="AR657" i="3"/>
  <c r="A658" i="3"/>
  <c r="AQ657" i="3"/>
  <c r="B657" i="3"/>
  <c r="C657" i="3"/>
  <c r="Q657" i="3"/>
  <c r="R657" i="3"/>
  <c r="D657" i="3"/>
  <c r="AM657" i="3"/>
  <c r="AK657" i="3"/>
  <c r="S657" i="3"/>
  <c r="AD657" i="3"/>
  <c r="P657" i="3"/>
  <c r="O657" i="3"/>
  <c r="AE657" i="3"/>
  <c r="M657" i="3"/>
  <c r="V657" i="3"/>
  <c r="U657" i="3"/>
  <c r="AF657" i="3"/>
  <c r="F657" i="3"/>
  <c r="G657" i="3"/>
  <c r="H657" i="3" s="1"/>
  <c r="T657" i="3"/>
  <c r="Y656" i="3"/>
  <c r="Z656" i="3" s="1"/>
  <c r="AX655" i="3"/>
  <c r="AW655" i="3"/>
  <c r="AH656" i="3"/>
  <c r="AO656" i="3"/>
  <c r="X656" i="3"/>
  <c r="AU655" i="3"/>
  <c r="BA654" i="3"/>
  <c r="BC654" i="3" l="1"/>
  <c r="BD654" i="3" s="1"/>
  <c r="BG653" i="3"/>
  <c r="BH653" i="3" s="1"/>
  <c r="BI653" i="3" s="1"/>
  <c r="AY655" i="3"/>
  <c r="BM657" i="3"/>
  <c r="BA655" i="3"/>
  <c r="BF655" i="3" s="1"/>
  <c r="AO657" i="3"/>
  <c r="AX656" i="3"/>
  <c r="AV655" i="3"/>
  <c r="Y657" i="3"/>
  <c r="Z657" i="3" s="1"/>
  <c r="BB654" i="3"/>
  <c r="BQ654" i="3"/>
  <c r="BF654" i="3"/>
  <c r="AR658" i="3"/>
  <c r="B658" i="3"/>
  <c r="AQ658" i="3"/>
  <c r="A659" i="3"/>
  <c r="C658" i="3"/>
  <c r="AK658" i="3"/>
  <c r="D658" i="3"/>
  <c r="AM658" i="3"/>
  <c r="T658" i="3"/>
  <c r="S658" i="3"/>
  <c r="Q658" i="3"/>
  <c r="AD658" i="3"/>
  <c r="P658" i="3"/>
  <c r="AE658" i="3"/>
  <c r="O658" i="3"/>
  <c r="U658" i="3"/>
  <c r="V658" i="3"/>
  <c r="M658" i="3"/>
  <c r="AF658" i="3"/>
  <c r="R658" i="3"/>
  <c r="G658" i="3"/>
  <c r="H658" i="3" s="1"/>
  <c r="F658" i="3"/>
  <c r="AT656" i="3"/>
  <c r="AU656" i="3"/>
  <c r="AW656" i="3"/>
  <c r="BN657" i="3"/>
  <c r="AH657" i="3"/>
  <c r="AG657" i="3"/>
  <c r="AN657" i="3"/>
  <c r="X657" i="3"/>
  <c r="BG654" i="3" l="1"/>
  <c r="BH654" i="3" s="1"/>
  <c r="BI654" i="3" s="1"/>
  <c r="BN658" i="3"/>
  <c r="AY656" i="3"/>
  <c r="AN658" i="3"/>
  <c r="BQ655" i="3"/>
  <c r="BC655" i="3"/>
  <c r="BD655" i="3" s="1"/>
  <c r="BM658" i="3"/>
  <c r="AG658" i="3"/>
  <c r="BB655" i="3"/>
  <c r="AU657" i="3"/>
  <c r="AV656" i="3"/>
  <c r="AR659" i="3"/>
  <c r="B659" i="3"/>
  <c r="AQ659" i="3"/>
  <c r="A660" i="3"/>
  <c r="C659" i="3"/>
  <c r="D659" i="3"/>
  <c r="AM659" i="3"/>
  <c r="AK659" i="3"/>
  <c r="S659" i="3"/>
  <c r="Q659" i="3"/>
  <c r="R659" i="3"/>
  <c r="P659" i="3"/>
  <c r="AD659" i="3"/>
  <c r="AE659" i="3"/>
  <c r="U659" i="3"/>
  <c r="O659" i="3"/>
  <c r="M659" i="3"/>
  <c r="AF659" i="3"/>
  <c r="V659" i="3"/>
  <c r="G659" i="3"/>
  <c r="H659" i="3" s="1"/>
  <c r="F659" i="3"/>
  <c r="T659" i="3"/>
  <c r="BJ654" i="3"/>
  <c r="BK654" i="3" s="1"/>
  <c r="BJ653" i="3"/>
  <c r="BK653" i="3" s="1"/>
  <c r="Y658" i="3"/>
  <c r="Z658" i="3" s="1"/>
  <c r="AX657" i="3"/>
  <c r="AH658" i="3"/>
  <c r="AO658" i="3"/>
  <c r="AT657" i="3"/>
  <c r="AW657" i="3"/>
  <c r="BA656" i="3"/>
  <c r="X658" i="3"/>
  <c r="BM659" i="3" l="1"/>
  <c r="BN659" i="3"/>
  <c r="BG655" i="3"/>
  <c r="BH655" i="3" s="1"/>
  <c r="BI655" i="3" s="1"/>
  <c r="BC656" i="3"/>
  <c r="BG656" i="3" s="1"/>
  <c r="BH656" i="3" s="1"/>
  <c r="BI656" i="3" s="1"/>
  <c r="AT658" i="3"/>
  <c r="AY657" i="3"/>
  <c r="AU658" i="3"/>
  <c r="AW658" i="3"/>
  <c r="Y659" i="3"/>
  <c r="Z659" i="3" s="1"/>
  <c r="AO659" i="3"/>
  <c r="A661" i="3"/>
  <c r="AR660" i="3"/>
  <c r="B660" i="3"/>
  <c r="AQ660" i="3"/>
  <c r="D660" i="3"/>
  <c r="AM660" i="3"/>
  <c r="C660" i="3"/>
  <c r="S660" i="3"/>
  <c r="AD660" i="3"/>
  <c r="P660" i="3"/>
  <c r="AK660" i="3"/>
  <c r="R660" i="3"/>
  <c r="Q660" i="3"/>
  <c r="O660" i="3"/>
  <c r="AF660" i="3"/>
  <c r="AE660" i="3"/>
  <c r="M660" i="3"/>
  <c r="V660" i="3"/>
  <c r="F660" i="3"/>
  <c r="U660" i="3"/>
  <c r="G660" i="3"/>
  <c r="H660" i="3" s="1"/>
  <c r="BN660" i="3" s="1"/>
  <c r="T660" i="3"/>
  <c r="BF656" i="3"/>
  <c r="BJ655" i="3" s="1"/>
  <c r="BK655" i="3" s="1"/>
  <c r="BQ656" i="3"/>
  <c r="BB656" i="3"/>
  <c r="AV657" i="3"/>
  <c r="BA657" i="3"/>
  <c r="AG659" i="3"/>
  <c r="AX658" i="3"/>
  <c r="AH659" i="3"/>
  <c r="AN659" i="3"/>
  <c r="X659" i="3"/>
  <c r="BM660" i="3" l="1"/>
  <c r="AY658" i="3"/>
  <c r="BD656" i="3"/>
  <c r="AV658" i="3"/>
  <c r="BC657" i="3"/>
  <c r="BD657" i="3" s="1"/>
  <c r="AO660" i="3"/>
  <c r="AX659" i="3"/>
  <c r="AT659" i="3"/>
  <c r="BQ657" i="3"/>
  <c r="BB657" i="3"/>
  <c r="BF657" i="3"/>
  <c r="AQ661" i="3"/>
  <c r="B661" i="3"/>
  <c r="A662" i="3"/>
  <c r="AR661" i="3"/>
  <c r="C661" i="3"/>
  <c r="D661" i="3"/>
  <c r="AM661" i="3"/>
  <c r="T661" i="3"/>
  <c r="AK661" i="3"/>
  <c r="R661" i="3"/>
  <c r="Q661" i="3"/>
  <c r="AD661" i="3"/>
  <c r="S661" i="3"/>
  <c r="M661" i="3"/>
  <c r="AF661" i="3"/>
  <c r="V661" i="3"/>
  <c r="P661" i="3"/>
  <c r="O661" i="3"/>
  <c r="AE661" i="3"/>
  <c r="U661" i="3"/>
  <c r="G661" i="3"/>
  <c r="H661" i="3" s="1"/>
  <c r="F661" i="3"/>
  <c r="AH660" i="3"/>
  <c r="X660" i="3"/>
  <c r="AU659" i="3"/>
  <c r="AW659" i="3"/>
  <c r="Y660" i="3"/>
  <c r="Z660" i="3" s="1"/>
  <c r="AG660" i="3"/>
  <c r="AN660" i="3"/>
  <c r="BA658" i="3"/>
  <c r="AO661" i="3" l="1"/>
  <c r="BC658" i="3"/>
  <c r="BG658" i="3" s="1"/>
  <c r="BH658" i="3" s="1"/>
  <c r="BI658" i="3" s="1"/>
  <c r="BG657" i="3"/>
  <c r="BH657" i="3" s="1"/>
  <c r="BI657" i="3" s="1"/>
  <c r="BN661" i="3"/>
  <c r="AY659" i="3"/>
  <c r="AV659" i="3"/>
  <c r="AU660" i="3"/>
  <c r="AG661" i="3"/>
  <c r="AW660" i="3"/>
  <c r="BA659" i="3"/>
  <c r="BQ659" i="3" s="1"/>
  <c r="AT660" i="3"/>
  <c r="AX660" i="3"/>
  <c r="AR662" i="3"/>
  <c r="AQ662" i="3"/>
  <c r="B662" i="3"/>
  <c r="A663" i="3"/>
  <c r="C662" i="3"/>
  <c r="D662" i="3"/>
  <c r="S662" i="3"/>
  <c r="AK662" i="3"/>
  <c r="AM662" i="3"/>
  <c r="R662" i="3"/>
  <c r="Q662" i="3"/>
  <c r="AD662" i="3"/>
  <c r="P662" i="3"/>
  <c r="AE662" i="3"/>
  <c r="AF662" i="3"/>
  <c r="V662" i="3"/>
  <c r="O662" i="3"/>
  <c r="M662" i="3"/>
  <c r="U662" i="3"/>
  <c r="G662" i="3"/>
  <c r="H662" i="3" s="1"/>
  <c r="F662" i="3"/>
  <c r="BM662" i="3" s="1"/>
  <c r="T662" i="3"/>
  <c r="BQ658" i="3"/>
  <c r="BF658" i="3"/>
  <c r="BJ657" i="3" s="1"/>
  <c r="BK657" i="3" s="1"/>
  <c r="BB658" i="3"/>
  <c r="Y661" i="3"/>
  <c r="Z661" i="3" s="1"/>
  <c r="BJ656" i="3"/>
  <c r="BK656" i="3" s="1"/>
  <c r="AH661" i="3"/>
  <c r="AN661" i="3"/>
  <c r="X661" i="3"/>
  <c r="BM661" i="3"/>
  <c r="AU661" i="3" l="1"/>
  <c r="BN662" i="3"/>
  <c r="BD658" i="3"/>
  <c r="BC659" i="3"/>
  <c r="BG659" i="3" s="1"/>
  <c r="BH659" i="3" s="1"/>
  <c r="BI659" i="3" s="1"/>
  <c r="AY660" i="3"/>
  <c r="AN662" i="3"/>
  <c r="AT661" i="3"/>
  <c r="AW661" i="3"/>
  <c r="AH662" i="3"/>
  <c r="BF659" i="3"/>
  <c r="BJ658" i="3" s="1"/>
  <c r="BK658" i="3" s="1"/>
  <c r="BB659" i="3"/>
  <c r="AV660" i="3"/>
  <c r="BA660" i="3"/>
  <c r="AR663" i="3"/>
  <c r="A664" i="3"/>
  <c r="AQ663" i="3"/>
  <c r="B663" i="3"/>
  <c r="C663" i="3"/>
  <c r="AM663" i="3"/>
  <c r="Q663" i="3"/>
  <c r="D663" i="3"/>
  <c r="AK663" i="3"/>
  <c r="T663" i="3"/>
  <c r="S663" i="3"/>
  <c r="R663" i="3"/>
  <c r="AD663" i="3"/>
  <c r="P663" i="3"/>
  <c r="O663" i="3"/>
  <c r="AE663" i="3"/>
  <c r="M663" i="3"/>
  <c r="AF663" i="3"/>
  <c r="V663" i="3"/>
  <c r="U663" i="3"/>
  <c r="F663" i="3"/>
  <c r="BM663" i="3" s="1"/>
  <c r="G663" i="3"/>
  <c r="H663" i="3" s="1"/>
  <c r="X662" i="3"/>
  <c r="AX661" i="3"/>
  <c r="Y662" i="3"/>
  <c r="Z662" i="3" s="1"/>
  <c r="AG662" i="3"/>
  <c r="AO662" i="3"/>
  <c r="AV661" i="3" l="1"/>
  <c r="BN663" i="3"/>
  <c r="BD659" i="3"/>
  <c r="AU662" i="3"/>
  <c r="BC660" i="3"/>
  <c r="BD660" i="3" s="1"/>
  <c r="AN663" i="3"/>
  <c r="AY661" i="3"/>
  <c r="Y663" i="3"/>
  <c r="Z663" i="3" s="1"/>
  <c r="A665" i="3"/>
  <c r="AR664" i="3"/>
  <c r="B664" i="3"/>
  <c r="AQ664" i="3"/>
  <c r="C664" i="3"/>
  <c r="D664" i="3"/>
  <c r="AK664" i="3"/>
  <c r="S664" i="3"/>
  <c r="Q664" i="3"/>
  <c r="AM664" i="3"/>
  <c r="AD664" i="3"/>
  <c r="P664" i="3"/>
  <c r="T664" i="3"/>
  <c r="R664" i="3"/>
  <c r="AF664" i="3"/>
  <c r="U664" i="3"/>
  <c r="O664" i="3"/>
  <c r="AE664" i="3"/>
  <c r="M664" i="3"/>
  <c r="V664" i="3"/>
  <c r="G664" i="3"/>
  <c r="H664" i="3" s="1"/>
  <c r="F664" i="3"/>
  <c r="BB660" i="3"/>
  <c r="BQ660" i="3"/>
  <c r="BF660" i="3"/>
  <c r="BJ659" i="3" s="1"/>
  <c r="BK659" i="3" s="1"/>
  <c r="AG663" i="3"/>
  <c r="AW662" i="3"/>
  <c r="AT662" i="3"/>
  <c r="AX662" i="3"/>
  <c r="AH663" i="3"/>
  <c r="AO663" i="3"/>
  <c r="X663" i="3"/>
  <c r="BA661" i="3"/>
  <c r="BC661" i="3" l="1"/>
  <c r="BD661" i="3" s="1"/>
  <c r="BM664" i="3"/>
  <c r="AN664" i="3"/>
  <c r="BG660" i="3"/>
  <c r="BH660" i="3" s="1"/>
  <c r="BI660" i="3" s="1"/>
  <c r="AU663" i="3"/>
  <c r="AG664" i="3"/>
  <c r="BQ661" i="3"/>
  <c r="BB661" i="3"/>
  <c r="BF661" i="3"/>
  <c r="Y664" i="3"/>
  <c r="Z664" i="3" s="1"/>
  <c r="BA662" i="3"/>
  <c r="AV662" i="3"/>
  <c r="AR665" i="3"/>
  <c r="A666" i="3"/>
  <c r="AQ665" i="3"/>
  <c r="B665" i="3"/>
  <c r="C665" i="3"/>
  <c r="D665" i="3"/>
  <c r="T665" i="3"/>
  <c r="AM665" i="3"/>
  <c r="AK665" i="3"/>
  <c r="S665" i="3"/>
  <c r="Q665" i="3"/>
  <c r="P665" i="3"/>
  <c r="AD665" i="3"/>
  <c r="AE665" i="3"/>
  <c r="M665" i="3"/>
  <c r="V665" i="3"/>
  <c r="U665" i="3"/>
  <c r="O665" i="3"/>
  <c r="AF665" i="3"/>
  <c r="R665" i="3"/>
  <c r="G665" i="3"/>
  <c r="H665" i="3" s="1"/>
  <c r="F665" i="3"/>
  <c r="AY662" i="3"/>
  <c r="AW663" i="3"/>
  <c r="AT663" i="3"/>
  <c r="AX663" i="3"/>
  <c r="BN664" i="3"/>
  <c r="AH664" i="3"/>
  <c r="AO664" i="3"/>
  <c r="X664" i="3"/>
  <c r="BG661" i="3" l="1"/>
  <c r="BH661" i="3" s="1"/>
  <c r="BI661" i="3" s="1"/>
  <c r="AX664" i="3"/>
  <c r="BN665" i="3"/>
  <c r="AY663" i="3"/>
  <c r="AH665" i="3"/>
  <c r="AO665" i="3"/>
  <c r="BQ662" i="3"/>
  <c r="BB662" i="3"/>
  <c r="BF662" i="3"/>
  <c r="BJ661" i="3" s="1"/>
  <c r="BK661" i="3" s="1"/>
  <c r="AV663" i="3"/>
  <c r="BA663" i="3"/>
  <c r="Y665" i="3"/>
  <c r="Z665" i="3" s="1"/>
  <c r="AR666" i="3"/>
  <c r="AQ666" i="3"/>
  <c r="B666" i="3"/>
  <c r="A667" i="3"/>
  <c r="AM666" i="3"/>
  <c r="T666" i="3"/>
  <c r="S666" i="3"/>
  <c r="C666" i="3"/>
  <c r="D666" i="3"/>
  <c r="R666" i="3"/>
  <c r="Q666" i="3"/>
  <c r="AK666" i="3"/>
  <c r="AD666" i="3"/>
  <c r="AE666" i="3"/>
  <c r="M666" i="3"/>
  <c r="P666" i="3"/>
  <c r="O666" i="3"/>
  <c r="AF666" i="3"/>
  <c r="V666" i="3"/>
  <c r="U666" i="3"/>
  <c r="F666" i="3"/>
  <c r="G666" i="3"/>
  <c r="H666" i="3" s="1"/>
  <c r="BJ660" i="3"/>
  <c r="BK660" i="3" s="1"/>
  <c r="AT664" i="3"/>
  <c r="AW664" i="3"/>
  <c r="X665" i="3"/>
  <c r="AU664" i="3"/>
  <c r="BM665" i="3"/>
  <c r="AG665" i="3"/>
  <c r="AN665" i="3"/>
  <c r="BC662" i="3"/>
  <c r="AY664" i="3" l="1"/>
  <c r="BC663" i="3"/>
  <c r="BD663" i="3" s="1"/>
  <c r="BM666" i="3"/>
  <c r="AT665" i="3"/>
  <c r="AV664" i="3"/>
  <c r="AN666" i="3"/>
  <c r="AX665" i="3"/>
  <c r="Y666" i="3"/>
  <c r="Z666" i="3" s="1"/>
  <c r="BG662" i="3"/>
  <c r="BH662" i="3" s="1"/>
  <c r="BI662" i="3" s="1"/>
  <c r="BD662" i="3"/>
  <c r="A668" i="3"/>
  <c r="AQ667" i="3"/>
  <c r="AR667" i="3"/>
  <c r="B667" i="3"/>
  <c r="C667" i="3"/>
  <c r="D667" i="3"/>
  <c r="AM667" i="3"/>
  <c r="AK667" i="3"/>
  <c r="S667" i="3"/>
  <c r="AD667" i="3"/>
  <c r="R667" i="3"/>
  <c r="Q667" i="3"/>
  <c r="P667" i="3"/>
  <c r="O667" i="3"/>
  <c r="AE667" i="3"/>
  <c r="M667" i="3"/>
  <c r="AF667" i="3"/>
  <c r="U667" i="3"/>
  <c r="V667" i="3"/>
  <c r="F667" i="3"/>
  <c r="G667" i="3"/>
  <c r="H667" i="3" s="1"/>
  <c r="T667" i="3"/>
  <c r="BB663" i="3"/>
  <c r="BQ663" i="3"/>
  <c r="BF663" i="3"/>
  <c r="BJ662" i="3" s="1"/>
  <c r="BK662" i="3" s="1"/>
  <c r="AW665" i="3"/>
  <c r="AU665" i="3"/>
  <c r="BA664" i="3"/>
  <c r="BN666" i="3"/>
  <c r="AH666" i="3"/>
  <c r="AG666" i="3"/>
  <c r="AO666" i="3"/>
  <c r="X666" i="3"/>
  <c r="BC664" i="3" l="1"/>
  <c r="BD664" i="3" s="1"/>
  <c r="BG663" i="3"/>
  <c r="BH663" i="3" s="1"/>
  <c r="BI663" i="3" s="1"/>
  <c r="BM667" i="3"/>
  <c r="AV665" i="3"/>
  <c r="AY665" i="3"/>
  <c r="AO667" i="3"/>
  <c r="AW666" i="3"/>
  <c r="AH667" i="3"/>
  <c r="Y667" i="3"/>
  <c r="Z667" i="3" s="1"/>
  <c r="BB664" i="3"/>
  <c r="BQ664" i="3"/>
  <c r="BF664" i="3"/>
  <c r="BJ663" i="3" s="1"/>
  <c r="BK663" i="3" s="1"/>
  <c r="A669" i="3"/>
  <c r="AR668" i="3"/>
  <c r="B668" i="3"/>
  <c r="AQ668" i="3"/>
  <c r="C668" i="3"/>
  <c r="S668" i="3"/>
  <c r="D668" i="3"/>
  <c r="AM668" i="3"/>
  <c r="AK668" i="3"/>
  <c r="T668" i="3"/>
  <c r="Q668" i="3"/>
  <c r="AD668" i="3"/>
  <c r="P668" i="3"/>
  <c r="O668" i="3"/>
  <c r="M668" i="3"/>
  <c r="AE668" i="3"/>
  <c r="AF668" i="3"/>
  <c r="V668" i="3"/>
  <c r="U668" i="3"/>
  <c r="R668" i="3"/>
  <c r="F668" i="3"/>
  <c r="BM668" i="3" s="1"/>
  <c r="G668" i="3"/>
  <c r="H668" i="3" s="1"/>
  <c r="AT666" i="3"/>
  <c r="BA665" i="3"/>
  <c r="AU666" i="3"/>
  <c r="AX666" i="3"/>
  <c r="BN667" i="3"/>
  <c r="AG667" i="3"/>
  <c r="AN667" i="3"/>
  <c r="X667" i="3"/>
  <c r="AY666" i="3" l="1"/>
  <c r="BG664" i="3"/>
  <c r="BH664" i="3" s="1"/>
  <c r="BI664" i="3" s="1"/>
  <c r="BC665" i="3"/>
  <c r="BD665" i="3" s="1"/>
  <c r="AW667" i="3"/>
  <c r="AO668" i="3"/>
  <c r="Y668" i="3"/>
  <c r="Z668" i="3" s="1"/>
  <c r="AQ669" i="3"/>
  <c r="B669" i="3"/>
  <c r="A670" i="3"/>
  <c r="AR669" i="3"/>
  <c r="D669" i="3"/>
  <c r="S669" i="3"/>
  <c r="AM669" i="3"/>
  <c r="C669" i="3"/>
  <c r="AK669" i="3"/>
  <c r="R669" i="3"/>
  <c r="P669" i="3"/>
  <c r="Q669" i="3"/>
  <c r="AD669" i="3"/>
  <c r="O669" i="3"/>
  <c r="M669" i="3"/>
  <c r="AE669" i="3"/>
  <c r="AF669" i="3"/>
  <c r="U669" i="3"/>
  <c r="V669" i="3"/>
  <c r="G669" i="3"/>
  <c r="H669" i="3" s="1"/>
  <c r="F669" i="3"/>
  <c r="T669" i="3"/>
  <c r="BF665" i="3"/>
  <c r="BJ664" i="3" s="1"/>
  <c r="BK664" i="3" s="1"/>
  <c r="BB665" i="3"/>
  <c r="BQ665" i="3"/>
  <c r="AV666" i="3"/>
  <c r="BA666" i="3"/>
  <c r="AU667" i="3"/>
  <c r="AX667" i="3"/>
  <c r="X668" i="3"/>
  <c r="AT667" i="3"/>
  <c r="BN668" i="3"/>
  <c r="AG668" i="3"/>
  <c r="AH668" i="3"/>
  <c r="AN668" i="3"/>
  <c r="BC666" i="3" l="1"/>
  <c r="BD666" i="3" s="1"/>
  <c r="AO669" i="3"/>
  <c r="BG665" i="3"/>
  <c r="BH665" i="3" s="1"/>
  <c r="BI665" i="3" s="1"/>
  <c r="BN669" i="3"/>
  <c r="AU668" i="3"/>
  <c r="AY667" i="3"/>
  <c r="AX668" i="3"/>
  <c r="Y669" i="3"/>
  <c r="Z669" i="3" s="1"/>
  <c r="AG669" i="3"/>
  <c r="AV667" i="3"/>
  <c r="BA667" i="3"/>
  <c r="BB666" i="3"/>
  <c r="BF666" i="3"/>
  <c r="BJ665" i="3" s="1"/>
  <c r="BK665" i="3" s="1"/>
  <c r="BQ666" i="3"/>
  <c r="AR670" i="3"/>
  <c r="AQ670" i="3"/>
  <c r="B670" i="3"/>
  <c r="A671" i="3"/>
  <c r="D670" i="3"/>
  <c r="C670" i="3"/>
  <c r="AM670" i="3"/>
  <c r="R670" i="3"/>
  <c r="S670" i="3"/>
  <c r="AK670" i="3"/>
  <c r="Q670" i="3"/>
  <c r="P670" i="3"/>
  <c r="AD670" i="3"/>
  <c r="M670" i="3"/>
  <c r="O670" i="3"/>
  <c r="AF670" i="3"/>
  <c r="AE670" i="3"/>
  <c r="V670" i="3"/>
  <c r="U670" i="3"/>
  <c r="G670" i="3"/>
  <c r="H670" i="3" s="1"/>
  <c r="F670" i="3"/>
  <c r="T670" i="3"/>
  <c r="X669" i="3"/>
  <c r="AT668" i="3"/>
  <c r="AW668" i="3"/>
  <c r="BM669" i="3"/>
  <c r="AH669" i="3"/>
  <c r="AN669" i="3"/>
  <c r="BG666" i="3" l="1"/>
  <c r="BH666" i="3" s="1"/>
  <c r="BI666" i="3" s="1"/>
  <c r="AY668" i="3"/>
  <c r="AU669" i="3"/>
  <c r="BC667" i="3"/>
  <c r="BG667" i="3" s="1"/>
  <c r="BH667" i="3" s="1"/>
  <c r="BI667" i="3" s="1"/>
  <c r="BN670" i="3"/>
  <c r="AO670" i="3"/>
  <c r="Y670" i="3"/>
  <c r="Z670" i="3" s="1"/>
  <c r="AV668" i="3"/>
  <c r="BA668" i="3"/>
  <c r="AR671" i="3"/>
  <c r="B671" i="3"/>
  <c r="AQ671" i="3"/>
  <c r="A672" i="3"/>
  <c r="C671" i="3"/>
  <c r="D671" i="3"/>
  <c r="AK671" i="3"/>
  <c r="AM671" i="3"/>
  <c r="S671" i="3"/>
  <c r="AD671" i="3"/>
  <c r="Q671" i="3"/>
  <c r="P671" i="3"/>
  <c r="O671" i="3"/>
  <c r="AE671" i="3"/>
  <c r="AF671" i="3"/>
  <c r="M671" i="3"/>
  <c r="U671" i="3"/>
  <c r="V671" i="3"/>
  <c r="R671" i="3"/>
  <c r="G671" i="3"/>
  <c r="H671" i="3" s="1"/>
  <c r="F671" i="3"/>
  <c r="T671" i="3"/>
  <c r="BQ667" i="3"/>
  <c r="BF667" i="3"/>
  <c r="BJ666" i="3" s="1"/>
  <c r="BK666" i="3" s="1"/>
  <c r="BB667" i="3"/>
  <c r="X670" i="3"/>
  <c r="AX669" i="3"/>
  <c r="AT669" i="3"/>
  <c r="AW669" i="3"/>
  <c r="BM670" i="3"/>
  <c r="AG670" i="3"/>
  <c r="AH670" i="3"/>
  <c r="AN670" i="3"/>
  <c r="BN671" i="3" l="1"/>
  <c r="BC668" i="3"/>
  <c r="BG668" i="3" s="1"/>
  <c r="BH668" i="3" s="1"/>
  <c r="BI668" i="3" s="1"/>
  <c r="BD667" i="3"/>
  <c r="BM671" i="3"/>
  <c r="AN671" i="3"/>
  <c r="AG671" i="3"/>
  <c r="Y671" i="3"/>
  <c r="Z671" i="3" s="1"/>
  <c r="AX670" i="3"/>
  <c r="BA669" i="3"/>
  <c r="AV669" i="3"/>
  <c r="A673" i="3"/>
  <c r="AR672" i="3"/>
  <c r="B672" i="3"/>
  <c r="AQ672" i="3"/>
  <c r="C672" i="3"/>
  <c r="D672" i="3"/>
  <c r="AK672" i="3"/>
  <c r="S672" i="3"/>
  <c r="R672" i="3"/>
  <c r="Q672" i="3"/>
  <c r="AD672" i="3"/>
  <c r="AM672" i="3"/>
  <c r="P672" i="3"/>
  <c r="O672" i="3"/>
  <c r="M672" i="3"/>
  <c r="AF672" i="3"/>
  <c r="V672" i="3"/>
  <c r="AE672" i="3"/>
  <c r="U672" i="3"/>
  <c r="F672" i="3"/>
  <c r="G672" i="3"/>
  <c r="H672" i="3" s="1"/>
  <c r="T672" i="3"/>
  <c r="BQ668" i="3"/>
  <c r="BB668" i="3"/>
  <c r="BF668" i="3"/>
  <c r="BJ667" i="3" s="1"/>
  <c r="BK667" i="3" s="1"/>
  <c r="AH671" i="3"/>
  <c r="AT670" i="3"/>
  <c r="AW670" i="3"/>
  <c r="AY669" i="3"/>
  <c r="AU670" i="3"/>
  <c r="AO671" i="3"/>
  <c r="X671" i="3"/>
  <c r="BD668" i="3" l="1"/>
  <c r="AT671" i="3"/>
  <c r="AY670" i="3"/>
  <c r="BM672" i="3"/>
  <c r="AW671" i="3"/>
  <c r="AN672" i="3"/>
  <c r="AU671" i="3"/>
  <c r="AG672" i="3"/>
  <c r="Y672" i="3"/>
  <c r="Z672" i="3" s="1"/>
  <c r="BC669" i="3"/>
  <c r="BD669" i="3" s="1"/>
  <c r="AV670" i="3"/>
  <c r="BA670" i="3"/>
  <c r="AR673" i="3"/>
  <c r="A674" i="3"/>
  <c r="AQ673" i="3"/>
  <c r="B673" i="3"/>
  <c r="C673" i="3"/>
  <c r="D673" i="3"/>
  <c r="AK673" i="3"/>
  <c r="AM673" i="3"/>
  <c r="S673" i="3"/>
  <c r="T673" i="3"/>
  <c r="Q673" i="3"/>
  <c r="R673" i="3"/>
  <c r="AD673" i="3"/>
  <c r="P673" i="3"/>
  <c r="O673" i="3"/>
  <c r="M673" i="3"/>
  <c r="AE673" i="3"/>
  <c r="U673" i="3"/>
  <c r="AF673" i="3"/>
  <c r="V673" i="3"/>
  <c r="G673" i="3"/>
  <c r="H673" i="3" s="1"/>
  <c r="F673" i="3"/>
  <c r="BB669" i="3"/>
  <c r="BF669" i="3"/>
  <c r="BJ668" i="3" s="1"/>
  <c r="BK668" i="3" s="1"/>
  <c r="BQ669" i="3"/>
  <c r="AH672" i="3"/>
  <c r="AX671" i="3"/>
  <c r="BN672" i="3"/>
  <c r="AO672" i="3"/>
  <c r="X672" i="3"/>
  <c r="BC670" i="3" l="1"/>
  <c r="BD670" i="3" s="1"/>
  <c r="AV671" i="3"/>
  <c r="BA671" i="3"/>
  <c r="BB671" i="3" s="1"/>
  <c r="BM673" i="3"/>
  <c r="AN673" i="3"/>
  <c r="AX672" i="3"/>
  <c r="AU672" i="3"/>
  <c r="BG669" i="3"/>
  <c r="BH669" i="3" s="1"/>
  <c r="BI669" i="3" s="1"/>
  <c r="AY671" i="3"/>
  <c r="Y673" i="3"/>
  <c r="Z673" i="3" s="1"/>
  <c r="AR674" i="3"/>
  <c r="B674" i="3"/>
  <c r="AQ674" i="3"/>
  <c r="A675" i="3"/>
  <c r="C674" i="3"/>
  <c r="R674" i="3"/>
  <c r="AM674" i="3"/>
  <c r="D674" i="3"/>
  <c r="AK674" i="3"/>
  <c r="S674" i="3"/>
  <c r="P674" i="3"/>
  <c r="AD674" i="3"/>
  <c r="O674" i="3"/>
  <c r="M674" i="3"/>
  <c r="AE674" i="3"/>
  <c r="AF674" i="3"/>
  <c r="V674" i="3"/>
  <c r="U674" i="3"/>
  <c r="Q674" i="3"/>
  <c r="G674" i="3"/>
  <c r="H674" i="3" s="1"/>
  <c r="BN674" i="3" s="1"/>
  <c r="F674" i="3"/>
  <c r="T674" i="3"/>
  <c r="BQ670" i="3"/>
  <c r="BB670" i="3"/>
  <c r="BF670" i="3"/>
  <c r="BJ669" i="3" s="1"/>
  <c r="BK669" i="3" s="1"/>
  <c r="AT672" i="3"/>
  <c r="AW672" i="3"/>
  <c r="BN673" i="3"/>
  <c r="AG673" i="3"/>
  <c r="AH673" i="3"/>
  <c r="AO673" i="3"/>
  <c r="X673" i="3"/>
  <c r="BG670" i="3" l="1"/>
  <c r="BH670" i="3" s="1"/>
  <c r="BI670" i="3" s="1"/>
  <c r="BC671" i="3"/>
  <c r="BD671" i="3" s="1"/>
  <c r="AO674" i="3"/>
  <c r="AY672" i="3"/>
  <c r="BQ671" i="3"/>
  <c r="BF671" i="3"/>
  <c r="BJ670" i="3" s="1"/>
  <c r="BK670" i="3" s="1"/>
  <c r="AU673" i="3"/>
  <c r="AG674" i="3"/>
  <c r="X674" i="3"/>
  <c r="BM674" i="3"/>
  <c r="BA672" i="3"/>
  <c r="AV672" i="3"/>
  <c r="A676" i="3"/>
  <c r="AQ675" i="3"/>
  <c r="AR675" i="3"/>
  <c r="B675" i="3"/>
  <c r="D675" i="3"/>
  <c r="T675" i="3"/>
  <c r="S675" i="3"/>
  <c r="C675" i="3"/>
  <c r="AM675" i="3"/>
  <c r="Q675" i="3"/>
  <c r="R675" i="3"/>
  <c r="AK675" i="3"/>
  <c r="AD675" i="3"/>
  <c r="P675" i="3"/>
  <c r="O675" i="3"/>
  <c r="M675" i="3"/>
  <c r="AF675" i="3"/>
  <c r="AE675" i="3"/>
  <c r="V675" i="3"/>
  <c r="U675" i="3"/>
  <c r="G675" i="3"/>
  <c r="H675" i="3" s="1"/>
  <c r="BN675" i="3" s="1"/>
  <c r="F675" i="3"/>
  <c r="AW673" i="3"/>
  <c r="AN674" i="3"/>
  <c r="AT673" i="3"/>
  <c r="AX673" i="3"/>
  <c r="Y674" i="3"/>
  <c r="Z674" i="3" s="1"/>
  <c r="AH674" i="3"/>
  <c r="BG671" i="3" l="1"/>
  <c r="BH671" i="3" s="1"/>
  <c r="BI671" i="3" s="1"/>
  <c r="BM675" i="3"/>
  <c r="BC672" i="3"/>
  <c r="BG672" i="3" s="1"/>
  <c r="BH672" i="3" s="1"/>
  <c r="BI672" i="3" s="1"/>
  <c r="AO675" i="3"/>
  <c r="AW674" i="3"/>
  <c r="AG675" i="3"/>
  <c r="AV673" i="3"/>
  <c r="BA673" i="3"/>
  <c r="Y675" i="3"/>
  <c r="Z675" i="3" s="1"/>
  <c r="AQ676" i="3"/>
  <c r="AR676" i="3"/>
  <c r="B676" i="3"/>
  <c r="D676" i="3"/>
  <c r="C676" i="3"/>
  <c r="AK676" i="3"/>
  <c r="T676" i="3"/>
  <c r="S676" i="3"/>
  <c r="AM676" i="3"/>
  <c r="R676" i="3"/>
  <c r="Q676" i="3"/>
  <c r="AD676" i="3"/>
  <c r="P676" i="3"/>
  <c r="O676" i="3"/>
  <c r="AE676" i="3"/>
  <c r="M676" i="3"/>
  <c r="AF676" i="3"/>
  <c r="U676" i="3"/>
  <c r="V676" i="3"/>
  <c r="F676" i="3"/>
  <c r="G676" i="3"/>
  <c r="H676" i="3" s="1"/>
  <c r="BF672" i="3"/>
  <c r="BJ671" i="3" s="1"/>
  <c r="BK671" i="3" s="1"/>
  <c r="BB672" i="3"/>
  <c r="BQ672" i="3"/>
  <c r="X675" i="3"/>
  <c r="AX674" i="3"/>
  <c r="AU674" i="3"/>
  <c r="AY673" i="3"/>
  <c r="AH675" i="3"/>
  <c r="AN675" i="3"/>
  <c r="AT674" i="3"/>
  <c r="BD672" i="3" l="1"/>
  <c r="AY674" i="3"/>
  <c r="BN676" i="3"/>
  <c r="AN676" i="3"/>
  <c r="AV674" i="3"/>
  <c r="BA674" i="3"/>
  <c r="AT675" i="3"/>
  <c r="AX675" i="3"/>
  <c r="Y676" i="3"/>
  <c r="Z676" i="3" s="1"/>
  <c r="BB673" i="3"/>
  <c r="BF673" i="3"/>
  <c r="BJ672" i="3" s="1"/>
  <c r="BK672" i="3" s="1"/>
  <c r="BQ673" i="3"/>
  <c r="AU675" i="3"/>
  <c r="AW675" i="3"/>
  <c r="AG676" i="3"/>
  <c r="X676" i="3"/>
  <c r="BC673" i="3"/>
  <c r="BM676" i="3"/>
  <c r="AH676" i="3"/>
  <c r="AO676" i="3"/>
  <c r="BC674" i="3" l="1"/>
  <c r="BG674" i="3" s="1"/>
  <c r="BH674" i="3" s="1"/>
  <c r="BI674" i="3" s="1"/>
  <c r="AY675" i="3"/>
  <c r="AX676" i="3"/>
  <c r="AT676" i="3"/>
  <c r="BD673" i="3"/>
  <c r="BG673" i="3"/>
  <c r="BH673" i="3" s="1"/>
  <c r="BI673" i="3" s="1"/>
  <c r="BB674" i="3"/>
  <c r="BQ674" i="3"/>
  <c r="BF674" i="3"/>
  <c r="BJ673" i="3" s="1"/>
  <c r="BK673" i="3" s="1"/>
  <c r="BA675" i="3"/>
  <c r="AU676" i="3"/>
  <c r="AW676" i="3"/>
  <c r="AV675" i="3"/>
  <c r="BD674" i="3" l="1"/>
  <c r="BC675" i="3"/>
  <c r="BD675" i="3" s="1"/>
  <c r="AY676" i="3"/>
  <c r="AV676" i="3"/>
  <c r="BQ675" i="3"/>
  <c r="BB675" i="3"/>
  <c r="BF675" i="3"/>
  <c r="BJ674" i="3" s="1"/>
  <c r="BK674" i="3" s="1"/>
  <c r="BA676" i="3"/>
  <c r="BG675" i="3" l="1"/>
  <c r="BH675" i="3" s="1"/>
  <c r="BI675" i="3" s="1"/>
  <c r="BC676" i="3"/>
  <c r="BG676" i="3" s="1"/>
  <c r="BH676" i="3" s="1"/>
  <c r="BI676" i="3" s="1"/>
  <c r="BQ676" i="3"/>
  <c r="BB676" i="3"/>
  <c r="BF676" i="3"/>
  <c r="BD676" i="3" l="1"/>
  <c r="BJ676" i="3"/>
  <c r="BK676" i="3" s="1"/>
  <c r="BJ675" i="3"/>
  <c r="BK675" i="3" s="1"/>
  <c r="H159" i="8" l="1"/>
  <c r="H158" i="8" s="1"/>
  <c r="H157" i="8" s="1"/>
  <c r="H156" i="8" s="1"/>
  <c r="H155" i="8" s="1"/>
  <c r="H154" i="8" s="1"/>
  <c r="H153" i="8" s="1"/>
  <c r="H152" i="8" s="1"/>
  <c r="H151" i="8" s="1"/>
  <c r="H150" i="8" s="1"/>
  <c r="H149" i="8" s="1"/>
  <c r="H148" i="8" s="1"/>
  <c r="H147" i="8" s="1"/>
  <c r="H146" i="8" s="1"/>
  <c r="H145" i="8" s="1"/>
  <c r="H144" i="8" s="1"/>
  <c r="H143" i="8" s="1"/>
  <c r="H142" i="8" s="1"/>
  <c r="H141" i="8" s="1"/>
  <c r="H140" i="8" s="1"/>
  <c r="H139" i="8" s="1"/>
  <c r="H138" i="8" s="1"/>
  <c r="H137" i="8" s="1"/>
  <c r="H136" i="8" s="1"/>
  <c r="H135" i="8" s="1"/>
  <c r="H134" i="8" s="1"/>
  <c r="H133" i="8" s="1"/>
  <c r="H132" i="8" s="1"/>
  <c r="H131" i="8" s="1"/>
  <c r="H130" i="8" s="1"/>
  <c r="H129" i="8" s="1"/>
  <c r="H128" i="8" s="1"/>
  <c r="H127" i="8" s="1"/>
  <c r="H126" i="8" s="1"/>
  <c r="H125" i="8" s="1"/>
  <c r="H124" i="8" s="1"/>
  <c r="H123" i="8" s="1"/>
  <c r="H122" i="8" s="1"/>
  <c r="H121" i="8" s="1"/>
  <c r="H120" i="8" s="1"/>
  <c r="H119" i="8" s="1"/>
  <c r="H118" i="8" s="1"/>
  <c r="H117" i="8" s="1"/>
  <c r="H116" i="8" s="1"/>
  <c r="H115" i="8" s="1"/>
  <c r="H114" i="8" s="1"/>
  <c r="H113" i="8" s="1"/>
  <c r="H112" i="8" s="1"/>
  <c r="H111" i="8" s="1"/>
  <c r="H110" i="8" s="1"/>
  <c r="H109" i="8" s="1"/>
  <c r="H108" i="8" s="1"/>
  <c r="H107" i="8" s="1"/>
  <c r="H106" i="8" s="1"/>
  <c r="H105" i="8" s="1"/>
  <c r="H104" i="8" s="1"/>
  <c r="H103" i="8" s="1"/>
  <c r="H102" i="8" s="1"/>
  <c r="H101" i="8" s="1"/>
  <c r="H100" i="8" s="1"/>
  <c r="H99" i="8" s="1"/>
  <c r="H98" i="8" s="1"/>
  <c r="H97" i="8" s="1"/>
  <c r="H96" i="8" s="1"/>
  <c r="H95" i="8" s="1"/>
  <c r="H94" i="8" s="1"/>
  <c r="H93" i="8" s="1"/>
  <c r="H92" i="8" s="1"/>
  <c r="H91" i="8" s="1"/>
  <c r="H90" i="8" s="1"/>
  <c r="H89" i="8" s="1"/>
  <c r="H88" i="8" s="1"/>
  <c r="H87" i="8" s="1"/>
  <c r="H86" i="8" s="1"/>
  <c r="H85" i="8" s="1"/>
  <c r="H84" i="8" s="1"/>
  <c r="H83" i="8" s="1"/>
  <c r="H82" i="8" s="1"/>
  <c r="H81" i="8" s="1"/>
  <c r="H80" i="8" s="1"/>
  <c r="H79" i="8" s="1"/>
  <c r="H78" i="8" s="1"/>
  <c r="H77" i="8" s="1"/>
  <c r="H76" i="8" s="1"/>
  <c r="H75" i="8" s="1"/>
  <c r="H74" i="8" s="1"/>
  <c r="H73" i="8" s="1"/>
  <c r="H72" i="8" s="1"/>
  <c r="H71" i="8" s="1"/>
  <c r="H70" i="8" s="1"/>
  <c r="H69" i="8" s="1"/>
  <c r="H68" i="8" s="1"/>
  <c r="H67" i="8" s="1"/>
  <c r="H66" i="8" s="1"/>
  <c r="H65" i="8" s="1"/>
  <c r="H64" i="8" s="1"/>
  <c r="H63" i="8" s="1"/>
  <c r="H62" i="8" s="1"/>
  <c r="H61" i="8" s="1"/>
  <c r="H60" i="8" s="1"/>
  <c r="H59" i="8" s="1"/>
  <c r="H58" i="8" s="1"/>
  <c r="H57" i="8" s="1"/>
  <c r="H56" i="8" s="1"/>
  <c r="H55" i="8" s="1"/>
  <c r="H54" i="8" s="1"/>
  <c r="H53" i="8" s="1"/>
  <c r="H52" i="8" s="1"/>
  <c r="H51" i="8" s="1"/>
  <c r="H50" i="8" s="1"/>
  <c r="H49" i="8" s="1"/>
  <c r="H48" i="8" s="1"/>
  <c r="H47" i="8" s="1"/>
  <c r="H46" i="8" s="1"/>
  <c r="H45" i="8" s="1"/>
  <c r="H44" i="8" s="1"/>
  <c r="H43" i="8" s="1"/>
  <c r="H42" i="8" s="1"/>
  <c r="H41" i="8" s="1"/>
  <c r="H40" i="8" s="1"/>
  <c r="H39" i="8" s="1"/>
  <c r="H38" i="8" s="1"/>
  <c r="H37" i="8" s="1"/>
  <c r="H36" i="8" s="1"/>
  <c r="H35" i="8" s="1"/>
  <c r="H34" i="8" s="1"/>
  <c r="H33" i="8" s="1"/>
  <c r="H32" i="8" s="1"/>
  <c r="H31" i="8" s="1"/>
  <c r="H30" i="8" s="1"/>
  <c r="H29" i="8" s="1"/>
  <c r="H28" i="8" s="1"/>
  <c r="H27" i="8" s="1"/>
  <c r="H26" i="8" s="1"/>
  <c r="H25" i="8" s="1"/>
  <c r="H24" i="8" s="1"/>
  <c r="H23" i="8" s="1"/>
  <c r="H22" i="8" s="1"/>
  <c r="H21" i="8" s="1"/>
  <c r="H20" i="8" s="1"/>
  <c r="H19" i="8" s="1"/>
  <c r="H18" i="8" s="1"/>
  <c r="H17" i="8" s="1"/>
  <c r="H16" i="8" s="1"/>
  <c r="H15" i="8" s="1"/>
  <c r="H14" i="8" s="1"/>
  <c r="H13" i="8" s="1"/>
  <c r="H12" i="8" s="1"/>
  <c r="H11" i="8" s="1"/>
  <c r="H10" i="8" s="1"/>
  <c r="H9" i="8" s="1"/>
  <c r="H8" i="8" s="1"/>
  <c r="H7" i="8" s="1"/>
  <c r="H6" i="8" s="1"/>
  <c r="H4" i="8" s="1"/>
  <c r="S23" i="8" s="1"/>
  <c r="B65" i="2" s="1"/>
  <c r="B270" i="2" l="1"/>
  <c r="D42" i="16" s="1"/>
  <c r="C270" i="2"/>
  <c r="B266" i="2"/>
  <c r="C266" i="2"/>
  <c r="R12" i="8"/>
  <c r="S6" i="8"/>
  <c r="B56" i="2" s="1"/>
  <c r="C42" i="16" l="1"/>
  <c r="B264" i="2"/>
  <c r="B268" i="2" s="1"/>
  <c r="A264" i="2"/>
  <c r="C264" i="2"/>
  <c r="E26" i="1"/>
  <c r="C54" i="16" l="1"/>
  <c r="D54" i="16" s="1"/>
  <c r="C268" i="2"/>
  <c r="D59"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Timothy Hegarty</author>
    <author>BDATSC</author>
    <author>Hegarty, Timothy</author>
  </authors>
  <commentList>
    <comment ref="A3" authorId="0" shapeId="0" xr:uid="{00000000-0006-0000-0000-000001000000}">
      <text>
        <r>
          <rPr>
            <b/>
            <sz val="11"/>
            <color indexed="10"/>
            <rFont val="Tahoma"/>
            <family val="2"/>
          </rPr>
          <t>Welcome to the LM(2)5145/6/-Q1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LM(2)5145/6/-Q1 synchronous buck controller</t>
        </r>
        <r>
          <rPr>
            <sz val="9"/>
            <color indexed="81"/>
            <rFont val="Tahoma"/>
            <family val="2"/>
          </rPr>
          <t xml:space="preserve">. As such, the user can expeditiously arrive at an optimized design by virtue of the following:
- Determine buck inductance, input and output capacitances
- Select components for switching frequency, soft-start, UVLO, and OCP
- Optimize compensation values and pole/zero placement in terms of control loop stability using crossover frquency as a performance metric
- Inspect regulator efficiency and component power dissipation
- Analyze efficiency based on selected MOSFET parameters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 is used throughout.</t>
        </r>
        <r>
          <rPr>
            <b/>
            <sz val="9"/>
            <color indexed="81"/>
            <rFont val="Tahoma"/>
            <family val="2"/>
          </rPr>
          <t xml:space="preserve"> </t>
        </r>
        <r>
          <rPr>
            <b/>
            <u/>
            <sz val="9"/>
            <color indexed="81"/>
            <rFont val="Tahoma"/>
            <family val="2"/>
          </rPr>
          <t>Also, set Windows zoom factor to 100% for correct schematic viewing.</t>
        </r>
        <r>
          <rPr>
            <sz val="9"/>
            <color indexed="81"/>
            <rFont val="Tahoma"/>
            <family val="2"/>
          </rPr>
          <t xml:space="preserve">
</t>
        </r>
        <r>
          <rPr>
            <u/>
            <sz val="9"/>
            <color indexed="12"/>
            <rFont val="Tahoma"/>
            <family val="2"/>
          </rPr>
          <t>www.ti.com/widevin</t>
        </r>
        <r>
          <rPr>
            <sz val="9"/>
            <color indexed="81"/>
            <rFont val="Tahoma"/>
            <family val="2"/>
          </rPr>
          <t xml:space="preserve">
</t>
        </r>
        <r>
          <rPr>
            <b/>
            <sz val="9"/>
            <color indexed="81"/>
            <rFont val="Tahoma"/>
            <family val="2"/>
          </rPr>
          <t xml:space="preserve">
Rev. A5, Sept. 2024, Timothy Hegarty, Texas Instruments, Inc.</t>
        </r>
      </text>
    </comment>
    <comment ref="O3" authorId="0" shapeId="0" xr:uid="{00000000-0006-0000-00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LM(2)5145/6/-Q1 product datasheets and EVM user's guides for more details.
</t>
        </r>
        <r>
          <rPr>
            <b/>
            <sz val="9"/>
            <color indexed="81"/>
            <rFont val="Tahoma"/>
            <family val="2"/>
          </rPr>
          <t>Rev. A5, Timothy Hegarty, Texas Instruments, Inc.</t>
        </r>
      </text>
    </comment>
    <comment ref="E6" authorId="0" shapeId="0" xr:uid="{00000000-0006-0000-0000-000003000000}">
      <text>
        <r>
          <rPr>
            <b/>
            <u/>
            <sz val="9"/>
            <color indexed="81"/>
            <rFont val="Tahoma"/>
            <family val="2"/>
          </rPr>
          <t>Minimum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(LM25145), 75V (LM5145) or 100V (LM5146)</t>
        </r>
        <r>
          <rPr>
            <sz val="9"/>
            <color indexed="81"/>
            <rFont val="Tahoma"/>
            <family val="2"/>
          </rPr>
          <t xml:space="preserve">
-The input voltage is below </t>
        </r>
        <r>
          <rPr>
            <b/>
            <sz val="9"/>
            <color indexed="10"/>
            <rFont val="Tahoma"/>
            <family val="2"/>
          </rPr>
          <t>5.5V (LM5146) or 6V (LM25145, LM5145)
-</t>
        </r>
        <r>
          <rPr>
            <sz val="9"/>
            <color indexed="81"/>
            <rFont val="Tahoma"/>
            <family val="2"/>
          </rPr>
          <t xml:space="preserve">The minimum PWM off-time of </t>
        </r>
        <r>
          <rPr>
            <b/>
            <sz val="9"/>
            <color indexed="10"/>
            <rFont val="Tahoma"/>
            <family val="2"/>
          </rPr>
          <t>140ns</t>
        </r>
        <r>
          <rPr>
            <sz val="9"/>
            <color indexed="81"/>
            <rFont val="Tahoma"/>
            <family val="2"/>
          </rPr>
          <t xml:space="preserve"> is reached</t>
        </r>
      </text>
    </comment>
    <comment ref="E7" authorId="0" shapeId="0" xr:uid="{00000000-0006-0000-0000-000004000000}">
      <text>
        <r>
          <rPr>
            <b/>
            <u/>
            <sz val="9"/>
            <color indexed="81"/>
            <rFont val="Tahoma"/>
            <family val="2"/>
          </rPr>
          <t>Nominal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(LM25145), 75V (LM5145) or 100V (LM5146)</t>
        </r>
        <r>
          <rPr>
            <sz val="9"/>
            <color indexed="81"/>
            <rFont val="Tahoma"/>
            <family val="2"/>
          </rPr>
          <t xml:space="preserve">
-The input voltage is below </t>
        </r>
        <r>
          <rPr>
            <b/>
            <sz val="9"/>
            <color indexed="10"/>
            <rFont val="Tahoma"/>
            <family val="2"/>
          </rPr>
          <t>5.5V (LM5146) or 6V (LM25145, LM5145)</t>
        </r>
      </text>
    </comment>
    <comment ref="E8" authorId="0" shapeId="0" xr:uid="{00000000-0006-0000-0000-000005000000}">
      <text>
        <r>
          <rPr>
            <b/>
            <u/>
            <sz val="9"/>
            <color indexed="81"/>
            <rFont val="Tahoma"/>
            <family val="2"/>
          </rPr>
          <t>Maximum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(LM@5145), 75V (LM5145) or 100V (LM5146)</t>
        </r>
        <r>
          <rPr>
            <sz val="9"/>
            <color indexed="81"/>
            <rFont val="Tahoma"/>
            <family val="2"/>
          </rPr>
          <t xml:space="preserve">
-The input voltage is below </t>
        </r>
        <r>
          <rPr>
            <b/>
            <sz val="9"/>
            <color indexed="10"/>
            <rFont val="Tahoma"/>
            <family val="2"/>
          </rPr>
          <t xml:space="preserve">5.5V (LM5146) or 6V (LM25145, LM5145)
</t>
        </r>
        <r>
          <rPr>
            <sz val="9"/>
            <color indexed="81"/>
            <rFont val="Tahoma"/>
            <family val="2"/>
          </rPr>
          <t xml:space="preserve">-The minimum PWM on-time of </t>
        </r>
        <r>
          <rPr>
            <b/>
            <sz val="9"/>
            <color indexed="10"/>
            <rFont val="Tahoma"/>
            <family val="2"/>
          </rPr>
          <t>40ns</t>
        </r>
        <r>
          <rPr>
            <sz val="9"/>
            <color indexed="81"/>
            <rFont val="Tahoma"/>
            <family val="2"/>
          </rPr>
          <t xml:space="preserve"> is reached</t>
        </r>
      </text>
    </comment>
    <comment ref="E9" authorId="0" shapeId="0" xr:uid="{00000000-0006-0000-0000-000006000000}">
      <text>
        <r>
          <rPr>
            <b/>
            <u/>
            <sz val="9"/>
            <color indexed="81"/>
            <rFont val="Tahoma"/>
            <family val="2"/>
          </rPr>
          <t>Output Voltage</t>
        </r>
        <r>
          <rPr>
            <b/>
            <sz val="9"/>
            <color indexed="81"/>
            <rFont val="Tahoma"/>
            <family val="2"/>
          </rPr>
          <t xml:space="preserve">:
</t>
        </r>
        <r>
          <rPr>
            <sz val="9"/>
            <color indexed="81"/>
            <rFont val="Tahoma"/>
            <family val="2"/>
          </rPr>
          <t>Enter the desired output voltage.</t>
        </r>
        <r>
          <rPr>
            <b/>
            <sz val="9"/>
            <color indexed="81"/>
            <rFont val="Tahoma"/>
            <family val="2"/>
          </rPr>
          <t xml:space="preserve">
</t>
        </r>
        <r>
          <rPr>
            <sz val="9"/>
            <color indexed="81"/>
            <rFont val="Tahoma"/>
            <family val="2"/>
          </rPr>
          <t>The text in this cell is red if:</t>
        </r>
        <r>
          <rPr>
            <b/>
            <sz val="9"/>
            <color indexed="81"/>
            <rFont val="Tahoma"/>
            <family val="2"/>
          </rPr>
          <t xml:space="preserve">
</t>
        </r>
        <r>
          <rPr>
            <b/>
            <sz val="9"/>
            <color indexed="10"/>
            <rFont val="Tahoma"/>
            <family val="2"/>
          </rPr>
          <t>-The output voltage is above the nominal input voltage 
-The output voltage is below 0.8V
-The output voltage is above 42V (LM25145) and 60V (LM5145, LM5146)</t>
        </r>
      </text>
    </comment>
    <comment ref="E11" authorId="0" shapeId="0" xr:uid="{00000000-0006-0000-0000-000007000000}">
      <text>
        <r>
          <rPr>
            <b/>
            <u/>
            <sz val="9"/>
            <color indexed="81"/>
            <rFont val="Tahoma"/>
            <family val="2"/>
          </rPr>
          <t>Operating Frequency</t>
        </r>
        <r>
          <rPr>
            <b/>
            <sz val="9"/>
            <color indexed="81"/>
            <rFont val="Tahoma"/>
            <family val="2"/>
          </rPr>
          <t xml:space="preserve"> (set by R</t>
        </r>
        <r>
          <rPr>
            <b/>
            <vertAlign val="subscript"/>
            <sz val="9"/>
            <color indexed="81"/>
            <rFont val="Tahoma"/>
            <family val="2"/>
          </rPr>
          <t>FADJ</t>
        </r>
        <r>
          <rPr>
            <b/>
            <sz val="9"/>
            <color indexed="81"/>
            <rFont val="Tahoma"/>
            <family val="2"/>
          </rPr>
          <t>):</t>
        </r>
        <r>
          <rPr>
            <sz val="9"/>
            <color indexed="81"/>
            <rFont val="Tahoma"/>
            <family val="2"/>
          </rPr>
          <t xml:space="preserve">
This cell defines the free running frequency set by the R</t>
        </r>
        <r>
          <rPr>
            <vertAlign val="subscript"/>
            <sz val="9"/>
            <color indexed="81"/>
            <rFont val="Tahoma"/>
            <family val="2"/>
          </rPr>
          <t>RT</t>
        </r>
        <r>
          <rPr>
            <sz val="9"/>
            <color indexed="81"/>
            <rFont val="Tahoma"/>
            <family val="2"/>
          </rPr>
          <t xml:space="preserve"> resistor. 
</t>
        </r>
        <r>
          <rPr>
            <b/>
            <sz val="9"/>
            <color indexed="81"/>
            <rFont val="Tahoma"/>
            <family val="2"/>
          </rPr>
          <t xml:space="preserve">The text in this cell is blue if:
</t>
        </r>
        <r>
          <rPr>
            <b/>
            <sz val="9"/>
            <color indexed="39"/>
            <rFont val="Tahoma"/>
            <family val="2"/>
          </rPr>
          <t>-The SYNC frequency is not with -20% to +50% of the free-running frequency set by R</t>
        </r>
        <r>
          <rPr>
            <b/>
            <vertAlign val="subscript"/>
            <sz val="9"/>
            <color indexed="39"/>
            <rFont val="Tahoma"/>
            <family val="2"/>
          </rPr>
          <t>RT</t>
        </r>
        <r>
          <rPr>
            <b/>
            <sz val="9"/>
            <color indexed="39"/>
            <rFont val="Tahoma"/>
            <family val="2"/>
          </rPr>
          <t>.</t>
        </r>
        <r>
          <rPr>
            <sz val="9"/>
            <color indexed="81"/>
            <rFont val="Tahoma"/>
            <family val="2"/>
          </rPr>
          <t xml:space="preserve">
</t>
        </r>
        <r>
          <rPr>
            <b/>
            <sz val="9"/>
            <color indexed="81"/>
            <rFont val="Tahoma"/>
            <family val="2"/>
          </rPr>
          <t xml:space="preserve">The text in this cell is red if:
</t>
        </r>
        <r>
          <rPr>
            <b/>
            <sz val="9"/>
            <color indexed="10"/>
            <rFont val="Tahoma"/>
            <family val="2"/>
          </rPr>
          <t>-The frequency is below 100 kHz
-The frequency is above 1 MHz</t>
        </r>
        <r>
          <rPr>
            <sz val="11"/>
            <color indexed="81"/>
            <rFont val="Tahoma"/>
            <family val="2"/>
          </rPr>
          <t xml:space="preserve">
</t>
        </r>
      </text>
    </comment>
    <comment ref="E12" authorId="0" shapeId="0" xr:uid="{00000000-0006-0000-0000-000008000000}">
      <text>
        <r>
          <rPr>
            <b/>
            <u/>
            <sz val="9"/>
            <color indexed="81"/>
            <rFont val="Tahoma"/>
            <family val="2"/>
          </rPr>
          <t>Operating SYNC Frequency</t>
        </r>
        <r>
          <rPr>
            <b/>
            <sz val="9"/>
            <color indexed="81"/>
            <rFont val="Tahoma"/>
            <family val="2"/>
          </rPr>
          <t xml:space="preserve">:
</t>
        </r>
        <r>
          <rPr>
            <sz val="9"/>
            <color indexed="81"/>
            <rFont val="Tahoma"/>
            <family val="2"/>
          </rPr>
          <t>This frequency sets the switching frequency the LM5146 should synchronize to. If SYNC is not used, the SYNCIN pin should be grounded for DCM or tied high (to VCC) for CCM, and the free-running frequency should be inserted here.</t>
        </r>
        <r>
          <rPr>
            <b/>
            <sz val="9"/>
            <color indexed="81"/>
            <rFont val="Tahoma"/>
            <family val="2"/>
          </rPr>
          <t xml:space="preserve">
The text in this cell is blue if 
</t>
        </r>
        <r>
          <rPr>
            <b/>
            <sz val="9"/>
            <color indexed="39"/>
            <rFont val="Tahoma"/>
            <family val="2"/>
          </rPr>
          <t>-The SYNC frequency is greater than 150% or less than 80% of the frequency set by R</t>
        </r>
        <r>
          <rPr>
            <b/>
            <vertAlign val="subscript"/>
            <sz val="9"/>
            <color indexed="39"/>
            <rFont val="Tahoma"/>
            <family val="2"/>
          </rPr>
          <t>RT</t>
        </r>
        <r>
          <rPr>
            <b/>
            <sz val="9"/>
            <color indexed="39"/>
            <rFont val="Tahoma"/>
            <family val="2"/>
          </rPr>
          <t>.
If the SYNC frequency is outside the applicable range, Fsw defaults in this tool to the free-running frequency value.</t>
        </r>
        <r>
          <rPr>
            <b/>
            <sz val="9"/>
            <color indexed="81"/>
            <rFont val="Tahoma"/>
            <family val="2"/>
          </rPr>
          <t xml:space="preserve">
The text in this cell is red if:
</t>
        </r>
        <r>
          <rPr>
            <b/>
            <sz val="9"/>
            <color indexed="10"/>
            <rFont val="Tahoma"/>
            <family val="2"/>
          </rPr>
          <t>- The frequency is below 100 kHz;
- The frequency is above 1 MHz;
- The frequency is not within -20% to +50% of the programmed frequency (set by the R</t>
        </r>
        <r>
          <rPr>
            <b/>
            <vertAlign val="subscript"/>
            <sz val="9"/>
            <color indexed="10"/>
            <rFont val="Tahoma"/>
            <family val="2"/>
          </rPr>
          <t>RT</t>
        </r>
        <r>
          <rPr>
            <b/>
            <sz val="9"/>
            <color indexed="10"/>
            <rFont val="Tahoma"/>
            <family val="2"/>
          </rPr>
          <t xml:space="preserve"> resistor).</t>
        </r>
      </text>
    </comment>
    <comment ref="E17" authorId="0" shapeId="0" xr:uid="{00000000-0006-0000-0000-000009000000}">
      <text>
        <r>
          <rPr>
            <b/>
            <sz val="9"/>
            <color indexed="81"/>
            <rFont val="Tahoma"/>
            <family val="2"/>
          </rPr>
          <t>L</t>
        </r>
        <r>
          <rPr>
            <b/>
            <vertAlign val="subscript"/>
            <sz val="9"/>
            <color indexed="81"/>
            <rFont val="Tahoma"/>
            <family val="2"/>
          </rPr>
          <t>F</t>
        </r>
        <r>
          <rPr>
            <b/>
            <sz val="9"/>
            <color indexed="81"/>
            <rFont val="Tahoma"/>
            <family val="2"/>
          </rPr>
          <t xml:space="preserve">:
</t>
        </r>
        <r>
          <rPr>
            <sz val="9"/>
            <color indexed="81"/>
            <rFont val="Tahoma"/>
            <family val="2"/>
          </rPr>
          <t>Enter the buck filter inductance here. Target inductor (peak-to-peak) ripple currrent is 25-45% of the DC full load current at nominal input voltage.</t>
        </r>
      </text>
    </comment>
    <comment ref="E18" authorId="0" shapeId="0" xr:uid="{00000000-0006-0000-0000-00000A000000}">
      <text>
        <r>
          <rPr>
            <b/>
            <u/>
            <sz val="9"/>
            <color indexed="81"/>
            <rFont val="Tahoma"/>
            <family val="2"/>
          </rPr>
          <t>Inductor DCR</t>
        </r>
        <r>
          <rPr>
            <b/>
            <sz val="9"/>
            <color indexed="81"/>
            <rFont val="Tahoma"/>
            <family val="2"/>
          </rPr>
          <t xml:space="preserve">:
</t>
        </r>
        <r>
          <rPr>
            <sz val="9"/>
            <color indexed="81"/>
            <rFont val="Tahoma"/>
            <family val="2"/>
          </rPr>
          <t>Enter the inductor DC resistance here. This is typically specified in the inductor datasheet at 25°C copper temperature.</t>
        </r>
      </text>
    </comment>
    <comment ref="F21" authorId="0" shapeId="0" xr:uid="{E16B2DB5-2E88-40B3-9726-C84913B304F3}">
      <text>
        <r>
          <rPr>
            <b/>
            <u/>
            <sz val="9"/>
            <color indexed="81"/>
            <rFont val="Tahoma"/>
            <family val="2"/>
          </rPr>
          <t>Core Loss</t>
        </r>
        <r>
          <rPr>
            <b/>
            <sz val="9"/>
            <color indexed="81"/>
            <rFont val="Tahoma"/>
            <family val="2"/>
          </rPr>
          <t xml:space="preserve">:
</t>
        </r>
        <r>
          <rPr>
            <sz val="9"/>
            <color indexed="81"/>
            <rFont val="Tahoma"/>
            <family val="2"/>
          </rPr>
          <t>Enter the estimated inductor AC loss at nominal input voltage.</t>
        </r>
      </text>
    </comment>
    <comment ref="E26" authorId="0" shapeId="0" xr:uid="{00000000-0006-0000-0000-00000B000000}">
      <text>
        <r>
          <rPr>
            <b/>
            <sz val="9"/>
            <color indexed="81"/>
            <rFont val="Tahoma"/>
            <family val="2"/>
          </rPr>
          <t>R</t>
        </r>
        <r>
          <rPr>
            <b/>
            <vertAlign val="subscript"/>
            <sz val="9"/>
            <color indexed="81"/>
            <rFont val="Tahoma"/>
            <family val="2"/>
          </rPr>
          <t>ILIM</t>
        </r>
        <r>
          <rPr>
            <b/>
            <sz val="9"/>
            <color indexed="81"/>
            <rFont val="Tahoma"/>
            <family val="2"/>
          </rPr>
          <t>:</t>
        </r>
        <r>
          <rPr>
            <sz val="9"/>
            <color indexed="81"/>
            <rFont val="Tahoma"/>
            <family val="2"/>
          </rPr>
          <t xml:space="preserve">
This resistor is used to set the overcurrent protection. As such, the calculation takes the required current limit setpoint, the inductor ripple current amplitude and the MOSFET RDS(on) or shunt resistance to calculate </t>
        </r>
        <r>
          <rPr>
            <b/>
            <sz val="9"/>
            <color indexed="81"/>
            <rFont val="Tahoma"/>
            <family val="2"/>
          </rPr>
          <t>R</t>
        </r>
        <r>
          <rPr>
            <b/>
            <vertAlign val="subscript"/>
            <sz val="9"/>
            <color indexed="81"/>
            <rFont val="Tahoma"/>
            <family val="2"/>
          </rPr>
          <t>ILIM</t>
        </r>
        <r>
          <rPr>
            <sz val="9"/>
            <color indexed="81"/>
            <rFont val="Tahoma"/>
            <family val="2"/>
          </rPr>
          <t>.</t>
        </r>
      </text>
    </comment>
    <comment ref="E31" authorId="0" shapeId="0" xr:uid="{00000000-0006-0000-0000-00000C000000}">
      <text>
        <r>
          <rPr>
            <b/>
            <u/>
            <sz val="9"/>
            <color indexed="81"/>
            <rFont val="Tahoma"/>
            <family val="2"/>
          </rPr>
          <t>Output Voltage Ripple</t>
        </r>
        <r>
          <rPr>
            <b/>
            <sz val="9"/>
            <color indexed="81"/>
            <rFont val="Tahoma"/>
            <family val="2"/>
          </rPr>
          <t xml:space="preserve">:
</t>
        </r>
        <r>
          <rPr>
            <sz val="9"/>
            <color indexed="81"/>
            <rFont val="Tahoma"/>
            <family val="2"/>
          </rPr>
          <t>Enter the desired maximum peak-to-peak output voltage ripple here. This will set the ideal output capacitance value.</t>
        </r>
        <r>
          <rPr>
            <b/>
            <sz val="9"/>
            <color indexed="81"/>
            <rFont val="Tahoma"/>
            <family val="2"/>
          </rPr>
          <t xml:space="preserve">
The text in this cell is red if:
</t>
        </r>
        <r>
          <rPr>
            <b/>
            <sz val="9"/>
            <color indexed="10"/>
            <rFont val="Tahoma"/>
            <family val="2"/>
          </rPr>
          <t>-The output voltage ripple is zero.</t>
        </r>
      </text>
    </comment>
    <comment ref="E33" authorId="0" shapeId="0" xr:uid="{00000000-0006-0000-0000-00000D000000}">
      <text>
        <r>
          <rPr>
            <b/>
            <u/>
            <sz val="9"/>
            <color indexed="81"/>
            <rFont val="Tahoma"/>
            <family val="2"/>
          </rPr>
          <t>Output Capacitance</t>
        </r>
        <r>
          <rPr>
            <b/>
            <sz val="9"/>
            <color indexed="81"/>
            <rFont val="Tahoma"/>
            <family val="2"/>
          </rPr>
          <t>:</t>
        </r>
        <r>
          <rPr>
            <sz val="9"/>
            <color indexed="81"/>
            <rFont val="Tahoma"/>
            <family val="2"/>
          </rPr>
          <t xml:space="preserve">
Enter the output capacitance here based on the minimum calculated result. Make sure that the nominal capacitance is appropriately </t>
        </r>
        <r>
          <rPr>
            <b/>
            <sz val="11"/>
            <color indexed="81"/>
            <rFont val="Tahoma"/>
            <family val="2"/>
          </rPr>
          <t>derated</t>
        </r>
        <r>
          <rPr>
            <sz val="9"/>
            <color indexed="81"/>
            <rFont val="Tahoma"/>
            <family val="2"/>
          </rPr>
          <t xml:space="preserve"> for applied voltage, particularly with </t>
        </r>
        <r>
          <rPr>
            <sz val="9"/>
            <color indexed="39"/>
            <rFont val="Tahoma"/>
            <family val="2"/>
          </rPr>
          <t>ceramics</t>
        </r>
        <r>
          <rPr>
            <sz val="9"/>
            <color indexed="81"/>
            <rFont val="Tahoma"/>
            <family val="2"/>
          </rPr>
          <t xml:space="preserve">.
</t>
        </r>
        <r>
          <rPr>
            <b/>
            <sz val="9"/>
            <color indexed="81"/>
            <rFont val="Tahoma"/>
            <family val="2"/>
          </rPr>
          <t>The text in this cell is flagged red if:</t>
        </r>
        <r>
          <rPr>
            <sz val="9"/>
            <color indexed="81"/>
            <rFont val="Tahoma"/>
            <family val="2"/>
          </rPr>
          <t xml:space="preserve">
</t>
        </r>
        <r>
          <rPr>
            <b/>
            <sz val="9"/>
            <color indexed="10"/>
            <rFont val="Tahoma"/>
            <family val="2"/>
          </rPr>
          <t>-The chosen output capacitor is smaller than the minimum ideal capacitance.</t>
        </r>
      </text>
    </comment>
    <comment ref="E35" authorId="0" shapeId="0" xr:uid="{00000000-0006-0000-0000-00000E000000}">
      <text>
        <r>
          <rPr>
            <b/>
            <u/>
            <sz val="9"/>
            <color indexed="81"/>
            <rFont val="Tahoma"/>
            <family val="2"/>
          </rPr>
          <t>Output Capacitor ESR</t>
        </r>
        <r>
          <rPr>
            <b/>
            <sz val="9"/>
            <color indexed="81"/>
            <rFont val="Tahoma"/>
            <family val="2"/>
          </rPr>
          <t xml:space="preserve">:
</t>
        </r>
        <r>
          <rPr>
            <sz val="9"/>
            <color indexed="81"/>
            <rFont val="Tahoma"/>
            <family val="2"/>
          </rPr>
          <t>Enter the output capacitor ESR here based on the maximum allowed output capacitor ESR to meet the voltage ripple specification.</t>
        </r>
        <r>
          <rPr>
            <b/>
            <sz val="9"/>
            <color indexed="81"/>
            <rFont val="Tahoma"/>
            <family val="2"/>
          </rPr>
          <t xml:space="preserve">
The text in this cell will be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text>
    </comment>
    <comment ref="E40" authorId="0" shapeId="0" xr:uid="{00000000-0006-0000-0000-00000F000000}">
      <text>
        <r>
          <rPr>
            <b/>
            <u/>
            <sz val="9"/>
            <color indexed="81"/>
            <rFont val="Tahoma"/>
            <family val="2"/>
          </rPr>
          <t>Input Voltage Ripple</t>
        </r>
        <r>
          <rPr>
            <b/>
            <sz val="9"/>
            <color indexed="81"/>
            <rFont val="Tahoma"/>
            <family val="2"/>
          </rPr>
          <t xml:space="preserve">:
</t>
        </r>
        <r>
          <rPr>
            <sz val="9"/>
            <color indexed="81"/>
            <rFont val="Tahoma"/>
            <family val="2"/>
          </rPr>
          <t>Enter the desired maximum peak-to-peak input voltage ripple here. This will set the ideal input capacitance requirement.</t>
        </r>
        <r>
          <rPr>
            <b/>
            <sz val="9"/>
            <color indexed="81"/>
            <rFont val="Tahoma"/>
            <family val="2"/>
          </rPr>
          <t xml:space="preserve">
The text in this cell is </t>
        </r>
        <r>
          <rPr>
            <b/>
            <sz val="9"/>
            <color indexed="10"/>
            <rFont val="Tahoma"/>
            <family val="2"/>
          </rPr>
          <t>red</t>
        </r>
        <r>
          <rPr>
            <b/>
            <sz val="9"/>
            <color indexed="81"/>
            <rFont val="Tahoma"/>
            <family val="2"/>
          </rPr>
          <t xml:space="preserve"> if:
</t>
        </r>
        <r>
          <rPr>
            <b/>
            <sz val="9"/>
            <color indexed="10"/>
            <rFont val="Tahoma"/>
            <family val="2"/>
          </rPr>
          <t>-The input voltage ripple is zero.</t>
        </r>
      </text>
    </comment>
    <comment ref="E42" authorId="0" shapeId="0" xr:uid="{00000000-0006-0000-0000-000010000000}">
      <text>
        <r>
          <rPr>
            <b/>
            <u/>
            <sz val="9"/>
            <color indexed="81"/>
            <rFont val="Tahoma"/>
            <family val="2"/>
          </rPr>
          <t>Input Capacitance</t>
        </r>
        <r>
          <rPr>
            <b/>
            <sz val="9"/>
            <color indexed="81"/>
            <rFont val="Tahoma"/>
            <family val="2"/>
          </rPr>
          <t xml:space="preserve">:
</t>
        </r>
        <r>
          <rPr>
            <sz val="9"/>
            <color indexed="81"/>
            <rFont val="Tahoma"/>
            <family val="2"/>
          </rPr>
          <t xml:space="preserve">Enter the input capacitance here based on the minimum calculated result. Make sure that the nominal capacitance is appropriately derated for applied voltage.
</t>
        </r>
        <r>
          <rPr>
            <b/>
            <sz val="9"/>
            <color indexed="81"/>
            <rFont val="Tahoma"/>
            <family val="2"/>
          </rPr>
          <t xml:space="preserve">The text in this cell is flagged </t>
        </r>
        <r>
          <rPr>
            <b/>
            <sz val="9"/>
            <color indexed="10"/>
            <rFont val="Tahoma"/>
            <family val="2"/>
          </rPr>
          <t>red</t>
        </r>
        <r>
          <rPr>
            <b/>
            <sz val="9"/>
            <color indexed="81"/>
            <rFont val="Tahoma"/>
            <family val="2"/>
          </rPr>
          <t xml:space="preserve"> if:
</t>
        </r>
        <r>
          <rPr>
            <b/>
            <sz val="9"/>
            <color indexed="10"/>
            <rFont val="Tahoma"/>
            <family val="2"/>
          </rPr>
          <t>-The chosen input capacitor is smaller than the minimum ideal capacitance.</t>
        </r>
      </text>
    </comment>
    <comment ref="E44" authorId="0" shapeId="0" xr:uid="{00000000-0006-0000-0000-000011000000}">
      <text>
        <r>
          <rPr>
            <b/>
            <u/>
            <sz val="9"/>
            <color indexed="81"/>
            <rFont val="Tahoma"/>
            <family val="2"/>
          </rPr>
          <t>Input Capacitor ESR</t>
        </r>
        <r>
          <rPr>
            <b/>
            <sz val="9"/>
            <color indexed="81"/>
            <rFont val="Tahoma"/>
            <family val="2"/>
          </rPr>
          <t xml:space="preserve">:
</t>
        </r>
        <r>
          <rPr>
            <sz val="9"/>
            <color indexed="81"/>
            <rFont val="Tahoma"/>
            <family val="2"/>
          </rPr>
          <t>Enter the input capacitor ESR here based on the maximum allowed input capacitor ESR to meet the ripple voltage specification.</t>
        </r>
        <r>
          <rPr>
            <b/>
            <sz val="9"/>
            <color indexed="81"/>
            <rFont val="Tahoma"/>
            <family val="2"/>
          </rPr>
          <t xml:space="preserve">
The text in this cell will be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r>
          <rPr>
            <sz val="11"/>
            <color indexed="81"/>
            <rFont val="Tahoma"/>
            <family val="2"/>
          </rPr>
          <t xml:space="preserve">
</t>
        </r>
      </text>
    </comment>
    <comment ref="E49" authorId="0" shapeId="0" xr:uid="{00000000-0006-0000-0000-000012000000}">
      <text>
        <r>
          <rPr>
            <b/>
            <u/>
            <sz val="8"/>
            <color indexed="81"/>
            <rFont val="Tahoma"/>
            <family val="2"/>
          </rPr>
          <t>Soft-Start Time</t>
        </r>
        <r>
          <rPr>
            <b/>
            <sz val="8"/>
            <color indexed="81"/>
            <rFont val="Tahoma"/>
            <family val="2"/>
          </rPr>
          <t xml:space="preserve">:
</t>
        </r>
        <r>
          <rPr>
            <sz val="8"/>
            <color indexed="81"/>
            <rFont val="Tahoma"/>
            <family val="2"/>
          </rPr>
          <t xml:space="preserve">Enter the desired soft-start time here. </t>
        </r>
      </text>
    </comment>
    <comment ref="E51" authorId="0" shapeId="0" xr:uid="{00000000-0006-0000-0000-000013000000}">
      <text>
        <r>
          <rPr>
            <b/>
            <u/>
            <sz val="9"/>
            <color indexed="81"/>
            <rFont val="Tahoma"/>
            <family val="2"/>
          </rPr>
          <t>Nominal UVLO Turn-On Input Voltage</t>
        </r>
        <r>
          <rPr>
            <b/>
            <sz val="9"/>
            <color indexed="81"/>
            <rFont val="Tahoma"/>
            <family val="2"/>
          </rPr>
          <t xml:space="preserve">:
</t>
        </r>
        <r>
          <rPr>
            <sz val="9"/>
            <color indexed="81"/>
            <rFont val="Tahoma"/>
            <family val="2"/>
          </rPr>
          <t xml:space="preserve">Enter the nominal input voltage at turn on.
The LM5146-Q1 input operating voltage range is 5.5V to 95V.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95V</t>
        </r>
        <r>
          <rPr>
            <sz val="9"/>
            <color indexed="81"/>
            <rFont val="Tahoma"/>
            <family val="2"/>
          </rPr>
          <t xml:space="preserve">
-The input voltage is below </t>
        </r>
        <r>
          <rPr>
            <b/>
            <sz val="9"/>
            <color indexed="10"/>
            <rFont val="Tahoma"/>
            <family val="2"/>
          </rPr>
          <t>5.5V</t>
        </r>
      </text>
    </comment>
    <comment ref="E52" authorId="0" shapeId="0" xr:uid="{00000000-0006-0000-0000-000014000000}">
      <text>
        <r>
          <rPr>
            <b/>
            <u/>
            <sz val="9"/>
            <color indexed="81"/>
            <rFont val="Tahoma"/>
            <family val="2"/>
          </rPr>
          <t>Nominal UVLO Turn-Off Input Voltage</t>
        </r>
        <r>
          <rPr>
            <b/>
            <sz val="9"/>
            <color indexed="81"/>
            <rFont val="Tahoma"/>
            <family val="2"/>
          </rPr>
          <t>:</t>
        </r>
        <r>
          <rPr>
            <sz val="9"/>
            <color indexed="81"/>
            <rFont val="Tahoma"/>
            <family val="2"/>
          </rPr>
          <t xml:space="preserve">
Enter the nominal input voltage at turn off.
The LM5146-Q1 input operating voltage range is 5.5V to 95V.
</t>
        </r>
        <r>
          <rPr>
            <b/>
            <sz val="9"/>
            <color indexed="81"/>
            <rFont val="Tahoma"/>
            <family val="2"/>
          </rPr>
          <t xml:space="preserve">
The text in this cell is red if:</t>
        </r>
        <r>
          <rPr>
            <sz val="9"/>
            <color indexed="81"/>
            <rFont val="Tahoma"/>
            <family val="2"/>
          </rPr>
          <t xml:space="preserve">
-The input voltage is above </t>
        </r>
        <r>
          <rPr>
            <b/>
            <sz val="9"/>
            <color indexed="10"/>
            <rFont val="Tahoma"/>
            <family val="2"/>
          </rPr>
          <t>90V</t>
        </r>
        <r>
          <rPr>
            <sz val="9"/>
            <color indexed="81"/>
            <rFont val="Tahoma"/>
            <family val="2"/>
          </rPr>
          <t xml:space="preserve">
-The input voltage is below </t>
        </r>
        <r>
          <rPr>
            <b/>
            <sz val="9"/>
            <color indexed="10"/>
            <rFont val="Tahoma"/>
            <family val="2"/>
          </rPr>
          <t>5.5V</t>
        </r>
      </text>
    </comment>
    <comment ref="F61" authorId="0" shapeId="0" xr:uid="{00000000-0006-0000-0000-000015000000}">
      <text>
        <r>
          <rPr>
            <b/>
            <u/>
            <sz val="9"/>
            <color indexed="81"/>
            <rFont val="Tahoma"/>
            <family val="2"/>
          </rPr>
          <t>Crossover Frequency</t>
        </r>
        <r>
          <rPr>
            <b/>
            <sz val="9"/>
            <color indexed="81"/>
            <rFont val="Tahoma"/>
            <family val="2"/>
          </rPr>
          <t>:</t>
        </r>
        <r>
          <rPr>
            <sz val="9"/>
            <color indexed="81"/>
            <rFont val="Tahoma"/>
            <family val="2"/>
          </rPr>
          <t xml:space="preserve">
Enter the desired open loop crossover frequency (usually between 10% and 20% of switching frequency). The LM5146 design tool determines feedback compensation components based on this target performance metric.</t>
        </r>
      </text>
    </comment>
    <comment ref="E63" authorId="0" shapeId="0" xr:uid="{00000000-0006-0000-0000-000016000000}">
      <text>
        <r>
          <rPr>
            <b/>
            <sz val="9"/>
            <color indexed="81"/>
            <rFont val="Tahoma"/>
            <family val="2"/>
          </rPr>
          <t>R</t>
        </r>
        <r>
          <rPr>
            <b/>
            <vertAlign val="subscript"/>
            <sz val="9"/>
            <color indexed="81"/>
            <rFont val="Tahoma"/>
            <family val="2"/>
          </rPr>
          <t>FB1</t>
        </r>
        <r>
          <rPr>
            <b/>
            <sz val="9"/>
            <color indexed="81"/>
            <rFont val="Tahoma"/>
            <family val="2"/>
          </rPr>
          <t>:</t>
        </r>
        <r>
          <rPr>
            <sz val="9"/>
            <color indexed="81"/>
            <rFont val="Tahoma"/>
            <family val="2"/>
          </rPr>
          <t xml:space="preserve">
This is the upper feedback resistor that sets the output voltage. A recommended starting value of </t>
        </r>
        <r>
          <rPr>
            <b/>
            <sz val="9"/>
            <color indexed="81"/>
            <rFont val="Tahoma"/>
            <family val="2"/>
          </rPr>
          <t>R</t>
        </r>
        <r>
          <rPr>
            <b/>
            <vertAlign val="subscript"/>
            <sz val="9"/>
            <color indexed="81"/>
            <rFont val="Tahoma"/>
            <family val="2"/>
          </rPr>
          <t>FB1</t>
        </r>
        <r>
          <rPr>
            <sz val="9"/>
            <color indexed="81"/>
            <rFont val="Tahoma"/>
            <family val="2"/>
          </rPr>
          <t xml:space="preserve"> is 20kΩ.</t>
        </r>
      </text>
    </comment>
    <comment ref="D67" authorId="0" shapeId="0" xr:uid="{00000000-0006-0000-0000-000017000000}">
      <text>
        <r>
          <rPr>
            <b/>
            <sz val="9"/>
            <color indexed="81"/>
            <rFont val="Tahoma"/>
            <family val="2"/>
          </rPr>
          <t>F</t>
        </r>
        <r>
          <rPr>
            <b/>
            <vertAlign val="subscript"/>
            <sz val="9"/>
            <color indexed="81"/>
            <rFont val="Tahoma"/>
            <family val="2"/>
          </rPr>
          <t>Z1</t>
        </r>
        <r>
          <rPr>
            <b/>
            <sz val="9"/>
            <color indexed="81"/>
            <rFont val="Tahoma"/>
            <family val="2"/>
          </rPr>
          <t>:
F</t>
        </r>
        <r>
          <rPr>
            <b/>
            <vertAlign val="subscript"/>
            <sz val="9"/>
            <color indexed="81"/>
            <rFont val="Tahoma"/>
            <family val="2"/>
          </rPr>
          <t>Z1</t>
        </r>
        <r>
          <rPr>
            <sz val="9"/>
            <color indexed="81"/>
            <rFont val="Tahoma"/>
            <family val="2"/>
          </rPr>
          <t xml:space="preserve"> is the first zero of the compensator. By default, </t>
        </r>
        <r>
          <rPr>
            <b/>
            <sz val="9"/>
            <color indexed="81"/>
            <rFont val="Tahoma"/>
            <family val="2"/>
          </rPr>
          <t>F</t>
        </r>
        <r>
          <rPr>
            <b/>
            <vertAlign val="subscript"/>
            <sz val="9"/>
            <color indexed="81"/>
            <rFont val="Tahoma"/>
            <family val="2"/>
          </rPr>
          <t>Z1</t>
        </r>
        <r>
          <rPr>
            <sz val="9"/>
            <color indexed="81"/>
            <rFont val="Tahoma"/>
            <family val="2"/>
          </rPr>
          <t xml:space="preserve"> is located near the complex double pole (F</t>
        </r>
        <r>
          <rPr>
            <vertAlign val="subscript"/>
            <sz val="9"/>
            <color indexed="81"/>
            <rFont val="Tahoma"/>
            <family val="2"/>
          </rPr>
          <t>LC</t>
        </r>
        <r>
          <rPr>
            <sz val="9"/>
            <color indexed="81"/>
            <rFont val="Tahoma"/>
            <family val="2"/>
          </rPr>
          <t>) associated with L</t>
        </r>
        <r>
          <rPr>
            <vertAlign val="subscript"/>
            <sz val="9"/>
            <color indexed="81"/>
            <rFont val="Tahoma"/>
            <family val="2"/>
          </rPr>
          <t>F</t>
        </r>
        <r>
          <rPr>
            <sz val="9"/>
            <color indexed="81"/>
            <rFont val="Tahoma"/>
            <family val="2"/>
          </rPr>
          <t xml:space="preserve"> and C</t>
        </r>
        <r>
          <rPr>
            <vertAlign val="subscript"/>
            <sz val="9"/>
            <color indexed="81"/>
            <rFont val="Tahoma"/>
            <family val="2"/>
          </rPr>
          <t>OUT</t>
        </r>
        <r>
          <rPr>
            <sz val="9"/>
            <color indexed="81"/>
            <rFont val="Tahoma"/>
            <family val="2"/>
          </rPr>
          <t xml:space="preserve"> filter components. </t>
        </r>
        <r>
          <rPr>
            <b/>
            <sz val="9"/>
            <color indexed="81"/>
            <rFont val="Tahoma"/>
            <family val="2"/>
          </rPr>
          <t>F</t>
        </r>
        <r>
          <rPr>
            <b/>
            <vertAlign val="subscript"/>
            <sz val="9"/>
            <color indexed="81"/>
            <rFont val="Tahoma"/>
            <family val="2"/>
          </rPr>
          <t>Z1</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Z1</t>
        </r>
        <r>
          <rPr>
            <sz val="9"/>
            <color indexed="81"/>
            <rFont val="Tahoma"/>
            <family val="2"/>
          </rPr>
          <t xml:space="preserve"> cell.</t>
        </r>
      </text>
    </comment>
    <comment ref="D68" authorId="0" shapeId="0" xr:uid="{00000000-0006-0000-0000-000018000000}">
      <text>
        <r>
          <rPr>
            <b/>
            <sz val="9"/>
            <color indexed="81"/>
            <rFont val="Tahoma"/>
            <family val="2"/>
          </rPr>
          <t>F</t>
        </r>
        <r>
          <rPr>
            <b/>
            <vertAlign val="subscript"/>
            <sz val="9"/>
            <color indexed="81"/>
            <rFont val="Tahoma"/>
            <family val="2"/>
          </rPr>
          <t>Z2</t>
        </r>
        <r>
          <rPr>
            <b/>
            <sz val="9"/>
            <color indexed="81"/>
            <rFont val="Tahoma"/>
            <family val="2"/>
          </rPr>
          <t>:
F</t>
        </r>
        <r>
          <rPr>
            <b/>
            <vertAlign val="subscript"/>
            <sz val="9"/>
            <color indexed="81"/>
            <rFont val="Tahoma"/>
            <family val="2"/>
          </rPr>
          <t>Z2</t>
        </r>
        <r>
          <rPr>
            <sz val="9"/>
            <color indexed="81"/>
            <rFont val="Tahoma"/>
            <family val="2"/>
          </rPr>
          <t xml:space="preserve"> is the second zero of the compensator. By default, </t>
        </r>
        <r>
          <rPr>
            <b/>
            <sz val="9"/>
            <color indexed="81"/>
            <rFont val="Tahoma"/>
            <family val="2"/>
          </rPr>
          <t>F</t>
        </r>
        <r>
          <rPr>
            <b/>
            <vertAlign val="subscript"/>
            <sz val="9"/>
            <color indexed="81"/>
            <rFont val="Tahoma"/>
            <family val="2"/>
          </rPr>
          <t>Z2</t>
        </r>
        <r>
          <rPr>
            <sz val="9"/>
            <color indexed="81"/>
            <rFont val="Tahoma"/>
            <family val="2"/>
          </rPr>
          <t xml:space="preserve">  is located near the LC resonant frequency (F</t>
        </r>
        <r>
          <rPr>
            <vertAlign val="subscript"/>
            <sz val="9"/>
            <color indexed="81"/>
            <rFont val="Tahoma"/>
            <family val="2"/>
          </rPr>
          <t>LC</t>
        </r>
        <r>
          <rPr>
            <sz val="9"/>
            <color indexed="81"/>
            <rFont val="Tahoma"/>
            <family val="2"/>
          </rPr>
          <t>) caused by L</t>
        </r>
        <r>
          <rPr>
            <vertAlign val="subscript"/>
            <sz val="9"/>
            <color indexed="81"/>
            <rFont val="Tahoma"/>
            <family val="2"/>
          </rPr>
          <t>F</t>
        </r>
        <r>
          <rPr>
            <sz val="9"/>
            <color indexed="81"/>
            <rFont val="Tahoma"/>
            <family val="2"/>
          </rPr>
          <t xml:space="preserve"> and C</t>
        </r>
        <r>
          <rPr>
            <vertAlign val="subscript"/>
            <sz val="9"/>
            <color indexed="81"/>
            <rFont val="Tahoma"/>
            <family val="2"/>
          </rPr>
          <t>OUT</t>
        </r>
        <r>
          <rPr>
            <sz val="9"/>
            <color indexed="81"/>
            <rFont val="Tahoma"/>
            <family val="2"/>
          </rPr>
          <t xml:space="preserve"> filter components.  </t>
        </r>
        <r>
          <rPr>
            <b/>
            <sz val="9"/>
            <color indexed="81"/>
            <rFont val="Tahoma"/>
            <family val="2"/>
          </rPr>
          <t>F</t>
        </r>
        <r>
          <rPr>
            <b/>
            <vertAlign val="subscript"/>
            <sz val="9"/>
            <color indexed="81"/>
            <rFont val="Tahoma"/>
            <family val="2"/>
          </rPr>
          <t>Z2</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Z2</t>
        </r>
        <r>
          <rPr>
            <sz val="9"/>
            <color indexed="81"/>
            <rFont val="Tahoma"/>
            <family val="2"/>
          </rPr>
          <t xml:space="preserve"> cell.</t>
        </r>
      </text>
    </comment>
    <comment ref="D69" authorId="0" shapeId="0" xr:uid="{00000000-0006-0000-0000-000019000000}">
      <text>
        <r>
          <rPr>
            <b/>
            <sz val="9"/>
            <color indexed="81"/>
            <rFont val="Tahoma"/>
            <family val="2"/>
          </rPr>
          <t>F</t>
        </r>
        <r>
          <rPr>
            <b/>
            <vertAlign val="subscript"/>
            <sz val="9"/>
            <color indexed="81"/>
            <rFont val="Tahoma"/>
            <family val="2"/>
          </rPr>
          <t>P1</t>
        </r>
        <r>
          <rPr>
            <b/>
            <sz val="9"/>
            <color indexed="81"/>
            <rFont val="Tahoma"/>
            <family val="2"/>
          </rPr>
          <t>:</t>
        </r>
        <r>
          <rPr>
            <sz val="9"/>
            <color indexed="81"/>
            <rFont val="Tahoma"/>
            <family val="2"/>
          </rPr>
          <t xml:space="preserve">
</t>
        </r>
        <r>
          <rPr>
            <b/>
            <sz val="9"/>
            <color indexed="81"/>
            <rFont val="Tahoma"/>
            <family val="2"/>
          </rPr>
          <t>F</t>
        </r>
        <r>
          <rPr>
            <b/>
            <vertAlign val="subscript"/>
            <sz val="9"/>
            <color indexed="81"/>
            <rFont val="Tahoma"/>
            <family val="2"/>
          </rPr>
          <t>P1</t>
        </r>
        <r>
          <rPr>
            <sz val="9"/>
            <color indexed="81"/>
            <rFont val="Tahoma"/>
            <family val="2"/>
          </rPr>
          <t xml:space="preserve"> is the first pole of the compensator. By default, </t>
        </r>
        <r>
          <rPr>
            <b/>
            <sz val="9"/>
            <color indexed="81"/>
            <rFont val="Tahoma"/>
            <family val="2"/>
          </rPr>
          <t>F</t>
        </r>
        <r>
          <rPr>
            <b/>
            <vertAlign val="subscript"/>
            <sz val="9"/>
            <color indexed="81"/>
            <rFont val="Tahoma"/>
            <family val="2"/>
          </rPr>
          <t>P1</t>
        </r>
        <r>
          <rPr>
            <sz val="9"/>
            <color indexed="81"/>
            <rFont val="Tahoma"/>
            <family val="2"/>
          </rPr>
          <t xml:space="preserve"> is located at the zero (F</t>
        </r>
        <r>
          <rPr>
            <vertAlign val="subscript"/>
            <sz val="9"/>
            <color indexed="81"/>
            <rFont val="Tahoma"/>
            <family val="2"/>
          </rPr>
          <t>ESR</t>
        </r>
        <r>
          <rPr>
            <sz val="9"/>
            <color indexed="81"/>
            <rFont val="Tahoma"/>
            <family val="2"/>
          </rPr>
          <t>) caused by the output capacitance (C</t>
        </r>
        <r>
          <rPr>
            <vertAlign val="subscript"/>
            <sz val="9"/>
            <color indexed="81"/>
            <rFont val="Tahoma"/>
            <family val="2"/>
          </rPr>
          <t>OUT</t>
        </r>
        <r>
          <rPr>
            <sz val="9"/>
            <color indexed="81"/>
            <rFont val="Tahoma"/>
            <family val="2"/>
          </rPr>
          <t xml:space="preserve">) and its associated ESR. </t>
        </r>
        <r>
          <rPr>
            <b/>
            <sz val="9"/>
            <color indexed="81"/>
            <rFont val="Tahoma"/>
            <family val="2"/>
          </rPr>
          <t>F</t>
        </r>
        <r>
          <rPr>
            <b/>
            <vertAlign val="subscript"/>
            <sz val="9"/>
            <color indexed="81"/>
            <rFont val="Tahoma"/>
            <family val="2"/>
          </rPr>
          <t>P1</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P1</t>
        </r>
        <r>
          <rPr>
            <sz val="9"/>
            <color indexed="81"/>
            <rFont val="Tahoma"/>
            <family val="2"/>
          </rPr>
          <t xml:space="preserve"> cell.</t>
        </r>
      </text>
    </comment>
    <comment ref="D70" authorId="0" shapeId="0" xr:uid="{00000000-0006-0000-0000-00001A000000}">
      <text>
        <r>
          <rPr>
            <b/>
            <sz val="9"/>
            <color indexed="81"/>
            <rFont val="Tahoma"/>
            <family val="2"/>
          </rPr>
          <t>F</t>
        </r>
        <r>
          <rPr>
            <b/>
            <vertAlign val="subscript"/>
            <sz val="9"/>
            <color indexed="81"/>
            <rFont val="Tahoma"/>
            <family val="2"/>
          </rPr>
          <t>P2</t>
        </r>
        <r>
          <rPr>
            <b/>
            <sz val="9"/>
            <color indexed="81"/>
            <rFont val="Tahoma"/>
            <family val="2"/>
          </rPr>
          <t>:</t>
        </r>
        <r>
          <rPr>
            <sz val="9"/>
            <color indexed="81"/>
            <rFont val="Tahoma"/>
            <family val="2"/>
          </rPr>
          <t xml:space="preserve">
</t>
        </r>
        <r>
          <rPr>
            <b/>
            <sz val="9"/>
            <color indexed="81"/>
            <rFont val="Tahoma"/>
            <family val="2"/>
          </rPr>
          <t>F</t>
        </r>
        <r>
          <rPr>
            <b/>
            <vertAlign val="subscript"/>
            <sz val="9"/>
            <color indexed="81"/>
            <rFont val="Tahoma"/>
            <family val="2"/>
          </rPr>
          <t>P2</t>
        </r>
        <r>
          <rPr>
            <sz val="9"/>
            <color indexed="81"/>
            <rFont val="Tahoma"/>
            <family val="2"/>
          </rPr>
          <t xml:space="preserve"> is the second pole of the compensator. By default, </t>
        </r>
        <r>
          <rPr>
            <b/>
            <sz val="9"/>
            <color indexed="81"/>
            <rFont val="Tahoma"/>
            <family val="2"/>
          </rPr>
          <t>F</t>
        </r>
        <r>
          <rPr>
            <b/>
            <vertAlign val="subscript"/>
            <sz val="9"/>
            <color indexed="81"/>
            <rFont val="Tahoma"/>
            <family val="2"/>
          </rPr>
          <t>P2</t>
        </r>
        <r>
          <rPr>
            <sz val="9"/>
            <color indexed="81"/>
            <rFont val="Tahoma"/>
            <family val="2"/>
          </rPr>
          <t xml:space="preserve"> is located at F</t>
        </r>
        <r>
          <rPr>
            <vertAlign val="subscript"/>
            <sz val="9"/>
            <color indexed="81"/>
            <rFont val="Tahoma"/>
            <family val="2"/>
          </rPr>
          <t>SW</t>
        </r>
        <r>
          <rPr>
            <sz val="9"/>
            <color indexed="81"/>
            <rFont val="Tahoma"/>
            <family val="2"/>
          </rPr>
          <t xml:space="preserve">/2. </t>
        </r>
        <r>
          <rPr>
            <b/>
            <sz val="9"/>
            <color indexed="81"/>
            <rFont val="Tahoma"/>
            <family val="2"/>
          </rPr>
          <t>F</t>
        </r>
        <r>
          <rPr>
            <b/>
            <vertAlign val="subscript"/>
            <sz val="9"/>
            <color indexed="81"/>
            <rFont val="Tahoma"/>
            <family val="2"/>
          </rPr>
          <t>P2</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P2</t>
        </r>
        <r>
          <rPr>
            <sz val="9"/>
            <color indexed="81"/>
            <rFont val="Tahoma"/>
            <family val="2"/>
          </rPr>
          <t xml:space="preserve"> cell.</t>
        </r>
      </text>
    </comment>
    <comment ref="E85" authorId="1" shapeId="0" xr:uid="{00000000-0006-0000-0000-00001B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(V</t>
        </r>
        <r>
          <rPr>
            <vertAlign val="subscript"/>
            <sz val="10"/>
            <color indexed="81"/>
            <rFont val="Tahoma"/>
            <family val="2"/>
          </rPr>
          <t>GS</t>
        </r>
        <r>
          <rPr>
            <sz val="10"/>
            <color indexed="81"/>
            <rFont val="Tahoma"/>
            <family val="2"/>
          </rPr>
          <t xml:space="preserve"> = 7.5V).
High current designs (&gt;10A) will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E86" authorId="1" shapeId="0" xr:uid="{00000000-0006-0000-0000-00001C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t>
        </r>
      </text>
    </comment>
    <comment ref="E87" authorId="1" shapeId="0" xr:uid="{00000000-0006-0000-0000-00001D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will affect the turn-on and-off transition times. Slow transition times will result in a decrease in efficiency, especially at higher input voltages.</t>
        </r>
      </text>
    </comment>
    <comment ref="E88" authorId="1" shapeId="0" xr:uid="{00000000-0006-0000-0000-00001E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gate-source charge here. </t>
        </r>
      </text>
    </comment>
    <comment ref="E89" authorId="1" shapeId="0" xr:uid="{00000000-0006-0000-0000-00001F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output capacitance of the high-side MOSFET at the relevant input voltage here. </t>
        </r>
      </text>
    </comment>
    <comment ref="E90" authorId="1" shapeId="0" xr:uid="{00000000-0006-0000-0000-000020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E91" authorId="1" shapeId="0" xr:uid="{00000000-0006-0000-0000-000021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E92" authorId="1" shapeId="0" xr:uid="{00000000-0006-0000-0000-000022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E93" authorId="1" shapeId="0" xr:uid="{00000000-0006-0000-0000-000023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E94" authorId="1" shapeId="0" xr:uid="{00000000-0006-0000-0000-000024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E97" authorId="1" shapeId="0" xr:uid="{00000000-0006-0000-0000-000025000000}">
      <text>
        <r>
          <rPr>
            <b/>
            <sz val="10"/>
            <color indexed="81"/>
            <rFont val="Tahoma"/>
            <family val="2"/>
          </rPr>
          <t>MOSFET On-State Resistance (R</t>
        </r>
        <r>
          <rPr>
            <b/>
            <vertAlign val="subscript"/>
            <sz val="10"/>
            <color indexed="81"/>
            <rFont val="Tahoma"/>
            <family val="2"/>
          </rPr>
          <t>DS(on)</t>
        </r>
        <r>
          <rPr>
            <b/>
            <sz val="10"/>
            <color indexed="81"/>
            <rFont val="Tahoma"/>
            <family val="2"/>
          </rPr>
          <t xml:space="preserve">):
</t>
        </r>
        <r>
          <rPr>
            <sz val="10"/>
            <color indexed="81"/>
            <rFont val="Tahoma"/>
            <family val="2"/>
          </rPr>
          <t>Enter the R</t>
        </r>
        <r>
          <rPr>
            <vertAlign val="subscript"/>
            <sz val="10"/>
            <color indexed="81"/>
            <rFont val="Tahoma"/>
            <family val="2"/>
          </rPr>
          <t>DS(on)</t>
        </r>
        <r>
          <rPr>
            <sz val="10"/>
            <color indexed="81"/>
            <rFont val="Tahoma"/>
            <family val="2"/>
          </rPr>
          <t xml:space="preserve"> of the low-side MOSFET here (V</t>
        </r>
        <r>
          <rPr>
            <vertAlign val="subscript"/>
            <sz val="10"/>
            <color indexed="81"/>
            <rFont val="Tahoma"/>
            <family val="2"/>
          </rPr>
          <t>GS</t>
        </r>
        <r>
          <rPr>
            <sz val="10"/>
            <color indexed="81"/>
            <rFont val="Tahoma"/>
            <family val="2"/>
          </rPr>
          <t xml:space="preserve"> = 7.5V).
High current designs (&gt;10A) can incur large conduction losses and, as such, demand MOSFETs with low R</t>
        </r>
        <r>
          <rPr>
            <vertAlign val="subscript"/>
            <sz val="10"/>
            <color indexed="81"/>
            <rFont val="Tahoma"/>
            <family val="2"/>
          </rPr>
          <t>DS(on)</t>
        </r>
        <r>
          <rPr>
            <sz val="10"/>
            <color indexed="81"/>
            <rFont val="Tahoma"/>
            <family val="2"/>
          </rPr>
          <t xml:space="preserve"> </t>
        </r>
        <r>
          <rPr>
            <sz val="10"/>
            <color indexed="81"/>
            <rFont val="Calibri"/>
            <family val="2"/>
          </rPr>
          <t xml:space="preserve">– </t>
        </r>
        <r>
          <rPr>
            <sz val="10"/>
            <color indexed="81"/>
            <rFont val="Tahoma"/>
            <family val="2"/>
          </rPr>
          <t>usually at the expense of larger Q</t>
        </r>
        <r>
          <rPr>
            <vertAlign val="subscript"/>
            <sz val="10"/>
            <color indexed="81"/>
            <rFont val="Tahoma"/>
            <family val="2"/>
          </rPr>
          <t>G</t>
        </r>
        <r>
          <rPr>
            <sz val="10"/>
            <color indexed="81"/>
            <rFont val="Tahoma"/>
            <family val="2"/>
          </rPr>
          <t>. MOSFET R</t>
        </r>
        <r>
          <rPr>
            <vertAlign val="subscript"/>
            <sz val="10"/>
            <color indexed="81"/>
            <rFont val="Tahoma"/>
            <family val="2"/>
          </rPr>
          <t>DS(on)</t>
        </r>
        <r>
          <rPr>
            <sz val="10"/>
            <color indexed="81"/>
            <rFont val="Tahoma"/>
            <family val="2"/>
          </rPr>
          <t xml:space="preserve"> temperature coefficient is accounted for in the efficiency and power dissipation calculations.  </t>
        </r>
      </text>
    </comment>
    <comment ref="E98" authorId="1" shapeId="0" xr:uid="{00000000-0006-0000-0000-000026000000}">
      <text>
        <r>
          <rPr>
            <b/>
            <sz val="10"/>
            <color indexed="81"/>
            <rFont val="Tahoma"/>
            <family val="2"/>
          </rPr>
          <t>Total Gate Charge (Q</t>
        </r>
        <r>
          <rPr>
            <b/>
            <vertAlign val="subscript"/>
            <sz val="10"/>
            <color indexed="81"/>
            <rFont val="Tahoma"/>
            <family val="2"/>
          </rPr>
          <t>G</t>
        </r>
        <r>
          <rPr>
            <b/>
            <sz val="10"/>
            <color indexed="81"/>
            <rFont val="Tahoma"/>
            <family val="2"/>
          </rPr>
          <t xml:space="preserve">):
</t>
        </r>
        <r>
          <rPr>
            <sz val="10"/>
            <color indexed="81"/>
            <rFont val="Tahoma"/>
            <family val="2"/>
          </rPr>
          <t>Enter the total gate charge of the low-side MOSFET here.</t>
        </r>
      </text>
    </comment>
    <comment ref="E99" authorId="1" shapeId="0" xr:uid="{00000000-0006-0000-0000-000027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output charge of the low-side MOSFET at the relevant input voltage here. </t>
        </r>
      </text>
    </comment>
    <comment ref="E100" authorId="1" shapeId="0" xr:uid="{00000000-0006-0000-0000-000028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MOSFET's output capacitance at the relevant input voltage here. </t>
        </r>
      </text>
    </comment>
    <comment ref="E101" authorId="1" shapeId="0" xr:uid="{00000000-0006-0000-0000-000029000000}">
      <text>
        <r>
          <rPr>
            <b/>
            <sz val="9"/>
            <color indexed="81"/>
            <rFont val="Tahoma"/>
            <family val="2"/>
          </rPr>
          <t>Body Diode Voltage (V</t>
        </r>
        <r>
          <rPr>
            <b/>
            <vertAlign val="subscript"/>
            <sz val="9"/>
            <color indexed="81"/>
            <rFont val="Tahoma"/>
            <family val="2"/>
          </rPr>
          <t>sd</t>
        </r>
        <r>
          <rPr>
            <b/>
            <sz val="9"/>
            <color indexed="81"/>
            <rFont val="Tahoma"/>
            <family val="2"/>
          </rPr>
          <t xml:space="preserve">):
</t>
        </r>
        <r>
          <rPr>
            <sz val="9"/>
            <color indexed="81"/>
            <rFont val="Tahoma"/>
            <family val="2"/>
          </rPr>
          <t>The low-side MOSFET body diode can contribute substantial power loss related to (1) body diode conduction drop during the deadtime, and (2) diode reverse recovery current.</t>
        </r>
      </text>
    </comment>
    <comment ref="E102" authorId="1" shapeId="0" xr:uid="{00000000-0006-0000-0000-00002A000000}">
      <text>
        <r>
          <rPr>
            <b/>
            <sz val="10"/>
            <color indexed="81"/>
            <rFont val="Tahoma"/>
            <family val="2"/>
          </rPr>
          <t>Body Diode Recovery Charge (Q</t>
        </r>
        <r>
          <rPr>
            <b/>
            <vertAlign val="subscript"/>
            <sz val="10"/>
            <color indexed="81"/>
            <rFont val="Tahoma"/>
            <family val="2"/>
          </rPr>
          <t>RR</t>
        </r>
        <r>
          <rPr>
            <b/>
            <sz val="10"/>
            <color indexed="81"/>
            <rFont val="Tahoma"/>
            <family val="2"/>
          </rPr>
          <t xml:space="preserve">):
</t>
        </r>
        <r>
          <rPr>
            <sz val="10"/>
            <color indexed="81"/>
            <rFont val="Tahoma"/>
            <family val="2"/>
          </rPr>
          <t xml:space="preserve">Enter the reverse recovery charge of the low-side MOSFET body diode here. </t>
        </r>
      </text>
    </comment>
    <comment ref="E103" authorId="1" shapeId="0" xr:uid="{00000000-0006-0000-0000-00002B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E105" authorId="1" shapeId="0" xr:uid="{00000000-0006-0000-0000-00002C000000}">
      <text>
        <r>
          <rPr>
            <b/>
            <sz val="10"/>
            <color indexed="81"/>
            <rFont val="Tahoma"/>
            <family val="2"/>
          </rPr>
          <t xml:space="preserve">Schottky Forward Voltage:
</t>
        </r>
        <r>
          <rPr>
            <sz val="10"/>
            <color indexed="81"/>
            <rFont val="Tahoma"/>
            <family val="2"/>
          </rPr>
          <t>If a Schottky diode is used, enter the forward voltage at the rated current here. If a Schottky diode is not used, enter "0" into this cell.</t>
        </r>
      </text>
    </comment>
    <comment ref="E106" authorId="1" shapeId="0" xr:uid="{00000000-0006-0000-0000-00002D000000}">
      <text>
        <r>
          <rPr>
            <b/>
            <sz val="10"/>
            <color indexed="81"/>
            <rFont val="Tahoma"/>
            <family val="2"/>
          </rPr>
          <t xml:space="preserve">Schottky Diode Reverse Recovery Charge:
</t>
        </r>
        <r>
          <rPr>
            <sz val="10"/>
            <color indexed="81"/>
            <rFont val="Tahoma"/>
            <family val="2"/>
          </rPr>
          <t>Enter the diode reverse recovery charge here. If a Schottky diode is not used, enter "0" into this cell.</t>
        </r>
      </text>
    </comment>
    <comment ref="F109" authorId="2" shapeId="0" xr:uid="{70B3F286-F84F-461D-9F74-21CCF1BCDAF1}">
      <text>
        <r>
          <rPr>
            <b/>
            <sz val="9"/>
            <color indexed="81"/>
            <rFont val="Tahoma"/>
            <family val="2"/>
          </rPr>
          <t>IC Power Loss:</t>
        </r>
        <r>
          <rPr>
            <sz val="9"/>
            <color indexed="81"/>
            <rFont val="Tahoma"/>
            <family val="2"/>
          </rPr>
          <t xml:space="preserve">
IC power loss estimate based on nominal input voltage and MOSFET gate drive requirements.</t>
        </r>
      </text>
    </comment>
    <comment ref="F110" authorId="2" shapeId="0" xr:uid="{710413E0-2AA9-48A8-934E-8C0025083D74}">
      <text>
        <r>
          <rPr>
            <b/>
            <sz val="9"/>
            <color indexed="81"/>
            <rFont val="Tahoma"/>
            <family val="2"/>
          </rPr>
          <t>IC Junction Temperature Rise:</t>
        </r>
        <r>
          <rPr>
            <sz val="9"/>
            <color indexed="81"/>
            <rFont val="Tahoma"/>
            <family val="2"/>
          </rPr>
          <t xml:space="preserve">
IC junction temperature based on power loss estimate.</t>
        </r>
      </text>
    </comment>
  </commentList>
</comments>
</file>

<file path=xl/sharedStrings.xml><?xml version="1.0" encoding="utf-8"?>
<sst xmlns="http://schemas.openxmlformats.org/spreadsheetml/2006/main" count="1379" uniqueCount="775">
  <si>
    <t>V</t>
  </si>
  <si>
    <t>Output Voltage</t>
  </si>
  <si>
    <t>A</t>
  </si>
  <si>
    <t>kHz</t>
  </si>
  <si>
    <t>Vin</t>
  </si>
  <si>
    <t>Vout</t>
  </si>
  <si>
    <t>Iout</t>
  </si>
  <si>
    <t>Fsw</t>
  </si>
  <si>
    <t>Value</t>
  </si>
  <si>
    <t>STD Units</t>
  </si>
  <si>
    <t>Hz</t>
  </si>
  <si>
    <t>uH</t>
  </si>
  <si>
    <t>Rdcr</t>
  </si>
  <si>
    <t>Notes</t>
  </si>
  <si>
    <t>Nominal input voltage</t>
  </si>
  <si>
    <t>Maximum output Current</t>
  </si>
  <si>
    <t>Nominal Operational Frequency</t>
  </si>
  <si>
    <t>ideal Duty Cycle</t>
  </si>
  <si>
    <t>Ideal 1- Duty Cycle</t>
  </si>
  <si>
    <t>Don1</t>
  </si>
  <si>
    <t>Doff1</t>
  </si>
  <si>
    <t>Don2</t>
  </si>
  <si>
    <t>Doff2</t>
  </si>
  <si>
    <t>index</t>
  </si>
  <si>
    <t>H</t>
  </si>
  <si>
    <t>Ohms</t>
  </si>
  <si>
    <t>Vripple1</t>
  </si>
  <si>
    <t>Choosen Initial Voltage ripple Value</t>
  </si>
  <si>
    <t>Minimum Output Capacitnace</t>
  </si>
  <si>
    <t>Coutmin</t>
  </si>
  <si>
    <t>uF</t>
  </si>
  <si>
    <t>Lout1</t>
  </si>
  <si>
    <t>Lout2</t>
  </si>
  <si>
    <t>Irripple1</t>
  </si>
  <si>
    <t>F</t>
  </si>
  <si>
    <t>Choosen Output Capacitor</t>
  </si>
  <si>
    <t>Cout</t>
  </si>
  <si>
    <t>Compensation</t>
  </si>
  <si>
    <t>iteration</t>
  </si>
  <si>
    <t>Fo</t>
  </si>
  <si>
    <t>LC Double Pole Location</t>
  </si>
  <si>
    <t>Fesr</t>
  </si>
  <si>
    <t>Q</t>
  </si>
  <si>
    <t>Quality Factor of LC output Filter</t>
  </si>
  <si>
    <t>Frequency</t>
  </si>
  <si>
    <t>Bode Plot Setup</t>
  </si>
  <si>
    <t>Output Filter</t>
  </si>
  <si>
    <t>Esr zero</t>
  </si>
  <si>
    <t>LC Double Pole</t>
  </si>
  <si>
    <t>V/V</t>
  </si>
  <si>
    <t>Origin Pole</t>
  </si>
  <si>
    <t>Kmidband</t>
  </si>
  <si>
    <t>Rfb1</t>
  </si>
  <si>
    <t>pF</t>
  </si>
  <si>
    <t>Cc1ea</t>
  </si>
  <si>
    <t>Cc2ea</t>
  </si>
  <si>
    <t>Rcea2</t>
  </si>
  <si>
    <t>Cc3ea</t>
  </si>
  <si>
    <t>Rcea1</t>
  </si>
  <si>
    <t>Rcea1_u</t>
  </si>
  <si>
    <t>Cc1ea_u</t>
  </si>
  <si>
    <t>Cc2ea_u</t>
  </si>
  <si>
    <t>Rcea2_u</t>
  </si>
  <si>
    <t>Cc3ea_u</t>
  </si>
  <si>
    <t>Fz1</t>
  </si>
  <si>
    <t>Fz2</t>
  </si>
  <si>
    <t>Fp1</t>
  </si>
  <si>
    <t>Fp2</t>
  </si>
  <si>
    <t>Gain</t>
  </si>
  <si>
    <t>Phase</t>
  </si>
  <si>
    <t>Pi</t>
  </si>
  <si>
    <t>Total Gain</t>
  </si>
  <si>
    <t>Total Phase</t>
  </si>
  <si>
    <t>Phase margin</t>
  </si>
  <si>
    <t>Vramp</t>
  </si>
  <si>
    <t>Vp-p</t>
  </si>
  <si>
    <t>Pwm</t>
  </si>
  <si>
    <t>Rfb2</t>
  </si>
  <si>
    <t>Vref</t>
  </si>
  <si>
    <t>Reference Voltage</t>
  </si>
  <si>
    <t>Ro</t>
  </si>
  <si>
    <t>Eadcg</t>
  </si>
  <si>
    <t>GBP</t>
  </si>
  <si>
    <t>A(s)</t>
  </si>
  <si>
    <t>xover</t>
  </si>
  <si>
    <t>phase margin</t>
  </si>
  <si>
    <t>Z1</t>
  </si>
  <si>
    <t>Z3</t>
  </si>
  <si>
    <t>Real</t>
  </si>
  <si>
    <t>Imag</t>
  </si>
  <si>
    <t>Num</t>
  </si>
  <si>
    <t>Den</t>
  </si>
  <si>
    <t>Total</t>
  </si>
  <si>
    <t>a</t>
  </si>
  <si>
    <t>b</t>
  </si>
  <si>
    <t>c</t>
  </si>
  <si>
    <t>d</t>
  </si>
  <si>
    <t>Z1 Real</t>
  </si>
  <si>
    <t>Z1 Imag</t>
  </si>
  <si>
    <t>Z3 Imag</t>
  </si>
  <si>
    <t>Z3 Real</t>
  </si>
  <si>
    <t>EAGain</t>
  </si>
  <si>
    <t>Ea Phase</t>
  </si>
  <si>
    <t>Ea Gain (db)</t>
  </si>
  <si>
    <t>Total Phase Margin</t>
  </si>
  <si>
    <t>Design Output</t>
  </si>
  <si>
    <t>EA MODELING</t>
  </si>
  <si>
    <t>Ea Gain BW</t>
  </si>
  <si>
    <t>Complex EA</t>
  </si>
  <si>
    <t>Actual EA Response</t>
  </si>
  <si>
    <t>Actual Total System Response</t>
  </si>
  <si>
    <t>XOVER SEARCH</t>
  </si>
  <si>
    <t>Step 2: Inductor</t>
  </si>
  <si>
    <t>Variable Name</t>
  </si>
  <si>
    <t>Resrmax</t>
  </si>
  <si>
    <t>mΩ</t>
  </si>
  <si>
    <t>kΩ</t>
  </si>
  <si>
    <t>TERMS OF USE</t>
  </si>
  <si>
    <t>Currents</t>
  </si>
  <si>
    <t>IQ</t>
  </si>
  <si>
    <t>Step</t>
  </si>
  <si>
    <t>Core</t>
  </si>
  <si>
    <t>Total Loss</t>
  </si>
  <si>
    <t>OUTPUT POWER</t>
  </si>
  <si>
    <t>EFF</t>
  </si>
  <si>
    <t>Design</t>
  </si>
  <si>
    <t>L</t>
  </si>
  <si>
    <t>Cin</t>
  </si>
  <si>
    <t>Components</t>
  </si>
  <si>
    <t>Top FET</t>
  </si>
  <si>
    <t>Bottom FET</t>
  </si>
  <si>
    <t>RdsonDRB</t>
  </si>
  <si>
    <t>RdsonDRT</t>
  </si>
  <si>
    <t>Deadtime</t>
  </si>
  <si>
    <t>mOhms</t>
  </si>
  <si>
    <t>mA</t>
  </si>
  <si>
    <t>nC</t>
  </si>
  <si>
    <t>S</t>
  </si>
  <si>
    <t>QgBot</t>
  </si>
  <si>
    <t>RdsonBot</t>
  </si>
  <si>
    <t>GfsTop</t>
  </si>
  <si>
    <t>QgTop</t>
  </si>
  <si>
    <t>RdsonTop</t>
  </si>
  <si>
    <t xml:space="preserve">INDUCTOR </t>
  </si>
  <si>
    <t>VsdBot</t>
  </si>
  <si>
    <t>QrrBot</t>
  </si>
  <si>
    <t>TrrBot</t>
  </si>
  <si>
    <t>ns</t>
  </si>
  <si>
    <t>Units</t>
  </si>
  <si>
    <t>Outputs</t>
  </si>
  <si>
    <t>Bottom FET/Diode</t>
  </si>
  <si>
    <t>Dprime</t>
  </si>
  <si>
    <t>RdsonTopTc</t>
  </si>
  <si>
    <t>RdsonBotTc</t>
  </si>
  <si>
    <t>ppm</t>
  </si>
  <si>
    <t>LTc</t>
  </si>
  <si>
    <t>Ta</t>
  </si>
  <si>
    <t>Irms</t>
  </si>
  <si>
    <t>RCoutEsr</t>
  </si>
  <si>
    <t>RCinEsr</t>
  </si>
  <si>
    <t>ThetaJaBot</t>
  </si>
  <si>
    <t>ThetaJaTop</t>
  </si>
  <si>
    <t>RDSON Loss</t>
  </si>
  <si>
    <t>Cin Esr   Loss</t>
  </si>
  <si>
    <t>Cout Esr Loss</t>
  </si>
  <si>
    <t>DCR    Loss</t>
  </si>
  <si>
    <t>Tr</t>
  </si>
  <si>
    <t>Tf</t>
  </si>
  <si>
    <t>RGateTop</t>
  </si>
  <si>
    <t>RGateBot</t>
  </si>
  <si>
    <t>VthTop</t>
  </si>
  <si>
    <t>Reverse Recovery Loss</t>
  </si>
  <si>
    <t>DeadTime Loss</t>
  </si>
  <si>
    <t>Switching Frequency</t>
  </si>
  <si>
    <t>Max Output Current</t>
  </si>
  <si>
    <t>Ambient Temperature</t>
  </si>
  <si>
    <t>Inductor Series Resistance Temp Co</t>
  </si>
  <si>
    <t>Input Capacitor Capacitance</t>
  </si>
  <si>
    <t>Input Capacitor Series Resistance</t>
  </si>
  <si>
    <t>Total Deadtime</t>
  </si>
  <si>
    <t>Gate Charge Of Top FET</t>
  </si>
  <si>
    <t>Gate Resistance</t>
  </si>
  <si>
    <t>Transconductance of Top FET</t>
  </si>
  <si>
    <t>Threshold Voltage of Top FET</t>
  </si>
  <si>
    <t>Junction to Ambient Resistance</t>
  </si>
  <si>
    <t>Drain To Source Resitance Temp Co</t>
  </si>
  <si>
    <t>Diode Forward Voltage of Bottom FET Body Diode</t>
  </si>
  <si>
    <t>Reverse Recovery Time of Body Diode</t>
  </si>
  <si>
    <t>Description</t>
  </si>
  <si>
    <t>Input Parameters</t>
  </si>
  <si>
    <t>Output Inductor Inductance Value</t>
  </si>
  <si>
    <t>Inductor Series Resistance at 25 Degrees C</t>
  </si>
  <si>
    <t>Drain To Source Resistance of Bottom FET Driver</t>
  </si>
  <si>
    <t>Drain to Source Resistance Temp Co</t>
  </si>
  <si>
    <t xml:space="preserve">Drain to Source Resistance of Top FET </t>
  </si>
  <si>
    <t>BUCK CONTROLLER POWER TOOL</t>
  </si>
  <si>
    <t>Reverse Recovery Charge of Body Diode</t>
  </si>
  <si>
    <t>IQ      Loss</t>
  </si>
  <si>
    <t>Enter the values of your design and FET datasheet specifications below. Note that thermal resistance ("Theta JA") will change when components are placed on the PCB</t>
  </si>
  <si>
    <t>Output Capacitor Capcitance</t>
  </si>
  <si>
    <t>Output Capacitor Series Resistance</t>
  </si>
  <si>
    <t>Input Value</t>
  </si>
  <si>
    <t>Top Driver</t>
  </si>
  <si>
    <t>Bottom Driver</t>
  </si>
  <si>
    <t>Drain to Source Resistance of pull up Top FET Driver</t>
  </si>
  <si>
    <t>Drain to Source Resistance of pull down Top FET Driver</t>
  </si>
  <si>
    <t>Part Power</t>
  </si>
  <si>
    <t>Power Dis</t>
  </si>
  <si>
    <t>W</t>
  </si>
  <si>
    <t>Controller</t>
  </si>
  <si>
    <t>Theta Ja</t>
  </si>
  <si>
    <t>Temp rise</t>
  </si>
  <si>
    <t>θJA=80</t>
  </si>
  <si>
    <t>θJA=100</t>
  </si>
  <si>
    <t>θJA=120</t>
  </si>
  <si>
    <t>θJA=140</t>
  </si>
  <si>
    <t>θJA=160</t>
  </si>
  <si>
    <t>θJA=180</t>
  </si>
  <si>
    <t>QgdTop</t>
  </si>
  <si>
    <t>Gate to Drain Charge</t>
  </si>
  <si>
    <t>Qg</t>
  </si>
  <si>
    <t>θJA=20</t>
  </si>
  <si>
    <t>θJA=30</t>
  </si>
  <si>
    <t>θJA=40</t>
  </si>
  <si>
    <t>θJA=50</t>
  </si>
  <si>
    <t>250kHz / 5-1.2V /25A</t>
  </si>
  <si>
    <t>250kHz / 12-5V / 30A</t>
  </si>
  <si>
    <t>500kHz / 5-1.2V / 15A</t>
  </si>
  <si>
    <t>1Mhz / 5-1.2V / 10A</t>
  </si>
  <si>
    <t>1Mhz / 12-1.2V/ 10A</t>
  </si>
  <si>
    <t>500kHz / 12-5V / 15A</t>
  </si>
  <si>
    <t>250kHz / 18-1.2V / 20A</t>
  </si>
  <si>
    <t>500kHz / 18-1.2V / 20A</t>
  </si>
  <si>
    <t>θJA=120°C/W - 160°C/W</t>
  </si>
  <si>
    <t>θJA=30°C/W - 50°C/W</t>
  </si>
  <si>
    <t>VspTop</t>
  </si>
  <si>
    <t>QgsTop</t>
  </si>
  <si>
    <t>Part Losses</t>
  </si>
  <si>
    <t>RdsonDRB2</t>
  </si>
  <si>
    <t>RdsonDRT2</t>
  </si>
  <si>
    <t>EFF_1 @ 25°C</t>
  </si>
  <si>
    <t>Efficiency</t>
  </si>
  <si>
    <t>Pdis</t>
  </si>
  <si>
    <t>Vin=10V</t>
  </si>
  <si>
    <t>Vout=5.1V</t>
  </si>
  <si>
    <t xml:space="preserve">L=3.3uH/30mOhm </t>
  </si>
  <si>
    <t>4394 Top and Bottom Fets</t>
  </si>
  <si>
    <t>Duty Cycle</t>
  </si>
  <si>
    <t>Current Ripple p-p</t>
  </si>
  <si>
    <t xml:space="preserve">IQ </t>
  </si>
  <si>
    <t>ThetaCa</t>
  </si>
  <si>
    <t>Core to Ambient Thermal Resistance</t>
  </si>
  <si>
    <t>IRMS</t>
  </si>
  <si>
    <t>Total Part Loss</t>
  </si>
  <si>
    <t>RESULSTS</t>
  </si>
  <si>
    <t xml:space="preserve">LOW SIDE FET Losses </t>
  </si>
  <si>
    <t xml:space="preserve">HIGH SIDE FET losses </t>
  </si>
  <si>
    <t>Top FET Temp Rise</t>
  </si>
  <si>
    <t>Bottom FET Temp Rise</t>
  </si>
  <si>
    <t>Quiescent Current Of Controller (Not Switching!)</t>
  </si>
  <si>
    <t>Top Feedback Resistor</t>
  </si>
  <si>
    <t>This along with Rcea1 will set a zero</t>
  </si>
  <si>
    <t>This pole is set at half the switching frequency</t>
  </si>
  <si>
    <t>This pole cancels the zero from the Output Cap ESR</t>
  </si>
  <si>
    <t>PI</t>
  </si>
  <si>
    <t>s</t>
  </si>
  <si>
    <t>Switch Point Voltage of Top FET</t>
  </si>
  <si>
    <t>ThetaJaCtrl</t>
  </si>
  <si>
    <t>Part Characteristics</t>
  </si>
  <si>
    <t>C</t>
  </si>
  <si>
    <t>Switching Current Loss</t>
  </si>
  <si>
    <t>Rfb2_u</t>
  </si>
  <si>
    <t>CoutEsr</t>
  </si>
  <si>
    <t>Ilimit</t>
  </si>
  <si>
    <t>Ω</t>
  </si>
  <si>
    <t>Step 3: Current Limit</t>
  </si>
  <si>
    <t>Step 4: Output Capacitor</t>
  </si>
  <si>
    <t>Step 5: Input Capacitor</t>
  </si>
  <si>
    <t>nF</t>
  </si>
  <si>
    <t>R1</t>
  </si>
  <si>
    <t>R2</t>
  </si>
  <si>
    <t>VIN</t>
  </si>
  <si>
    <t>A (rms)</t>
  </si>
  <si>
    <t>Icinrms</t>
  </si>
  <si>
    <t>Icoutrms</t>
  </si>
  <si>
    <t>= Input Box</t>
  </si>
  <si>
    <t>Excel Variables Names/Calculations</t>
  </si>
  <si>
    <t>Input capacitance</t>
  </si>
  <si>
    <t>Step 1: Operational Specs</t>
  </si>
  <si>
    <t>Ilimit2</t>
  </si>
  <si>
    <t>Step 6: Soft Start</t>
  </si>
  <si>
    <t>ms</t>
  </si>
  <si>
    <t>Tss</t>
  </si>
  <si>
    <t>Soft Start Time</t>
  </si>
  <si>
    <t>Iss</t>
  </si>
  <si>
    <t>Css</t>
  </si>
  <si>
    <t>Rfadj</t>
  </si>
  <si>
    <t>C1</t>
  </si>
  <si>
    <t>C2</t>
  </si>
  <si>
    <t>Ripple I</t>
  </si>
  <si>
    <t>%</t>
  </si>
  <si>
    <t xml:space="preserve">I1 </t>
  </si>
  <si>
    <t xml:space="preserve">I2 </t>
  </si>
  <si>
    <t>Part Number</t>
  </si>
  <si>
    <t>Cby</t>
  </si>
  <si>
    <t>Csb</t>
  </si>
  <si>
    <t>Rh</t>
  </si>
  <si>
    <t>Capacitors</t>
  </si>
  <si>
    <t>(pF)</t>
  </si>
  <si>
    <t>Standard Result</t>
  </si>
  <si>
    <t>Inputs</t>
  </si>
  <si>
    <t>Css_u</t>
  </si>
  <si>
    <t>Resistors</t>
  </si>
  <si>
    <t>Radj</t>
  </si>
  <si>
    <t>inputs</t>
  </si>
  <si>
    <t>Cb</t>
  </si>
  <si>
    <t>Rs1</t>
  </si>
  <si>
    <t>Rs2</t>
  </si>
  <si>
    <t>Rs3</t>
  </si>
  <si>
    <t>Rs4</t>
  </si>
  <si>
    <t xml:space="preserve">                </t>
  </si>
  <si>
    <t>Cdd</t>
  </si>
  <si>
    <t>Cc1</t>
  </si>
  <si>
    <t>Cc2</t>
  </si>
  <si>
    <t>Cc3</t>
  </si>
  <si>
    <t>Csby</t>
  </si>
  <si>
    <t>Rc1</t>
  </si>
  <si>
    <t>Rc2</t>
  </si>
  <si>
    <t>Other Input Variables</t>
  </si>
  <si>
    <t>Step 7: Other Components</t>
  </si>
  <si>
    <t>Step 8: Compensation</t>
  </si>
  <si>
    <r>
      <t>R</t>
    </r>
    <r>
      <rPr>
        <vertAlign val="subscript"/>
        <sz val="10"/>
        <rFont val="Arial"/>
        <family val="2"/>
      </rPr>
      <t>PG</t>
    </r>
  </si>
  <si>
    <r>
      <t>R</t>
    </r>
    <r>
      <rPr>
        <vertAlign val="subscript"/>
        <sz val="10"/>
        <rFont val="Arial"/>
        <family val="2"/>
      </rPr>
      <t>SB</t>
    </r>
  </si>
  <si>
    <t>CSBY</t>
  </si>
  <si>
    <t>Actual Open Loop System Response</t>
  </si>
  <si>
    <t>Comp To Output</t>
  </si>
  <si>
    <t>Total Phase margin</t>
  </si>
  <si>
    <t>Rfets</t>
  </si>
  <si>
    <t>cap loss eq res</t>
  </si>
  <si>
    <t>Fet loss eq res</t>
  </si>
  <si>
    <t>Diode loss eq res</t>
  </si>
  <si>
    <t>Sw cap</t>
  </si>
  <si>
    <t>Output to Comp 5V In @ 500kHz 0A Iout 25DegC</t>
  </si>
  <si>
    <t xml:space="preserve"> </t>
  </si>
  <si>
    <t>Resulting Poles/Zero/Q Locations</t>
  </si>
  <si>
    <t>Rc1ea</t>
  </si>
  <si>
    <t>Rc2ea</t>
  </si>
  <si>
    <t>Frequency of Ringing</t>
  </si>
  <si>
    <t>MHz</t>
  </si>
  <si>
    <t>STD UNITS</t>
  </si>
  <si>
    <t>UNITS</t>
  </si>
  <si>
    <t>SW capacitance</t>
  </si>
  <si>
    <t>Csnub</t>
  </si>
  <si>
    <t>Lpar</t>
  </si>
  <si>
    <t>nH</t>
  </si>
  <si>
    <t>Rsnub</t>
  </si>
  <si>
    <t>TL</t>
  </si>
  <si>
    <t>L/R Time Constant</t>
  </si>
  <si>
    <t>Blank out</t>
  </si>
  <si>
    <t>Sugested Cs</t>
  </si>
  <si>
    <t>Input from user =</t>
  </si>
  <si>
    <t>Constant</t>
  </si>
  <si>
    <t>Step 8: Efficiency</t>
  </si>
  <si>
    <t>Vripple</t>
  </si>
  <si>
    <t>Bottom Shotkey</t>
  </si>
  <si>
    <t>VfdSky</t>
  </si>
  <si>
    <t>QrrSky</t>
  </si>
  <si>
    <t>Ireverse</t>
  </si>
  <si>
    <t>Diode Forward Voltage</t>
  </si>
  <si>
    <t>Diode Reverse Recovery Charge</t>
  </si>
  <si>
    <t>Reverse Leakage Current</t>
  </si>
  <si>
    <t>Diod/eFET</t>
  </si>
  <si>
    <t>External Diode</t>
  </si>
  <si>
    <t>Total Inductor Loss/Diss</t>
  </si>
  <si>
    <t>Total Cout Loss/Diss</t>
  </si>
  <si>
    <t>Total Cin Loss/Diss</t>
  </si>
  <si>
    <t>Total Top FET Loss/Diss</t>
  </si>
  <si>
    <t xml:space="preserve">Dead Time Loss </t>
  </si>
  <si>
    <t>VsdTop</t>
  </si>
  <si>
    <t>Switching Current Diss</t>
  </si>
  <si>
    <t>Diode Forward Voltage of Top FET Body diode</t>
  </si>
  <si>
    <t>°C/W</t>
  </si>
  <si>
    <t>SCHEMATIC LABELS</t>
  </si>
  <si>
    <r>
      <t xml:space="preserve">Choosen Compensation Components from the </t>
    </r>
    <r>
      <rPr>
        <b/>
        <u/>
        <sz val="10"/>
        <color indexed="10"/>
        <rFont val="Arial"/>
        <family val="2"/>
      </rPr>
      <t>standard value sheet</t>
    </r>
  </si>
  <si>
    <t>\</t>
  </si>
  <si>
    <t>OUTPUT CURRENT</t>
  </si>
  <si>
    <t>Dmax</t>
  </si>
  <si>
    <t>Ipp</t>
  </si>
  <si>
    <t>Current (switching)</t>
  </si>
  <si>
    <t>Qrr Current</t>
  </si>
  <si>
    <t>Diode Current</t>
  </si>
  <si>
    <t>Std Units</t>
  </si>
  <si>
    <t>Part Power Disipation</t>
  </si>
  <si>
    <t>Total Application Switching IQ</t>
  </si>
  <si>
    <t xml:space="preserve">VIN </t>
  </si>
  <si>
    <t>CBOOT</t>
  </si>
  <si>
    <t>VDD</t>
  </si>
  <si>
    <t>SYNC</t>
  </si>
  <si>
    <t>EN</t>
  </si>
  <si>
    <t>PGOOD</t>
  </si>
  <si>
    <t>SS/TRACK</t>
  </si>
  <si>
    <t>FADJ</t>
  </si>
  <si>
    <t>GND</t>
  </si>
  <si>
    <t>COMP</t>
  </si>
  <si>
    <t>FB</t>
  </si>
  <si>
    <t>CS-</t>
  </si>
  <si>
    <t>CS+</t>
  </si>
  <si>
    <t>LG</t>
  </si>
  <si>
    <t>SW</t>
  </si>
  <si>
    <t>HG</t>
  </si>
  <si>
    <t>CIN</t>
  </si>
  <si>
    <t>DCR at hot</t>
  </si>
  <si>
    <t>Temp</t>
  </si>
  <si>
    <t>µH</t>
  </si>
  <si>
    <t>µF</t>
  </si>
  <si>
    <t>Cinmin</t>
  </si>
  <si>
    <t>Vinripple1</t>
  </si>
  <si>
    <t>CinEsrMax</t>
  </si>
  <si>
    <t>Vinripple2</t>
  </si>
  <si>
    <t>DCR</t>
  </si>
  <si>
    <t>Output =</t>
  </si>
  <si>
    <t>Calculated Inductor value for 30% ripple</t>
  </si>
  <si>
    <t>Duty Cycle with DCR accounted for</t>
  </si>
  <si>
    <t>1-Duty Cycle with DCR accounted for</t>
  </si>
  <si>
    <t>OTP</t>
  </si>
  <si>
    <t>D+</t>
  </si>
  <si>
    <t>D-</t>
  </si>
  <si>
    <t>RS</t>
  </si>
  <si>
    <t>Bottom Schottky</t>
  </si>
  <si>
    <t>Rotp</t>
  </si>
  <si>
    <t>Step 2: Filter Inductor</t>
  </si>
  <si>
    <t>This component will first set the midband gain</t>
  </si>
  <si>
    <t>Error Amplifier Finite DC Gain (AOL)</t>
  </si>
  <si>
    <t>Error Amplifier Gain Bandwidth Product (GBW)</t>
  </si>
  <si>
    <t>Cout ESR Zero Location</t>
  </si>
  <si>
    <t>EA Gain (dB)</t>
  </si>
  <si>
    <t>EA Phase</t>
  </si>
  <si>
    <t>EA Gain</t>
  </si>
  <si>
    <t>EA Gain BW</t>
  </si>
  <si>
    <t>Midband Gain For the Error Amplifier</t>
  </si>
  <si>
    <t>Load Cap current during soft start</t>
  </si>
  <si>
    <t>Step 1: Operating Specifications</t>
  </si>
  <si>
    <t>°C</t>
  </si>
  <si>
    <t>Std Values</t>
  </si>
  <si>
    <t>Compensation Components</t>
  </si>
  <si>
    <t>Actual P/Z Frequencies</t>
  </si>
  <si>
    <r>
      <t>A</t>
    </r>
    <r>
      <rPr>
        <vertAlign val="subscript"/>
        <sz val="10"/>
        <rFont val="Arial"/>
        <family val="2"/>
      </rPr>
      <t>pk-pk</t>
    </r>
  </si>
  <si>
    <r>
      <t>mV</t>
    </r>
    <r>
      <rPr>
        <b/>
        <vertAlign val="subscript"/>
        <sz val="10"/>
        <rFont val="Arial"/>
        <family val="2"/>
      </rPr>
      <t>pk-pk</t>
    </r>
  </si>
  <si>
    <r>
      <t>R</t>
    </r>
    <r>
      <rPr>
        <b/>
        <vertAlign val="subscript"/>
        <sz val="10"/>
        <rFont val="Arial"/>
        <family val="2"/>
      </rPr>
      <t>C1</t>
    </r>
  </si>
  <si>
    <r>
      <t>kHz (F</t>
    </r>
    <r>
      <rPr>
        <b/>
        <vertAlign val="subscript"/>
        <sz val="10"/>
        <rFont val="Arial"/>
        <family val="2"/>
      </rPr>
      <t>Z1</t>
    </r>
    <r>
      <rPr>
        <b/>
        <sz val="10"/>
        <rFont val="Arial"/>
        <family val="2"/>
      </rPr>
      <t>)</t>
    </r>
  </si>
  <si>
    <r>
      <t>C</t>
    </r>
    <r>
      <rPr>
        <b/>
        <vertAlign val="subscript"/>
        <sz val="10"/>
        <rFont val="Arial"/>
        <family val="2"/>
      </rPr>
      <t>C1</t>
    </r>
  </si>
  <si>
    <r>
      <t>kHz (F</t>
    </r>
    <r>
      <rPr>
        <b/>
        <vertAlign val="subscript"/>
        <sz val="10"/>
        <rFont val="Arial"/>
        <family val="2"/>
      </rPr>
      <t>Z2</t>
    </r>
    <r>
      <rPr>
        <b/>
        <sz val="10"/>
        <rFont val="Arial"/>
        <family val="2"/>
      </rPr>
      <t>)</t>
    </r>
  </si>
  <si>
    <r>
      <t>C</t>
    </r>
    <r>
      <rPr>
        <b/>
        <vertAlign val="subscript"/>
        <sz val="10"/>
        <rFont val="Arial"/>
        <family val="2"/>
      </rPr>
      <t>C2</t>
    </r>
  </si>
  <si>
    <r>
      <t>kHz (F</t>
    </r>
    <r>
      <rPr>
        <b/>
        <vertAlign val="subscript"/>
        <sz val="10"/>
        <rFont val="Arial"/>
        <family val="2"/>
      </rPr>
      <t>P1</t>
    </r>
    <r>
      <rPr>
        <b/>
        <sz val="10"/>
        <rFont val="Arial"/>
        <family val="2"/>
      </rPr>
      <t>)</t>
    </r>
  </si>
  <si>
    <r>
      <t>R</t>
    </r>
    <r>
      <rPr>
        <b/>
        <vertAlign val="subscript"/>
        <sz val="10"/>
        <rFont val="Arial"/>
        <family val="2"/>
      </rPr>
      <t>C2</t>
    </r>
  </si>
  <si>
    <r>
      <t>kHz (F</t>
    </r>
    <r>
      <rPr>
        <b/>
        <vertAlign val="subscript"/>
        <sz val="10"/>
        <rFont val="Arial"/>
        <family val="2"/>
      </rPr>
      <t>P2</t>
    </r>
    <r>
      <rPr>
        <b/>
        <sz val="10"/>
        <rFont val="Arial"/>
        <family val="2"/>
      </rPr>
      <t>)</t>
    </r>
  </si>
  <si>
    <r>
      <t>C</t>
    </r>
    <r>
      <rPr>
        <b/>
        <vertAlign val="subscript"/>
        <sz val="10"/>
        <rFont val="Arial"/>
        <family val="2"/>
      </rPr>
      <t>C3</t>
    </r>
  </si>
  <si>
    <r>
      <t>mV</t>
    </r>
    <r>
      <rPr>
        <vertAlign val="subscript"/>
        <sz val="10"/>
        <rFont val="Arial"/>
        <family val="2"/>
      </rPr>
      <t>pk-pk</t>
    </r>
  </si>
  <si>
    <t>Efficiency / Power Loss Analyzer</t>
  </si>
  <si>
    <t>Step 7: Compensation Design</t>
  </si>
  <si>
    <t>Calculated /</t>
  </si>
  <si>
    <t xml:space="preserve">Recommended Filter Inductance </t>
  </si>
  <si>
    <t xml:space="preserve">Inductor DCR </t>
  </si>
  <si>
    <t xml:space="preserve">Required Current Limit Setpoint </t>
  </si>
  <si>
    <t xml:space="preserve">Output Voltage Ripple Specification </t>
  </si>
  <si>
    <t xml:space="preserve">Minimum Ideal Output Capacitance </t>
  </si>
  <si>
    <t xml:space="preserve">Maximum Permitted ESR </t>
  </si>
  <si>
    <t xml:space="preserve">Output Capacitor ESR </t>
  </si>
  <si>
    <t xml:space="preserve">Resulting Output Voltage Ripple </t>
  </si>
  <si>
    <t xml:space="preserve">Output Capacitor Ripple Current </t>
  </si>
  <si>
    <t xml:space="preserve">Input Voltage Ripple Specification </t>
  </si>
  <si>
    <t xml:space="preserve">Minimum Ideal Input Capacitance </t>
  </si>
  <si>
    <t xml:space="preserve">Input Capacitor ESR </t>
  </si>
  <si>
    <t xml:space="preserve">Resulting Input Voltage Ripple </t>
  </si>
  <si>
    <t xml:space="preserve">Input Capacitor Ripple Current </t>
  </si>
  <si>
    <t xml:space="preserve">LC Complex Pole Frequency </t>
  </si>
  <si>
    <t xml:space="preserve">ESR Zero Frequency </t>
  </si>
  <si>
    <t xml:space="preserve">Appropriate Midband Gain </t>
  </si>
  <si>
    <t>About</t>
  </si>
  <si>
    <t>xx</t>
  </si>
  <si>
    <t>Current limit setpoint after standard components are selected</t>
  </si>
  <si>
    <t>Output Cap rms current</t>
  </si>
  <si>
    <t>Max ESR before ripple exceeds Vripple1</t>
  </si>
  <si>
    <t>Chosen ESR</t>
  </si>
  <si>
    <t>Input capacitance series resistance (ESR)</t>
  </si>
  <si>
    <t xml:space="preserve">Desired Crossover Frequency </t>
  </si>
  <si>
    <r>
      <t>VIN</t>
    </r>
    <r>
      <rPr>
        <vertAlign val="subscript"/>
        <sz val="10"/>
        <rFont val="Arial"/>
        <family val="2"/>
      </rPr>
      <t>UVLO_ON</t>
    </r>
  </si>
  <si>
    <r>
      <t>VIN</t>
    </r>
    <r>
      <rPr>
        <vertAlign val="subscript"/>
        <sz val="10"/>
        <rFont val="Arial"/>
        <family val="2"/>
      </rPr>
      <t>UVLO_OFF</t>
    </r>
  </si>
  <si>
    <t>Rising UVLO/EN Threshold</t>
  </si>
  <si>
    <t>Falling UVLO/EN Threshold</t>
  </si>
  <si>
    <t>Falling UVLO/EN Falling</t>
  </si>
  <si>
    <t xml:space="preserve">Rising UVLO/EN Hysteresis </t>
  </si>
  <si>
    <t>UVLO/EN Current Hysteresis</t>
  </si>
  <si>
    <t>kΩ</t>
  </si>
  <si>
    <r>
      <t>VIN</t>
    </r>
    <r>
      <rPr>
        <vertAlign val="subscript"/>
        <sz val="10"/>
        <rFont val="Arial"/>
        <family val="2"/>
      </rPr>
      <t>UVLO_ON_ACTUAL</t>
    </r>
  </si>
  <si>
    <r>
      <t>VIN</t>
    </r>
    <r>
      <rPr>
        <vertAlign val="subscript"/>
        <sz val="10"/>
        <rFont val="Arial"/>
        <family val="2"/>
      </rPr>
      <t>UVLO_OFF_ACTUAL</t>
    </r>
  </si>
  <si>
    <t>Size</t>
  </si>
  <si>
    <t>MFR</t>
  </si>
  <si>
    <t>Std</t>
  </si>
  <si>
    <t>See description</t>
  </si>
  <si>
    <t>TI</t>
  </si>
  <si>
    <t>0603</t>
  </si>
  <si>
    <r>
      <t>C</t>
    </r>
    <r>
      <rPr>
        <vertAlign val="subscript"/>
        <sz val="10"/>
        <rFont val="Arial"/>
        <family val="2"/>
      </rPr>
      <t>C1</t>
    </r>
  </si>
  <si>
    <r>
      <t>C</t>
    </r>
    <r>
      <rPr>
        <vertAlign val="subscript"/>
        <sz val="10"/>
        <rFont val="Arial"/>
        <family val="2"/>
      </rPr>
      <t>C2</t>
    </r>
  </si>
  <si>
    <r>
      <t>C</t>
    </r>
    <r>
      <rPr>
        <vertAlign val="subscript"/>
        <sz val="10"/>
        <rFont val="Arial"/>
        <family val="2"/>
      </rPr>
      <t>C3</t>
    </r>
  </si>
  <si>
    <r>
      <t>C</t>
    </r>
    <r>
      <rPr>
        <vertAlign val="subscript"/>
        <sz val="10"/>
        <rFont val="Arial"/>
        <family val="2"/>
      </rPr>
      <t>IN</t>
    </r>
  </si>
  <si>
    <r>
      <t>C</t>
    </r>
    <r>
      <rPr>
        <vertAlign val="subscript"/>
        <sz val="10"/>
        <rFont val="Arial"/>
        <family val="2"/>
      </rPr>
      <t>OUT</t>
    </r>
  </si>
  <si>
    <r>
      <t>C</t>
    </r>
    <r>
      <rPr>
        <vertAlign val="subscript"/>
        <sz val="10"/>
        <rFont val="Arial"/>
        <family val="2"/>
      </rPr>
      <t>SS</t>
    </r>
  </si>
  <si>
    <r>
      <t>C</t>
    </r>
    <r>
      <rPr>
        <vertAlign val="subscript"/>
        <sz val="10"/>
        <rFont val="Arial"/>
        <family val="2"/>
      </rPr>
      <t>VIN</t>
    </r>
  </si>
  <si>
    <t>Ref Des</t>
  </si>
  <si>
    <t>Count</t>
  </si>
  <si>
    <t>Various</t>
  </si>
  <si>
    <r>
      <t>Q</t>
    </r>
    <r>
      <rPr>
        <vertAlign val="subscript"/>
        <sz val="10"/>
        <rFont val="Arial"/>
        <family val="2"/>
      </rPr>
      <t>1</t>
    </r>
  </si>
  <si>
    <r>
      <t>Q</t>
    </r>
    <r>
      <rPr>
        <vertAlign val="subscript"/>
        <sz val="10"/>
        <rFont val="Arial"/>
        <family val="2"/>
      </rPr>
      <t>2</t>
    </r>
  </si>
  <si>
    <r>
      <t>R</t>
    </r>
    <r>
      <rPr>
        <vertAlign val="subscript"/>
        <sz val="10"/>
        <rFont val="Arial"/>
        <family val="2"/>
      </rPr>
      <t>C1</t>
    </r>
  </si>
  <si>
    <r>
      <t>R</t>
    </r>
    <r>
      <rPr>
        <vertAlign val="subscript"/>
        <sz val="10"/>
        <rFont val="Arial"/>
        <family val="2"/>
      </rPr>
      <t>C2</t>
    </r>
  </si>
  <si>
    <r>
      <t>R</t>
    </r>
    <r>
      <rPr>
        <vertAlign val="subscript"/>
        <sz val="10"/>
        <rFont val="Arial"/>
        <family val="2"/>
      </rPr>
      <t>UV1</t>
    </r>
  </si>
  <si>
    <r>
      <t>R</t>
    </r>
    <r>
      <rPr>
        <vertAlign val="subscript"/>
        <sz val="10"/>
        <rFont val="Arial"/>
        <family val="2"/>
      </rPr>
      <t>UV2</t>
    </r>
  </si>
  <si>
    <r>
      <t>R</t>
    </r>
    <r>
      <rPr>
        <vertAlign val="subscript"/>
        <sz val="10"/>
        <rFont val="Arial"/>
        <family val="2"/>
      </rPr>
      <t>VIN</t>
    </r>
  </si>
  <si>
    <r>
      <t>R</t>
    </r>
    <r>
      <rPr>
        <vertAlign val="subscript"/>
        <sz val="10"/>
        <rFont val="Arial"/>
        <family val="2"/>
      </rPr>
      <t>S</t>
    </r>
  </si>
  <si>
    <r>
      <t>R</t>
    </r>
    <r>
      <rPr>
        <vertAlign val="subscript"/>
        <sz val="10"/>
        <rFont val="Arial"/>
        <family val="2"/>
      </rPr>
      <t>PGOOD</t>
    </r>
  </si>
  <si>
    <r>
      <t>R</t>
    </r>
    <r>
      <rPr>
        <vertAlign val="subscript"/>
        <sz val="10"/>
        <rFont val="Arial"/>
        <family val="2"/>
      </rPr>
      <t>FB1</t>
    </r>
  </si>
  <si>
    <r>
      <t>R</t>
    </r>
    <r>
      <rPr>
        <vertAlign val="subscript"/>
        <sz val="10"/>
        <rFont val="Arial"/>
        <family val="2"/>
      </rPr>
      <t>FB2</t>
    </r>
  </si>
  <si>
    <r>
      <t>U</t>
    </r>
    <r>
      <rPr>
        <b/>
        <vertAlign val="subscript"/>
        <sz val="10"/>
        <rFont val="Arial"/>
        <family val="2"/>
      </rPr>
      <t>1</t>
    </r>
  </si>
  <si>
    <t>Rpgood</t>
  </si>
  <si>
    <t>20kΩ</t>
  </si>
  <si>
    <t>Cd</t>
  </si>
  <si>
    <t>Ruv1</t>
  </si>
  <si>
    <t>Ruv2</t>
  </si>
  <si>
    <t># of input caps</t>
  </si>
  <si>
    <t>Capacitance per component (Cin)</t>
  </si>
  <si>
    <t>Capacitance per component (Cout)</t>
  </si>
  <si>
    <t># of output caps</t>
  </si>
  <si>
    <r>
      <t>High-Side MOSFET (Q</t>
    </r>
    <r>
      <rPr>
        <b/>
        <vertAlign val="subscript"/>
        <sz val="10"/>
        <color rgb="FF0000FF"/>
        <rFont val="Arial"/>
        <family val="2"/>
      </rPr>
      <t>1</t>
    </r>
    <r>
      <rPr>
        <b/>
        <sz val="10"/>
        <color rgb="FF0000FF"/>
        <rFont val="Arial"/>
        <family val="2"/>
      </rPr>
      <t>) Specifications</t>
    </r>
  </si>
  <si>
    <r>
      <t>Low-Side MOSFET (Q</t>
    </r>
    <r>
      <rPr>
        <b/>
        <vertAlign val="subscript"/>
        <sz val="10"/>
        <color rgb="FF0000FF"/>
        <rFont val="Arial"/>
        <family val="2"/>
      </rPr>
      <t>2</t>
    </r>
    <r>
      <rPr>
        <b/>
        <sz val="10"/>
        <color rgb="FF0000FF"/>
        <rFont val="Arial"/>
        <family val="2"/>
      </rPr>
      <t>) Specifications</t>
    </r>
  </si>
  <si>
    <r>
      <t>F</t>
    </r>
    <r>
      <rPr>
        <b/>
        <vertAlign val="subscript"/>
        <sz val="10"/>
        <rFont val="Arial"/>
        <family val="2"/>
      </rPr>
      <t>P1</t>
    </r>
    <r>
      <rPr>
        <b/>
        <sz val="10"/>
        <rFont val="Arial"/>
        <family val="2"/>
      </rPr>
      <t xml:space="preserve">  </t>
    </r>
  </si>
  <si>
    <r>
      <t>F</t>
    </r>
    <r>
      <rPr>
        <b/>
        <vertAlign val="subscript"/>
        <sz val="10"/>
        <rFont val="Arial"/>
        <family val="2"/>
      </rPr>
      <t>P2</t>
    </r>
    <r>
      <rPr>
        <b/>
        <sz val="10"/>
        <rFont val="Arial"/>
        <family val="2"/>
      </rPr>
      <t xml:space="preserve">  </t>
    </r>
  </si>
  <si>
    <r>
      <t>F</t>
    </r>
    <r>
      <rPr>
        <b/>
        <vertAlign val="subscript"/>
        <sz val="10"/>
        <rFont val="Arial"/>
        <family val="2"/>
      </rPr>
      <t xml:space="preserve">Z1  </t>
    </r>
  </si>
  <si>
    <r>
      <t>F</t>
    </r>
    <r>
      <rPr>
        <b/>
        <vertAlign val="subscript"/>
        <sz val="10"/>
        <rFont val="Arial"/>
        <family val="2"/>
      </rPr>
      <t xml:space="preserve">Z2  </t>
    </r>
  </si>
  <si>
    <t>Ω</t>
  </si>
  <si>
    <t>** Inductor saturation current should be higher than the current limit setpoint at all operating temperatures **</t>
  </si>
  <si>
    <r>
      <rPr>
        <b/>
        <u/>
        <sz val="10"/>
        <rFont val="Arial"/>
        <family val="2"/>
      </rPr>
      <t>NOTES</t>
    </r>
    <r>
      <rPr>
        <b/>
        <sz val="10"/>
        <rFont val="Arial"/>
        <family val="2"/>
      </rPr>
      <t>:</t>
    </r>
  </si>
  <si>
    <t>Series resistance due to FETs</t>
  </si>
  <si>
    <t>Chosen Inductor Value</t>
  </si>
  <si>
    <t>Ripple Current after Chosen inductor (p-p)</t>
  </si>
  <si>
    <t>Chosen Crossover</t>
  </si>
  <si>
    <t>Output Resistance</t>
  </si>
  <si>
    <t>This zero is set at or below the double pole location</t>
  </si>
  <si>
    <r>
      <t>Inductor Ripple Current as a % of Max I</t>
    </r>
    <r>
      <rPr>
        <vertAlign val="subscript"/>
        <sz val="10"/>
        <rFont val="Arial"/>
        <family val="2"/>
      </rPr>
      <t>OUT</t>
    </r>
    <r>
      <rPr>
        <sz val="10"/>
        <rFont val="Arial"/>
        <family val="2"/>
      </rPr>
      <t xml:space="preserve"> </t>
    </r>
  </si>
  <si>
    <r>
      <t>On-State Resistance, R</t>
    </r>
    <r>
      <rPr>
        <b/>
        <vertAlign val="subscript"/>
        <sz val="10"/>
        <rFont val="Arial"/>
        <family val="2"/>
      </rPr>
      <t>DS(on)</t>
    </r>
    <r>
      <rPr>
        <b/>
        <sz val="10"/>
        <rFont val="Arial"/>
        <family val="2"/>
      </rPr>
      <t xml:space="preserve"> </t>
    </r>
  </si>
  <si>
    <r>
      <t>Total Gate Charge, Q</t>
    </r>
    <r>
      <rPr>
        <b/>
        <vertAlign val="subscript"/>
        <sz val="10"/>
        <rFont val="Arial"/>
        <family val="2"/>
      </rPr>
      <t>G</t>
    </r>
    <r>
      <rPr>
        <b/>
        <sz val="10"/>
        <rFont val="Arial"/>
        <family val="2"/>
      </rPr>
      <t xml:space="preserve"> </t>
    </r>
  </si>
  <si>
    <r>
      <t>Gate-Drain Charge, Q</t>
    </r>
    <r>
      <rPr>
        <b/>
        <vertAlign val="subscript"/>
        <sz val="10"/>
        <rFont val="Arial"/>
        <family val="2"/>
      </rPr>
      <t>GD</t>
    </r>
    <r>
      <rPr>
        <b/>
        <sz val="10"/>
        <rFont val="Arial"/>
        <family val="2"/>
      </rPr>
      <t xml:space="preserve"> </t>
    </r>
  </si>
  <si>
    <r>
      <t>Gate-Source Charge, Q</t>
    </r>
    <r>
      <rPr>
        <b/>
        <vertAlign val="subscript"/>
        <sz val="10"/>
        <rFont val="Arial"/>
        <family val="2"/>
      </rPr>
      <t>GS</t>
    </r>
    <r>
      <rPr>
        <b/>
        <sz val="10"/>
        <rFont val="Arial"/>
        <family val="2"/>
      </rPr>
      <t xml:space="preserve"> </t>
    </r>
  </si>
  <si>
    <r>
      <t>Gate Resistance, R</t>
    </r>
    <r>
      <rPr>
        <b/>
        <vertAlign val="subscript"/>
        <sz val="10"/>
        <rFont val="Arial"/>
        <family val="2"/>
      </rPr>
      <t>G</t>
    </r>
    <r>
      <rPr>
        <b/>
        <sz val="10"/>
        <rFont val="Arial"/>
        <family val="2"/>
      </rPr>
      <t xml:space="preserve"> </t>
    </r>
  </si>
  <si>
    <r>
      <t>Transconductance, g</t>
    </r>
    <r>
      <rPr>
        <b/>
        <vertAlign val="subscript"/>
        <sz val="10"/>
        <rFont val="Arial"/>
        <family val="2"/>
      </rPr>
      <t>FS</t>
    </r>
    <r>
      <rPr>
        <b/>
        <sz val="10"/>
        <rFont val="Arial"/>
        <family val="2"/>
      </rPr>
      <t xml:space="preserve"> </t>
    </r>
  </si>
  <si>
    <r>
      <t>Thermal Resistance, θ</t>
    </r>
    <r>
      <rPr>
        <b/>
        <vertAlign val="subscript"/>
        <sz val="10"/>
        <rFont val="Arial"/>
        <family val="2"/>
      </rPr>
      <t>JA</t>
    </r>
    <r>
      <rPr>
        <b/>
        <sz val="10"/>
        <rFont val="Arial"/>
        <family val="2"/>
      </rPr>
      <t xml:space="preserve"> </t>
    </r>
  </si>
  <si>
    <r>
      <t>Body Diode Recovery Charge, Q</t>
    </r>
    <r>
      <rPr>
        <b/>
        <vertAlign val="subscript"/>
        <sz val="10"/>
        <rFont val="Arial"/>
        <family val="2"/>
      </rPr>
      <t>RR</t>
    </r>
    <r>
      <rPr>
        <b/>
        <sz val="10"/>
        <rFont val="Arial"/>
        <family val="2"/>
      </rPr>
      <t xml:space="preserve"> </t>
    </r>
  </si>
  <si>
    <r>
      <t>Schottky Diode Recovery Charge, Q</t>
    </r>
    <r>
      <rPr>
        <b/>
        <vertAlign val="subscript"/>
        <sz val="10"/>
        <rFont val="Arial"/>
        <family val="2"/>
      </rPr>
      <t>RR2</t>
    </r>
    <r>
      <rPr>
        <b/>
        <sz val="10"/>
        <rFont val="Arial"/>
        <family val="2"/>
      </rPr>
      <t xml:space="preserve"> </t>
    </r>
  </si>
  <si>
    <r>
      <t>Body Diode Forward Voltage, V</t>
    </r>
    <r>
      <rPr>
        <b/>
        <vertAlign val="subscript"/>
        <sz val="10"/>
        <rFont val="Arial"/>
        <family val="2"/>
      </rPr>
      <t>BD2</t>
    </r>
    <r>
      <rPr>
        <b/>
        <sz val="10"/>
        <rFont val="Arial"/>
        <family val="2"/>
      </rPr>
      <t xml:space="preserve"> </t>
    </r>
  </si>
  <si>
    <r>
      <t>Schottky Diode Forward Voltage, V</t>
    </r>
    <r>
      <rPr>
        <b/>
        <vertAlign val="subscript"/>
        <sz val="10"/>
        <rFont val="Arial"/>
        <family val="2"/>
      </rPr>
      <t>SD</t>
    </r>
    <r>
      <rPr>
        <b/>
        <sz val="10"/>
        <rFont val="Arial"/>
        <family val="2"/>
      </rPr>
      <t xml:space="preserve"> </t>
    </r>
  </si>
  <si>
    <r>
      <t>Body Diode Forward Voltage, V</t>
    </r>
    <r>
      <rPr>
        <b/>
        <vertAlign val="subscript"/>
        <sz val="10"/>
        <rFont val="Arial"/>
        <family val="2"/>
      </rPr>
      <t>BD1</t>
    </r>
    <r>
      <rPr>
        <b/>
        <sz val="10"/>
        <rFont val="Arial"/>
        <family val="2"/>
      </rPr>
      <t xml:space="preserve"> </t>
    </r>
  </si>
  <si>
    <t>Peak-to-Peak Ramp Voltage of PWM</t>
  </si>
  <si>
    <t>%/°C</t>
  </si>
  <si>
    <t>1nF</t>
  </si>
  <si>
    <r>
      <t>Step 3: R</t>
    </r>
    <r>
      <rPr>
        <b/>
        <vertAlign val="subscript"/>
        <sz val="12"/>
        <color indexed="12"/>
        <rFont val="Arial"/>
        <family val="2"/>
      </rPr>
      <t>DS(on)</t>
    </r>
    <r>
      <rPr>
        <b/>
        <sz val="12"/>
        <color indexed="12"/>
        <rFont val="Arial"/>
        <family val="2"/>
      </rPr>
      <t xml:space="preserve"> or Shunt-Based Current Limit</t>
    </r>
  </si>
  <si>
    <r>
      <t>Maximum Output Current, I</t>
    </r>
    <r>
      <rPr>
        <b/>
        <vertAlign val="subscript"/>
        <sz val="10"/>
        <color theme="1"/>
        <rFont val="Arial"/>
        <family val="2"/>
      </rPr>
      <t>OUT</t>
    </r>
    <r>
      <rPr>
        <b/>
        <sz val="10"/>
        <color theme="1"/>
        <rFont val="Arial"/>
        <family val="2"/>
      </rPr>
      <t xml:space="preserve"> </t>
    </r>
  </si>
  <si>
    <r>
      <t>Output Voltage, V</t>
    </r>
    <r>
      <rPr>
        <b/>
        <vertAlign val="subscript"/>
        <sz val="10"/>
        <color theme="1"/>
        <rFont val="Arial"/>
        <family val="2"/>
      </rPr>
      <t>OUT</t>
    </r>
    <r>
      <rPr>
        <b/>
        <sz val="10"/>
        <color theme="1"/>
        <rFont val="Arial"/>
        <family val="2"/>
      </rPr>
      <t xml:space="preserve"> </t>
    </r>
  </si>
  <si>
    <r>
      <t>Inductance, L</t>
    </r>
    <r>
      <rPr>
        <b/>
        <vertAlign val="subscript"/>
        <sz val="10"/>
        <color theme="1"/>
        <rFont val="Arial"/>
        <family val="2"/>
      </rPr>
      <t>F</t>
    </r>
    <r>
      <rPr>
        <b/>
        <sz val="10"/>
        <color theme="1"/>
        <rFont val="Arial"/>
        <family val="2"/>
      </rPr>
      <t xml:space="preserve"> </t>
    </r>
  </si>
  <si>
    <r>
      <t>Frequency Set Resistor, R</t>
    </r>
    <r>
      <rPr>
        <vertAlign val="subscript"/>
        <sz val="10"/>
        <rFont val="Arial"/>
        <family val="2"/>
      </rPr>
      <t>RT</t>
    </r>
    <r>
      <rPr>
        <sz val="10"/>
        <rFont val="Arial"/>
        <family val="2"/>
      </rPr>
      <t xml:space="preserve"> </t>
    </r>
  </si>
  <si>
    <r>
      <t>Min Inductor Sat Current, I</t>
    </r>
    <r>
      <rPr>
        <vertAlign val="subscript"/>
        <sz val="10"/>
        <rFont val="Arial"/>
        <family val="2"/>
      </rPr>
      <t>L(SAT)</t>
    </r>
  </si>
  <si>
    <r>
      <t>Pk-to-Pk Ripple Current at V</t>
    </r>
    <r>
      <rPr>
        <vertAlign val="subscript"/>
        <sz val="10"/>
        <rFont val="Arial"/>
        <family val="2"/>
      </rPr>
      <t>IN(nom)</t>
    </r>
    <r>
      <rPr>
        <sz val="10"/>
        <rFont val="Arial"/>
        <family val="2"/>
      </rPr>
      <t xml:space="preserve">, </t>
    </r>
    <r>
      <rPr>
        <sz val="10"/>
        <rFont val="Symbol"/>
        <family val="1"/>
        <charset val="2"/>
      </rPr>
      <t>D</t>
    </r>
    <r>
      <rPr>
        <sz val="10"/>
        <rFont val="Arial"/>
        <family val="2"/>
      </rPr>
      <t>I</t>
    </r>
    <r>
      <rPr>
        <vertAlign val="subscript"/>
        <sz val="10"/>
        <rFont val="Arial"/>
        <family val="2"/>
      </rPr>
      <t>L</t>
    </r>
  </si>
  <si>
    <r>
      <t>Input Voltage ‒ Min, V</t>
    </r>
    <r>
      <rPr>
        <b/>
        <vertAlign val="subscript"/>
        <sz val="10"/>
        <color theme="1"/>
        <rFont val="Arial"/>
        <family val="2"/>
      </rPr>
      <t>IN(min)</t>
    </r>
    <r>
      <rPr>
        <b/>
        <sz val="10"/>
        <color theme="1"/>
        <rFont val="Arial"/>
        <family val="2"/>
      </rPr>
      <t xml:space="preserve"> </t>
    </r>
  </si>
  <si>
    <r>
      <t>Input Voltage ‒ Nom, V</t>
    </r>
    <r>
      <rPr>
        <b/>
        <vertAlign val="subscript"/>
        <sz val="10"/>
        <color theme="1"/>
        <rFont val="Arial"/>
        <family val="2"/>
      </rPr>
      <t>IN(nom)</t>
    </r>
    <r>
      <rPr>
        <b/>
        <sz val="10"/>
        <color theme="1"/>
        <rFont val="Arial"/>
        <family val="2"/>
      </rPr>
      <t xml:space="preserve"> </t>
    </r>
  </si>
  <si>
    <r>
      <t>Input Voltage ‒ Max, V</t>
    </r>
    <r>
      <rPr>
        <b/>
        <vertAlign val="subscript"/>
        <sz val="10"/>
        <color theme="1"/>
        <rFont val="Arial"/>
        <family val="2"/>
      </rPr>
      <t>IN(max)</t>
    </r>
    <r>
      <rPr>
        <b/>
        <sz val="10"/>
        <color theme="1"/>
        <rFont val="Arial"/>
        <family val="2"/>
      </rPr>
      <t xml:space="preserve"> </t>
    </r>
  </si>
  <si>
    <t>1 = Yes, 2 = No</t>
  </si>
  <si>
    <t>R_RT</t>
  </si>
  <si>
    <t>Vinmax</t>
  </si>
  <si>
    <t>Vinmin</t>
  </si>
  <si>
    <t>Doff_Vinmax</t>
  </si>
  <si>
    <t>Don_Vinmax</t>
  </si>
  <si>
    <t>Min input voltage</t>
  </si>
  <si>
    <t>Max input voltage</t>
  </si>
  <si>
    <t>Chosen current limit level - valley current</t>
  </si>
  <si>
    <t>Current Limit Current Source - Rdson sensing</t>
  </si>
  <si>
    <t>Current Limit Current Source - shunt sensing</t>
  </si>
  <si>
    <t>Rshunt</t>
  </si>
  <si>
    <t>Standard value current limit set resistor</t>
  </si>
  <si>
    <t>Ideal Rset for the chosen current limit</t>
  </si>
  <si>
    <r>
      <t>Current Limit Set Resistor, R</t>
    </r>
    <r>
      <rPr>
        <vertAlign val="subscript"/>
        <sz val="10"/>
        <rFont val="Arial"/>
        <family val="2"/>
      </rPr>
      <t>ILIM</t>
    </r>
    <r>
      <rPr>
        <sz val="10"/>
        <rFont val="Arial"/>
        <family val="2"/>
      </rPr>
      <t xml:space="preserve"> </t>
    </r>
  </si>
  <si>
    <t>Power dissipation in the shunt</t>
  </si>
  <si>
    <t>Rilim_shunt_ideal</t>
  </si>
  <si>
    <t>Ilim1</t>
  </si>
  <si>
    <t>Ilim2</t>
  </si>
  <si>
    <t>Rilim_Rdson_ideal</t>
  </si>
  <si>
    <t>Rilim_Rdson</t>
  </si>
  <si>
    <t>Rilim_shunt</t>
  </si>
  <si>
    <r>
      <t>Power Loss in R</t>
    </r>
    <r>
      <rPr>
        <vertAlign val="subscript"/>
        <sz val="10"/>
        <color theme="1"/>
        <rFont val="Arial"/>
        <family val="2"/>
      </rPr>
      <t>S</t>
    </r>
    <r>
      <rPr>
        <sz val="10"/>
        <color theme="1"/>
        <rFont val="Arial"/>
        <family val="2"/>
      </rPr>
      <t xml:space="preserve"> at Full Load, Max V</t>
    </r>
    <r>
      <rPr>
        <vertAlign val="subscript"/>
        <sz val="10"/>
        <color theme="1"/>
        <rFont val="Arial"/>
        <family val="2"/>
      </rPr>
      <t>IN</t>
    </r>
  </si>
  <si>
    <r>
      <t>UVLO Upper Resistor, R</t>
    </r>
    <r>
      <rPr>
        <vertAlign val="subscript"/>
        <sz val="10"/>
        <rFont val="Arial"/>
        <family val="2"/>
      </rPr>
      <t>UV1</t>
    </r>
  </si>
  <si>
    <r>
      <t>UVLO Lower Resistor, R</t>
    </r>
    <r>
      <rPr>
        <vertAlign val="subscript"/>
        <sz val="10"/>
        <rFont val="Arial"/>
        <family val="2"/>
      </rPr>
      <t>UV2</t>
    </r>
  </si>
  <si>
    <r>
      <t>Upper Feedback Resistor, R</t>
    </r>
    <r>
      <rPr>
        <b/>
        <vertAlign val="subscript"/>
        <sz val="10"/>
        <rFont val="Arial"/>
        <family val="2"/>
      </rPr>
      <t xml:space="preserve">FB1 </t>
    </r>
  </si>
  <si>
    <r>
      <t>Lower Feedback Resistor, R</t>
    </r>
    <r>
      <rPr>
        <vertAlign val="subscript"/>
        <sz val="10"/>
        <rFont val="Arial"/>
        <family val="2"/>
      </rPr>
      <t>FB2</t>
    </r>
    <r>
      <rPr>
        <sz val="10"/>
        <rFont val="Arial"/>
        <family val="2"/>
      </rPr>
      <t xml:space="preserve"> </t>
    </r>
  </si>
  <si>
    <t>Rilim</t>
  </si>
  <si>
    <r>
      <t>R</t>
    </r>
    <r>
      <rPr>
        <vertAlign val="subscript"/>
        <sz val="10"/>
        <rFont val="Arial"/>
        <family val="2"/>
      </rPr>
      <t>DS(on)</t>
    </r>
    <r>
      <rPr>
        <sz val="10"/>
        <rFont val="Arial"/>
        <family val="2"/>
      </rPr>
      <t xml:space="preserve"> sensing</t>
    </r>
  </si>
  <si>
    <t>Shunt sensing</t>
  </si>
  <si>
    <r>
      <t>Shunt, R</t>
    </r>
    <r>
      <rPr>
        <b/>
        <vertAlign val="subscript"/>
        <sz val="10"/>
        <color theme="1"/>
        <rFont val="Arial"/>
        <family val="2"/>
      </rPr>
      <t>S</t>
    </r>
  </si>
  <si>
    <r>
      <t>L</t>
    </r>
    <r>
      <rPr>
        <vertAlign val="subscript"/>
        <sz val="10"/>
        <rFont val="Arial"/>
        <family val="2"/>
      </rPr>
      <t>F</t>
    </r>
  </si>
  <si>
    <t>Ilsat</t>
  </si>
  <si>
    <r>
      <t>C</t>
    </r>
    <r>
      <rPr>
        <vertAlign val="subscript"/>
        <sz val="10"/>
        <rFont val="Arial"/>
        <family val="2"/>
      </rPr>
      <t>VCC</t>
    </r>
  </si>
  <si>
    <r>
      <t>C</t>
    </r>
    <r>
      <rPr>
        <vertAlign val="subscript"/>
        <sz val="10"/>
        <rFont val="Arial"/>
        <family val="2"/>
      </rPr>
      <t>BOOT</t>
    </r>
  </si>
  <si>
    <r>
      <t>R</t>
    </r>
    <r>
      <rPr>
        <vertAlign val="subscript"/>
        <sz val="10"/>
        <rFont val="Arial"/>
        <family val="2"/>
      </rPr>
      <t>ILIM</t>
    </r>
  </si>
  <si>
    <r>
      <t>R</t>
    </r>
    <r>
      <rPr>
        <vertAlign val="subscript"/>
        <sz val="10"/>
        <rFont val="Arial"/>
        <family val="2"/>
      </rPr>
      <t>RT</t>
    </r>
  </si>
  <si>
    <t>DC Current Limit Setpoint</t>
  </si>
  <si>
    <t xml:space="preserve">     kHz</t>
  </si>
  <si>
    <t>Step 6: Soft-start, UVLO</t>
  </si>
  <si>
    <t>Input Voltage UVLO Turn-On</t>
  </si>
  <si>
    <t>Input Voltage UVLO Turn-Off</t>
  </si>
  <si>
    <r>
      <t>Soft-Start Time, t</t>
    </r>
    <r>
      <rPr>
        <b/>
        <vertAlign val="subscript"/>
        <sz val="10"/>
        <color theme="1"/>
        <rFont val="Arial"/>
        <family val="2"/>
      </rPr>
      <t>SS</t>
    </r>
    <r>
      <rPr>
        <b/>
        <sz val="10"/>
        <color theme="1"/>
        <rFont val="Arial"/>
        <family val="2"/>
      </rPr>
      <t xml:space="preserve"> </t>
    </r>
  </si>
  <si>
    <r>
      <t>Soft-Start Capacitance, C</t>
    </r>
    <r>
      <rPr>
        <vertAlign val="subscript"/>
        <sz val="10"/>
        <rFont val="Arial"/>
        <family val="2"/>
      </rPr>
      <t>SS</t>
    </r>
    <r>
      <rPr>
        <sz val="10"/>
        <rFont val="Arial"/>
        <family val="2"/>
      </rPr>
      <t xml:space="preserve"> </t>
    </r>
  </si>
  <si>
    <t>Vcc</t>
  </si>
  <si>
    <t>Shunt</t>
  </si>
  <si>
    <t>Shunt Loss (if applicable)</t>
  </si>
  <si>
    <r>
      <t>m</t>
    </r>
    <r>
      <rPr>
        <sz val="10"/>
        <rFont val="Symbol"/>
        <family val="1"/>
        <charset val="2"/>
      </rPr>
      <t>W</t>
    </r>
  </si>
  <si>
    <t>ppm/°C</t>
  </si>
  <si>
    <t>Subregulated VCC rail</t>
  </si>
  <si>
    <r>
      <t>Free-running Switching Frequency, F</t>
    </r>
    <r>
      <rPr>
        <b/>
        <vertAlign val="subscript"/>
        <sz val="10"/>
        <color theme="1"/>
        <rFont val="Arial"/>
        <family val="2"/>
      </rPr>
      <t>SW</t>
    </r>
  </si>
  <si>
    <r>
      <t>SYNC Frequency (if used), F</t>
    </r>
    <r>
      <rPr>
        <b/>
        <vertAlign val="subscript"/>
        <sz val="10"/>
        <color theme="1"/>
        <rFont val="Arial"/>
        <family val="2"/>
      </rPr>
      <t>SW-SYNC</t>
    </r>
  </si>
  <si>
    <t>VQFN-20</t>
  </si>
  <si>
    <t>6.3V</t>
  </si>
  <si>
    <t>Vout&lt;=8V</t>
  </si>
  <si>
    <t>10V</t>
  </si>
  <si>
    <t>Vout&lt;=12V</t>
  </si>
  <si>
    <t>16V</t>
  </si>
  <si>
    <t>Vout&lt;=20V</t>
  </si>
  <si>
    <t>25V</t>
  </si>
  <si>
    <t>50V</t>
  </si>
  <si>
    <t>Cout Voltage Rating</t>
  </si>
  <si>
    <t>0402</t>
  </si>
  <si>
    <t>1.0 x 0.5</t>
  </si>
  <si>
    <t>1.6 x 0.8</t>
  </si>
  <si>
    <t>0805</t>
  </si>
  <si>
    <t>2.0 x 1.25</t>
  </si>
  <si>
    <t>1206</t>
  </si>
  <si>
    <t>3.2 x 1.6</t>
  </si>
  <si>
    <t>1210</t>
  </si>
  <si>
    <t>3.2 x 2.5</t>
  </si>
  <si>
    <t>Component Size</t>
  </si>
  <si>
    <t>3mm x 3mm</t>
  </si>
  <si>
    <t>3.0 x 3.0</t>
  </si>
  <si>
    <t>4mm x 4mm</t>
  </si>
  <si>
    <t>4.0 x 4.0</t>
  </si>
  <si>
    <t>5mm x 5mm</t>
  </si>
  <si>
    <t>5.0 x 5.0</t>
  </si>
  <si>
    <t>6mm x 6mm</t>
  </si>
  <si>
    <t>6.0 x 6.0</t>
  </si>
  <si>
    <t>7mm x 7mm</t>
  </si>
  <si>
    <t>7.0 x 7.0</t>
  </si>
  <si>
    <t>Inductor Size</t>
  </si>
  <si>
    <t>Vout&lt;=42V</t>
  </si>
  <si>
    <t>Vout&lt;60V</t>
  </si>
  <si>
    <t>100V</t>
  </si>
  <si>
    <t>Current Sensing</t>
  </si>
  <si>
    <t>MOSFET package</t>
  </si>
  <si>
    <t>8mm x 8mm</t>
  </si>
  <si>
    <t>8.0 x 8.0</t>
  </si>
  <si>
    <t>10mm x 10mm</t>
  </si>
  <si>
    <t>10.0 x 10.0</t>
  </si>
  <si>
    <t>12mm x 12mm</t>
  </si>
  <si>
    <t>12.0 x 12.0</t>
  </si>
  <si>
    <t>Cin Voltage Rating</t>
  </si>
  <si>
    <t>Vin(max)&lt;=8V</t>
  </si>
  <si>
    <t>Vin(max)&lt;=12V</t>
  </si>
  <si>
    <t>Vin(max)&lt;=20V</t>
  </si>
  <si>
    <t>Vin(max)&lt;=42V</t>
  </si>
  <si>
    <t>Vin(max)&lt;100V</t>
  </si>
  <si>
    <t>Footprint (mm)</t>
  </si>
  <si>
    <r>
      <t>Area (mm</t>
    </r>
    <r>
      <rPr>
        <b/>
        <vertAlign val="superscript"/>
        <sz val="10"/>
        <color theme="0"/>
        <rFont val="Arial"/>
        <family val="2"/>
      </rPr>
      <t>2</t>
    </r>
    <r>
      <rPr>
        <b/>
        <sz val="10"/>
        <color theme="0"/>
        <rFont val="Arial"/>
        <family val="2"/>
      </rPr>
      <t>)</t>
    </r>
  </si>
  <si>
    <t>Total Solution Size (buffered by 25%)</t>
  </si>
  <si>
    <r>
      <t>mm</t>
    </r>
    <r>
      <rPr>
        <b/>
        <vertAlign val="superscript"/>
        <sz val="12"/>
        <color rgb="FFFF0000"/>
        <rFont val="Arial"/>
        <family val="2"/>
      </rPr>
      <t>2</t>
    </r>
    <r>
      <rPr>
        <b/>
        <sz val="12"/>
        <color rgb="FFFF0000"/>
        <rFont val="Arial"/>
        <family val="2"/>
      </rPr>
      <t xml:space="preserve">  =</t>
    </r>
  </si>
  <si>
    <r>
      <t>in</t>
    </r>
    <r>
      <rPr>
        <b/>
        <vertAlign val="superscript"/>
        <sz val="12"/>
        <color rgb="FFFF0000"/>
        <rFont val="Arial"/>
        <family val="2"/>
      </rPr>
      <t>2</t>
    </r>
  </si>
  <si>
    <t>5.0 x 6.0</t>
  </si>
  <si>
    <t>3.3 x 3.3</t>
  </si>
  <si>
    <t>15.0 x 10.0</t>
  </si>
  <si>
    <t>SON 5 x 6</t>
  </si>
  <si>
    <t>SON 3 x 3</t>
  </si>
  <si>
    <t>DPAK, TO-252</t>
  </si>
  <si>
    <t>D2PAK, TO-263</t>
  </si>
  <si>
    <t>10.0 x 6.6</t>
  </si>
  <si>
    <t>Don_Vinmin</t>
  </si>
  <si>
    <t>Doff_Vinmin</t>
  </si>
  <si>
    <t>Don2_Vinmin</t>
  </si>
  <si>
    <t>Doff2_Vinmin</t>
  </si>
  <si>
    <t>Don2_Vinmax</t>
  </si>
  <si>
    <t>Doff2_Vinmax</t>
  </si>
  <si>
    <t>Toff at Vin-min</t>
  </si>
  <si>
    <t>Ton at Vin-max</t>
  </si>
  <si>
    <t>Full-load/high line efficiency</t>
  </si>
  <si>
    <t>Half-load/mid-line efficiency</t>
  </si>
  <si>
    <t>Vout_actual</t>
  </si>
  <si>
    <t>Actual VOUT</t>
  </si>
  <si>
    <t>** Tie SYNCIN to VCC and GND for CCM and DCM operation, respectively **</t>
  </si>
  <si>
    <t>Cilim</t>
  </si>
  <si>
    <t>Cilim_ideal</t>
  </si>
  <si>
    <t>&gt; specify shunt on schematic</t>
  </si>
  <si>
    <t>&gt; specify ILIM cap</t>
  </si>
  <si>
    <t>Choose cap for 6ns time constant</t>
  </si>
  <si>
    <t>Calculated Lower Feedback Resistor</t>
  </si>
  <si>
    <t>Lower Feedback Resistor</t>
  </si>
  <si>
    <r>
      <t>Actual Output Voltage, V</t>
    </r>
    <r>
      <rPr>
        <vertAlign val="subscript"/>
        <sz val="10"/>
        <color theme="1"/>
        <rFont val="Arial"/>
        <family val="2"/>
      </rPr>
      <t>OUT</t>
    </r>
    <r>
      <rPr>
        <sz val="10"/>
        <color theme="1"/>
        <rFont val="Arial"/>
        <family val="2"/>
      </rPr>
      <t xml:space="preserve"> </t>
    </r>
  </si>
  <si>
    <t>VIN_range</t>
  </si>
  <si>
    <r>
      <t>Wide V</t>
    </r>
    <r>
      <rPr>
        <b/>
        <vertAlign val="subscript"/>
        <sz val="16"/>
        <rFont val="Arial"/>
        <family val="2"/>
      </rPr>
      <t>IN</t>
    </r>
    <r>
      <rPr>
        <b/>
        <sz val="16"/>
        <rFont val="Arial"/>
        <family val="2"/>
      </rPr>
      <t>, High Efficiency Synchronous Buck Regulator BOM</t>
    </r>
  </si>
  <si>
    <t>Fsw_freerunning</t>
  </si>
  <si>
    <t>Free-running switching frequency</t>
  </si>
  <si>
    <r>
      <t xml:space="preserve">** Effective output capacitance should be appropriately </t>
    </r>
    <r>
      <rPr>
        <b/>
        <sz val="10"/>
        <rFont val="Arial"/>
        <family val="2"/>
      </rPr>
      <t>derated</t>
    </r>
    <r>
      <rPr>
        <sz val="10"/>
        <rFont val="Arial"/>
        <family val="2"/>
      </rPr>
      <t xml:space="preserve"> for applied voltage and temperature, particularly with </t>
    </r>
    <r>
      <rPr>
        <b/>
        <sz val="10"/>
        <rFont val="Arial"/>
        <family val="2"/>
      </rPr>
      <t>ceramics</t>
    </r>
    <r>
      <rPr>
        <sz val="10"/>
        <rFont val="Arial"/>
        <family val="2"/>
      </rPr>
      <t xml:space="preserve"> **</t>
    </r>
  </si>
  <si>
    <t>3.5 x 4.5 x 1.0</t>
  </si>
  <si>
    <t>Cout Capacitance</t>
  </si>
  <si>
    <t>Quantity: 1</t>
  </si>
  <si>
    <t>Quantity: 2</t>
  </si>
  <si>
    <r>
      <t>C</t>
    </r>
    <r>
      <rPr>
        <vertAlign val="subscript"/>
        <sz val="10"/>
        <rFont val="Arial"/>
        <family val="2"/>
      </rPr>
      <t>S</t>
    </r>
  </si>
  <si>
    <r>
      <t>Output Charge, Q</t>
    </r>
    <r>
      <rPr>
        <b/>
        <vertAlign val="subscript"/>
        <sz val="10"/>
        <rFont val="Arial"/>
        <family val="2"/>
      </rPr>
      <t>OSS</t>
    </r>
    <r>
      <rPr>
        <b/>
        <sz val="10"/>
        <rFont val="Arial"/>
        <family val="2"/>
      </rPr>
      <t xml:space="preserve"> </t>
    </r>
  </si>
  <si>
    <r>
      <rPr>
        <sz val="10"/>
        <rFont val="Symbol"/>
        <family val="1"/>
        <charset val="2"/>
      </rPr>
      <t>°</t>
    </r>
    <r>
      <rPr>
        <sz val="10"/>
        <rFont val="Arial"/>
        <family val="2"/>
      </rPr>
      <t>C</t>
    </r>
  </si>
  <si>
    <r>
      <rPr>
        <sz val="10"/>
        <rFont val="Symbol"/>
        <family val="1"/>
        <charset val="2"/>
      </rPr>
      <t>°</t>
    </r>
    <r>
      <rPr>
        <sz val="10"/>
        <rFont val="Arial"/>
        <family val="2"/>
      </rPr>
      <t>C/W</t>
    </r>
  </si>
  <si>
    <t>Gate to Source Charge</t>
  </si>
  <si>
    <t>QossBot</t>
  </si>
  <si>
    <t>Output Charge Of Bottom FET</t>
  </si>
  <si>
    <t>Gate Charge Of Bottom FET</t>
  </si>
  <si>
    <r>
      <t>Output Capacitance, C</t>
    </r>
    <r>
      <rPr>
        <b/>
        <vertAlign val="subscript"/>
        <sz val="10"/>
        <rFont val="Arial"/>
        <family val="2"/>
      </rPr>
      <t>OSS</t>
    </r>
    <r>
      <rPr>
        <b/>
        <sz val="10"/>
        <rFont val="Arial"/>
        <family val="2"/>
      </rPr>
      <t xml:space="preserve"> </t>
    </r>
  </si>
  <si>
    <t>Output Capacitance Of Bottom FET</t>
  </si>
  <si>
    <t>CossBot</t>
  </si>
  <si>
    <t>CossTop</t>
  </si>
  <si>
    <t>Output Capacitance of High-side FET</t>
  </si>
  <si>
    <t>Gate Resistance of High-side FET</t>
  </si>
  <si>
    <t>MOSFET Output Capacitance Loss</t>
  </si>
  <si>
    <t>Step 4: Output Capacitance</t>
  </si>
  <si>
    <t>Step 5: Input Capacitance</t>
  </si>
  <si>
    <t xml:space="preserve"> If the SYNC feature is not required, connect SYNCIN to GND</t>
  </si>
  <si>
    <t xml:space="preserve"> or VCC for DCM or CCM operation, respectively</t>
  </si>
  <si>
    <t xml:space="preserve"> Pole &amp; Zero Placement</t>
  </si>
  <si>
    <t>Antiparallel Schottky Diode (if applicable)</t>
  </si>
  <si>
    <r>
      <t>Total Output Capacitance (Derated), C</t>
    </r>
    <r>
      <rPr>
        <b/>
        <vertAlign val="subscript"/>
        <sz val="10"/>
        <rFont val="Arial"/>
        <family val="2"/>
      </rPr>
      <t>OUT</t>
    </r>
    <r>
      <rPr>
        <b/>
        <sz val="10"/>
        <rFont val="Arial"/>
        <family val="2"/>
      </rPr>
      <t xml:space="preserve"> </t>
    </r>
  </si>
  <si>
    <r>
      <t>Total Input Capacitance (Derated), C</t>
    </r>
    <r>
      <rPr>
        <b/>
        <vertAlign val="subscript"/>
        <sz val="10"/>
        <color theme="1"/>
        <rFont val="Arial"/>
        <family val="2"/>
      </rPr>
      <t>IN</t>
    </r>
    <r>
      <rPr>
        <b/>
        <sz val="10"/>
        <color theme="1"/>
        <rFont val="Arial"/>
        <family val="2"/>
      </rPr>
      <t xml:space="preserve"> </t>
    </r>
  </si>
  <si>
    <t>Vout&lt;5V</t>
  </si>
  <si>
    <t>SW node voltage at Q1 turn-on</t>
  </si>
  <si>
    <t>Peak Inductor Current</t>
  </si>
  <si>
    <t>Valley Inductor Current</t>
  </si>
  <si>
    <t>Transitional Loss (not including capacitive loss)</t>
  </si>
  <si>
    <t>** Specify Inductor Core Loss **</t>
  </si>
  <si>
    <t>Total Bottom FET Diss/Loss</t>
  </si>
  <si>
    <t>LM5146-Q1</t>
  </si>
  <si>
    <t>LM5146-Q1-EVM12V</t>
  </si>
  <si>
    <t>x</t>
  </si>
  <si>
    <t xml:space="preserve">                          LM(2)5145/46-Q1 DC-DC Controller Design Tool</t>
  </si>
  <si>
    <t xml:space="preserve"> LM(2)5145/6/-Q1 Quickstart Calculator</t>
  </si>
  <si>
    <t>VARIANT</t>
  </si>
  <si>
    <t>VIN-MAX</t>
  </si>
  <si>
    <t>VOUT-MAX</t>
  </si>
  <si>
    <t>LM5145</t>
  </si>
  <si>
    <t>LM5145-Q1</t>
  </si>
  <si>
    <t>LM25145</t>
  </si>
  <si>
    <t>LM5146</t>
  </si>
  <si>
    <t>VIN-MIN</t>
  </si>
  <si>
    <t>LM5145EVM-HD-20A PCB Layout</t>
  </si>
  <si>
    <t>Top</t>
  </si>
  <si>
    <t>Layer</t>
  </si>
  <si>
    <t>Layer 2</t>
  </si>
  <si>
    <t>Layer 3</t>
  </si>
  <si>
    <t>Bottom</t>
  </si>
  <si>
    <t>No External VCC</t>
  </si>
  <si>
    <t>Ext_VCC</t>
  </si>
  <si>
    <t>Step 9: IC Power Loss</t>
  </si>
  <si>
    <t>IC Power Dissipation</t>
  </si>
  <si>
    <t>IC Junction Temperature Rise (est)</t>
  </si>
  <si>
    <t>External VCC Applied</t>
  </si>
  <si>
    <r>
      <t>Gate-Source Plateau Voltage, V</t>
    </r>
    <r>
      <rPr>
        <b/>
        <vertAlign val="subscript"/>
        <sz val="10"/>
        <rFont val="Arial"/>
        <family val="2"/>
      </rPr>
      <t>GS(MP)</t>
    </r>
    <r>
      <rPr>
        <b/>
        <sz val="10"/>
        <rFont val="Arial"/>
        <family val="2"/>
      </rPr>
      <t xml:space="preserve"> </t>
    </r>
  </si>
  <si>
    <t>CSD18563Q5D</t>
  </si>
  <si>
    <r>
      <t>Estimate Core Loss at V</t>
    </r>
    <r>
      <rPr>
        <b/>
        <vertAlign val="subscript"/>
        <sz val="10"/>
        <rFont val="Arial"/>
        <family val="2"/>
      </rPr>
      <t>IN(nom)</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</si>
</sst>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176" formatCode="_(* #,##0.00_);_(* \(#,##0.00\);_(* &quot;-&quot;??_);_(@_)"/>
    <numFmt numFmtId="177" formatCode="0.00000"/>
    <numFmt numFmtId="178" formatCode="0.0000"/>
    <numFmt numFmtId="179" formatCode="0.000"/>
    <numFmt numFmtId="180" formatCode="0.0"/>
    <numFmt numFmtId="181" formatCode="0.000E+00"/>
    <numFmt numFmtId="182" formatCode="0.00000000"/>
    <numFmt numFmtId="183" formatCode="0.000000000"/>
    <numFmt numFmtId="184" formatCode="#0.0#"/>
    <numFmt numFmtId="185" formatCode="General&quot;nF&quot;"/>
    <numFmt numFmtId="186" formatCode="General&quot;k&quot;"/>
    <numFmt numFmtId="187" formatCode="General&quot;pF&quot;"/>
    <numFmt numFmtId="188" formatCode="General&quot;µF&quot;"/>
    <numFmt numFmtId="189" formatCode="General&quot;µH&quot;"/>
    <numFmt numFmtId="190" formatCode="&quot;MOSFET, N-CH, 100V, &quot;General&quot;mΩ&quot;"/>
    <numFmt numFmtId="191" formatCode="General&quot;mΩ&quot;"/>
    <numFmt numFmtId="192" formatCode="&quot;Capacitor, Ceramic, &quot;General&quot;pF, 50V, NP0, 5%&quot;"/>
    <numFmt numFmtId="193" formatCode="&quot;Capacitor, Ceramic, &quot;General&quot;pF, 16V, X7R, 10%&quot;"/>
    <numFmt numFmtId="194" formatCode="&quot;Capacitor, Ceramic, &quot;General&quot;µF, 25V, X7R, 20%&quot;"/>
    <numFmt numFmtId="195" formatCode="&quot;Capacitor, Ceramic, &quot;General&quot;nF, 16V, X7R, 10%&quot;"/>
    <numFmt numFmtId="196" formatCode="&quot;Capacitor, Ceramic, &quot;General&quot;µF, 50V, X7R, 20%&quot;"/>
    <numFmt numFmtId="197" formatCode="&quot;Resistor, Chip, &quot;General&quot;kΩ, 1/16W, 1%&quot;"/>
    <numFmt numFmtId="198" formatCode="&quot;Resistor, Chip, &quot;General&quot;Ω, 1/16W, 1%&quot;"/>
    <numFmt numFmtId="199" formatCode="&quot;Resistor, &quot;General&quot;mΩ, 1/4W, 1%&quot;"/>
    <numFmt numFmtId="200" formatCode="&quot;MOSFET, N-CH, 80V/100V, &quot;General&quot;mΩ&quot;"/>
  </numFmts>
  <fonts count="107" x14ac:knownFonts="1">
    <font>
      <sz val="10"/>
      <name val="Arial"/>
    </font>
    <font>
      <sz val="11"/>
      <color theme="1"/>
      <name val="ＭＳ Ｐゴシック"/>
      <family val="2"/>
      <scheme val="minor"/>
    </font>
    <font>
      <sz val="10"/>
      <name val="Arial"/>
      <family val="2"/>
    </font>
    <font>
      <b/>
      <sz val="10"/>
      <name val="Arial"/>
      <family val="2"/>
    </font>
    <font>
      <b/>
      <sz val="22"/>
      <color indexed="44"/>
      <name val="Arial"/>
      <family val="2"/>
    </font>
    <font>
      <sz val="8"/>
      <name val="Arial"/>
      <family val="2"/>
    </font>
    <font>
      <i/>
      <sz val="10"/>
      <name val="Arial"/>
      <family val="2"/>
    </font>
    <font>
      <b/>
      <i/>
      <sz val="10"/>
      <name val="Arial"/>
      <family val="2"/>
    </font>
    <font>
      <sz val="10"/>
      <name val="Arial"/>
      <family val="2"/>
    </font>
    <font>
      <b/>
      <sz val="20"/>
      <color indexed="44"/>
      <name val="Arial"/>
      <family val="2"/>
    </font>
    <font>
      <vertAlign val="subscript"/>
      <sz val="10"/>
      <name val="Arial"/>
      <family val="2"/>
    </font>
    <font>
      <u/>
      <sz val="10"/>
      <color indexed="12"/>
      <name val="Arial"/>
      <family val="2"/>
    </font>
    <font>
      <b/>
      <sz val="16"/>
      <name val="Arial"/>
      <family val="2"/>
    </font>
    <font>
      <sz val="10"/>
      <color indexed="44"/>
      <name val="Arial"/>
      <family val="2"/>
    </font>
    <font>
      <b/>
      <sz val="28"/>
      <color indexed="44"/>
      <name val="Arial"/>
      <family val="2"/>
    </font>
    <font>
      <b/>
      <sz val="10"/>
      <color indexed="44"/>
      <name val="Arial"/>
      <family val="2"/>
    </font>
    <font>
      <sz val="10"/>
      <color indexed="8"/>
      <name val="Arial"/>
      <family val="2"/>
    </font>
    <font>
      <b/>
      <sz val="24"/>
      <color indexed="44"/>
      <name val="Arial"/>
      <family val="2"/>
    </font>
    <font>
      <sz val="10"/>
      <name val="Calibri"/>
      <family val="2"/>
    </font>
    <font>
      <b/>
      <sz val="10"/>
      <name val="Calibri"/>
      <family val="2"/>
    </font>
    <font>
      <sz val="10"/>
      <color indexed="55"/>
      <name val="Calibri"/>
      <family val="2"/>
    </font>
    <font>
      <sz val="10"/>
      <color indexed="8"/>
      <name val="Arial"/>
      <family val="2"/>
    </font>
    <font>
      <b/>
      <sz val="10"/>
      <color indexed="9"/>
      <name val="Calibri"/>
      <family val="2"/>
    </font>
    <font>
      <b/>
      <sz val="12"/>
      <color indexed="48"/>
      <name val="Arial"/>
      <family val="2"/>
    </font>
    <font>
      <b/>
      <sz val="12"/>
      <color indexed="12"/>
      <name val="Arial"/>
      <family val="2"/>
    </font>
    <font>
      <sz val="10"/>
      <color indexed="23"/>
      <name val="Calibri"/>
      <family val="2"/>
    </font>
    <font>
      <b/>
      <sz val="12"/>
      <color indexed="9"/>
      <name val="Calibri"/>
      <family val="2"/>
    </font>
    <font>
      <sz val="12"/>
      <name val="Calibri"/>
      <family val="2"/>
    </font>
    <font>
      <b/>
      <sz val="22"/>
      <color indexed="9"/>
      <name val="Calibri"/>
      <family val="2"/>
    </font>
    <font>
      <b/>
      <u/>
      <sz val="10"/>
      <color indexed="10"/>
      <name val="Arial"/>
      <family val="2"/>
    </font>
    <font>
      <sz val="10"/>
      <color indexed="56"/>
      <name val="Calibri"/>
      <family val="2"/>
    </font>
    <font>
      <sz val="10"/>
      <color indexed="8"/>
      <name val="Arial"/>
      <family val="2"/>
    </font>
    <font>
      <b/>
      <sz val="14"/>
      <color indexed="9"/>
      <name val="Calibri"/>
      <family val="2"/>
    </font>
    <font>
      <sz val="11"/>
      <color indexed="81"/>
      <name val="Tahoma"/>
      <family val="2"/>
    </font>
    <font>
      <b/>
      <i/>
      <sz val="14"/>
      <color indexed="12"/>
      <name val="Calibri"/>
      <family val="2"/>
    </font>
    <font>
      <b/>
      <sz val="8"/>
      <color indexed="81"/>
      <name val="Tahoma"/>
      <family val="2"/>
    </font>
    <font>
      <b/>
      <sz val="9"/>
      <color indexed="81"/>
      <name val="Tahoma"/>
      <family val="2"/>
    </font>
    <font>
      <sz val="8"/>
      <color indexed="81"/>
      <name val="Tahoma"/>
      <family val="2"/>
    </font>
    <font>
      <b/>
      <sz val="10"/>
      <color indexed="81"/>
      <name val="Tahoma"/>
      <family val="2"/>
    </font>
    <font>
      <sz val="9"/>
      <color indexed="81"/>
      <name val="Tahoma"/>
      <family val="2"/>
    </font>
    <font>
      <b/>
      <u/>
      <sz val="8"/>
      <color indexed="81"/>
      <name val="Tahoma"/>
      <family val="2"/>
    </font>
    <font>
      <b/>
      <u/>
      <sz val="9"/>
      <color indexed="81"/>
      <name val="Tahoma"/>
      <family val="2"/>
    </font>
    <font>
      <sz val="11"/>
      <color indexed="10"/>
      <name val="Tahoma"/>
      <family val="2"/>
    </font>
    <font>
      <b/>
      <sz val="11"/>
      <color indexed="10"/>
      <name val="Tahoma"/>
      <family val="2"/>
    </font>
    <font>
      <b/>
      <sz val="9"/>
      <color indexed="10"/>
      <name val="Tahoma"/>
      <family val="2"/>
    </font>
    <font>
      <sz val="10"/>
      <color indexed="81"/>
      <name val="Tahoma"/>
      <family val="2"/>
    </font>
    <font>
      <sz val="9"/>
      <color indexed="39"/>
      <name val="Tahoma"/>
      <family val="2"/>
    </font>
    <font>
      <b/>
      <sz val="9"/>
      <color indexed="39"/>
      <name val="Tahoma"/>
      <family val="2"/>
    </font>
    <font>
      <b/>
      <vertAlign val="subscript"/>
      <sz val="9"/>
      <color indexed="81"/>
      <name val="Tahoma"/>
      <family val="2"/>
    </font>
    <font>
      <vertAlign val="subscript"/>
      <sz val="9"/>
      <color indexed="81"/>
      <name val="Tahoma"/>
      <family val="2"/>
    </font>
    <font>
      <b/>
      <vertAlign val="subscript"/>
      <sz val="10"/>
      <color indexed="81"/>
      <name val="Tahoma"/>
      <family val="2"/>
    </font>
    <font>
      <vertAlign val="subscript"/>
      <sz val="10"/>
      <color indexed="81"/>
      <name val="Tahoma"/>
      <family val="2"/>
    </font>
    <font>
      <sz val="10"/>
      <color indexed="81"/>
      <name val="Calibri"/>
      <family val="2"/>
    </font>
    <font>
      <b/>
      <vertAlign val="subscript"/>
      <sz val="9"/>
      <color indexed="39"/>
      <name val="Tahoma"/>
      <family val="2"/>
    </font>
    <font>
      <b/>
      <vertAlign val="subscript"/>
      <sz val="9"/>
      <color indexed="10"/>
      <name val="Tahoma"/>
      <family val="2"/>
    </font>
    <font>
      <b/>
      <u/>
      <sz val="11"/>
      <color indexed="10"/>
      <name val="Tahoma"/>
      <family val="2"/>
    </font>
    <font>
      <b/>
      <vertAlign val="subscript"/>
      <sz val="10"/>
      <name val="Arial"/>
      <family val="2"/>
    </font>
    <font>
      <sz val="10"/>
      <color indexed="23"/>
      <name val="Arial"/>
      <family val="2"/>
    </font>
    <font>
      <sz val="10"/>
      <color indexed="55"/>
      <name val="Arial"/>
      <family val="2"/>
    </font>
    <font>
      <b/>
      <i/>
      <sz val="10"/>
      <color indexed="55"/>
      <name val="Arial"/>
      <family val="2"/>
    </font>
    <font>
      <b/>
      <i/>
      <sz val="14"/>
      <color indexed="12"/>
      <name val="Arial"/>
      <family val="2"/>
    </font>
    <font>
      <b/>
      <sz val="10"/>
      <color indexed="8"/>
      <name val="Arial"/>
      <family val="2"/>
    </font>
    <font>
      <b/>
      <sz val="14"/>
      <color indexed="9"/>
      <name val="Arial"/>
      <family val="2"/>
    </font>
    <font>
      <b/>
      <sz val="10"/>
      <color rgb="FFFF0000"/>
      <name val="Arial"/>
      <family val="2"/>
    </font>
    <font>
      <b/>
      <i/>
      <sz val="10"/>
      <color indexed="23"/>
      <name val="Arial"/>
      <family val="2"/>
    </font>
    <font>
      <sz val="12"/>
      <name val="Arial"/>
      <family val="2"/>
    </font>
    <font>
      <sz val="10"/>
      <color theme="1"/>
      <name val="Arial"/>
      <family val="2"/>
    </font>
    <font>
      <b/>
      <sz val="10"/>
      <color theme="1"/>
      <name val="Arial"/>
      <family val="2"/>
    </font>
    <font>
      <b/>
      <vertAlign val="subscript"/>
      <sz val="10"/>
      <color theme="1"/>
      <name val="Arial"/>
      <family val="2"/>
    </font>
    <font>
      <b/>
      <sz val="10"/>
      <color rgb="FF0000FF"/>
      <name val="Arial"/>
      <family val="2"/>
    </font>
    <font>
      <sz val="10"/>
      <color rgb="FF0000FF"/>
      <name val="Arial"/>
      <family val="2"/>
    </font>
    <font>
      <sz val="10"/>
      <color rgb="FF0000FF"/>
      <name val="Calibri"/>
      <family val="2"/>
    </font>
    <font>
      <b/>
      <vertAlign val="subscript"/>
      <sz val="10"/>
      <color rgb="FF0000FF"/>
      <name val="Arial"/>
      <family val="2"/>
    </font>
    <font>
      <b/>
      <sz val="12"/>
      <color rgb="FF003366"/>
      <name val="Calibri"/>
      <family val="2"/>
    </font>
    <font>
      <sz val="10"/>
      <name val="Symbol"/>
      <family val="1"/>
      <charset val="2"/>
    </font>
    <font>
      <b/>
      <sz val="10"/>
      <color indexed="9"/>
      <name val="Arial"/>
      <family val="2"/>
    </font>
    <font>
      <b/>
      <sz val="12"/>
      <color rgb="FF0000FF"/>
      <name val="Arial"/>
      <family val="2"/>
    </font>
    <font>
      <b/>
      <u/>
      <sz val="10"/>
      <name val="Arial"/>
      <family val="2"/>
    </font>
    <font>
      <u/>
      <sz val="9"/>
      <color indexed="12"/>
      <name val="Tahoma"/>
      <family val="2"/>
    </font>
    <font>
      <u/>
      <sz val="10"/>
      <color theme="0" tint="-0.499984740745262"/>
      <name val="Arial"/>
      <family val="2"/>
    </font>
    <font>
      <b/>
      <vertAlign val="subscript"/>
      <sz val="12"/>
      <color indexed="12"/>
      <name val="Arial"/>
      <family val="2"/>
    </font>
    <font>
      <vertAlign val="subscript"/>
      <sz val="10"/>
      <color theme="1"/>
      <name val="Arial"/>
      <family val="2"/>
    </font>
    <font>
      <b/>
      <sz val="10"/>
      <color rgb="FFC00000"/>
      <name val="Arial"/>
      <family val="2"/>
    </font>
    <font>
      <b/>
      <vertAlign val="subscript"/>
      <sz val="16"/>
      <name val="Arial"/>
      <family val="2"/>
    </font>
    <font>
      <b/>
      <sz val="10"/>
      <color theme="0"/>
      <name val="Arial"/>
      <family val="2"/>
    </font>
    <font>
      <sz val="10"/>
      <color theme="0"/>
      <name val="Arial"/>
      <family val="2"/>
    </font>
    <font>
      <b/>
      <sz val="10"/>
      <color rgb="FF33CC33"/>
      <name val="Arial"/>
      <family val="2"/>
    </font>
    <font>
      <b/>
      <vertAlign val="superscript"/>
      <sz val="10"/>
      <color theme="0"/>
      <name val="Arial"/>
      <family val="2"/>
    </font>
    <font>
      <b/>
      <sz val="12"/>
      <color rgb="FFFF0000"/>
      <name val="Arial"/>
      <family val="2"/>
    </font>
    <font>
      <b/>
      <vertAlign val="superscript"/>
      <sz val="12"/>
      <color rgb="FFFF0000"/>
      <name val="Arial"/>
      <family val="2"/>
    </font>
    <font>
      <sz val="10"/>
      <color rgb="FFFF0000"/>
      <name val="Arial"/>
      <family val="2"/>
    </font>
    <font>
      <sz val="9"/>
      <name val="Arial"/>
      <family val="2"/>
    </font>
    <font>
      <b/>
      <sz val="12"/>
      <name val="Arial"/>
      <family val="2"/>
    </font>
    <font>
      <b/>
      <sz val="22"/>
      <color rgb="FFFF0000"/>
      <name val="Calibri"/>
      <family val="2"/>
    </font>
    <font>
      <sz val="10"/>
      <color rgb="FFFF0000"/>
      <name val="Calibri"/>
      <family val="2"/>
    </font>
    <font>
      <b/>
      <sz val="10"/>
      <color rgb="FFFF0000"/>
      <name val="Calibri"/>
      <family val="2"/>
    </font>
    <font>
      <b/>
      <sz val="22"/>
      <name val="Calibri"/>
      <family val="2"/>
    </font>
    <font>
      <u/>
      <sz val="10"/>
      <name val="Arial"/>
      <family val="2"/>
    </font>
    <font>
      <sz val="10"/>
      <color theme="0"/>
      <name val="Calibri"/>
      <family val="2"/>
    </font>
    <font>
      <b/>
      <sz val="12"/>
      <color theme="0"/>
      <name val="Calibri"/>
      <family val="2"/>
    </font>
    <font>
      <b/>
      <sz val="11"/>
      <color indexed="81"/>
      <name val="Tahoma"/>
      <family val="2"/>
    </font>
    <font>
      <b/>
      <sz val="9"/>
      <color rgb="FF000000"/>
      <name val="Arial"/>
      <family val="2"/>
    </font>
    <font>
      <sz val="36"/>
      <color rgb="FFFF0000"/>
      <name val="Arial"/>
      <family val="2"/>
    </font>
    <font>
      <sz val="16"/>
      <color theme="0"/>
      <name val="Arial"/>
      <family val="2"/>
    </font>
    <font>
      <sz val="28"/>
      <color theme="0"/>
      <name val="Arial"/>
      <family val="2"/>
    </font>
    <font>
      <sz val="10"/>
      <name val="Arial"/>
      <family val="2"/>
    </font>
    <font>
      <sz val="6"/>
      <name val="ＭＳ Ｐゴシック"/>
      <family val="3"/>
      <charset val="128"/>
    </font>
  </fonts>
  <fills count="26">
    <fill>
      <patternFill patternType="none"/>
    </fill>
    <fill>
      <patternFill patternType="gray125"/>
    </fill>
    <fill>
      <patternFill patternType="solid">
        <fgColor indexed="44"/>
        <bgColor indexed="64"/>
      </patternFill>
    </fill>
    <fill>
      <patternFill patternType="solid">
        <fgColor indexed="8"/>
        <bgColor indexed="64"/>
      </patternFill>
    </fill>
    <fill>
      <patternFill patternType="solid">
        <fgColor indexed="22"/>
        <bgColor indexed="64"/>
      </patternFill>
    </fill>
    <fill>
      <patternFill patternType="solid">
        <fgColor indexed="55"/>
        <bgColor indexed="64"/>
      </patternFill>
    </fill>
    <fill>
      <patternFill patternType="solid">
        <fgColor indexed="45"/>
        <bgColor indexed="64"/>
      </patternFill>
    </fill>
    <fill>
      <patternFill patternType="solid">
        <fgColor indexed="46"/>
        <bgColor indexed="64"/>
      </patternFill>
    </fill>
    <fill>
      <patternFill patternType="solid">
        <fgColor indexed="11"/>
        <bgColor indexed="64"/>
      </patternFill>
    </fill>
    <fill>
      <patternFill patternType="solid">
        <fgColor indexed="42"/>
        <bgColor indexed="64"/>
      </patternFill>
    </fill>
    <fill>
      <patternFill patternType="solid">
        <fgColor indexed="9"/>
        <bgColor indexed="64"/>
      </patternFill>
    </fill>
    <fill>
      <patternFill patternType="solid">
        <fgColor indexed="13"/>
        <bgColor indexed="64"/>
      </patternFill>
    </fill>
    <fill>
      <patternFill patternType="solid">
        <fgColor indexed="41"/>
        <bgColor indexed="64"/>
      </patternFill>
    </fill>
    <fill>
      <patternFill patternType="solid">
        <fgColor indexed="52"/>
        <bgColor indexed="64"/>
      </patternFill>
    </fill>
    <fill>
      <patternFill patternType="solid">
        <fgColor indexed="50"/>
        <bgColor indexed="64"/>
      </patternFill>
    </fill>
    <fill>
      <patternFill patternType="solid">
        <fgColor indexed="47"/>
        <bgColor indexed="64"/>
      </patternFill>
    </fill>
    <fill>
      <patternFill patternType="solid">
        <fgColor indexed="56"/>
        <bgColor indexed="64"/>
      </patternFill>
    </fill>
    <fill>
      <patternFill patternType="solid">
        <fgColor indexed="23"/>
        <bgColor indexed="64"/>
      </patternFill>
    </fill>
    <fill>
      <patternFill patternType="solid">
        <fgColor indexed="53"/>
        <bgColor indexed="64"/>
      </patternFill>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theme="0" tint="-0.499984740745262"/>
        <bgColor indexed="64"/>
      </patternFill>
    </fill>
  </fills>
  <borders count="6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55"/>
      </top>
      <bottom/>
      <diagonal/>
    </border>
    <border>
      <left/>
      <right/>
      <top/>
      <bottom style="medium">
        <color indexed="55"/>
      </bottom>
      <diagonal/>
    </border>
    <border>
      <left/>
      <right style="medium">
        <color indexed="55"/>
      </right>
      <top style="medium">
        <color indexed="55"/>
      </top>
      <bottom/>
      <diagonal/>
    </border>
    <border>
      <left/>
      <right style="medium">
        <color indexed="55"/>
      </right>
      <top/>
      <bottom/>
      <diagonal/>
    </border>
    <border>
      <left/>
      <right style="medium">
        <color indexed="55"/>
      </right>
      <top/>
      <bottom style="medium">
        <color indexed="55"/>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55"/>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indexed="64"/>
      </top>
      <bottom style="medium">
        <color indexed="64"/>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auto="1"/>
      </left>
      <right/>
      <top/>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right style="thin">
        <color indexed="64"/>
      </right>
      <top/>
      <bottom/>
      <diagonal/>
    </border>
    <border>
      <left/>
      <right/>
      <top style="thin">
        <color indexed="64"/>
      </top>
      <bottom style="medium">
        <color indexed="64"/>
      </bottom>
      <diagonal/>
    </border>
  </borders>
  <cellStyleXfs count="6">
    <xf numFmtId="0" fontId="0" fillId="0" borderId="0"/>
    <xf numFmtId="0" fontId="11" fillId="0" borderId="0" applyNumberFormat="0" applyFill="0" applyBorder="0" applyAlignment="0" applyProtection="0">
      <alignment vertical="top"/>
      <protection locked="0"/>
    </xf>
    <xf numFmtId="0" fontId="2" fillId="0" borderId="0"/>
    <xf numFmtId="0" fontId="1" fillId="0" borderId="0"/>
    <xf numFmtId="176" fontId="1" fillId="0" borderId="0" applyFont="0" applyFill="0" applyBorder="0" applyAlignment="0" applyProtection="0"/>
    <xf numFmtId="176" fontId="105" fillId="0" borderId="0" applyFont="0" applyFill="0" applyBorder="0" applyAlignment="0" applyProtection="0"/>
  </cellStyleXfs>
  <cellXfs count="568">
    <xf numFmtId="0" fontId="0" fillId="0" borderId="0" xfId="0"/>
    <xf numFmtId="0" fontId="7" fillId="0" borderId="0" xfId="0" applyFont="1"/>
    <xf numFmtId="0" fontId="3" fillId="0" borderId="0" xfId="0" applyFont="1"/>
    <xf numFmtId="0" fontId="8" fillId="0" borderId="0" xfId="0" applyFont="1"/>
    <xf numFmtId="2" fontId="0" fillId="0" borderId="0" xfId="0" applyNumberFormat="1"/>
    <xf numFmtId="0" fontId="0" fillId="2" borderId="0" xfId="0" applyFill="1"/>
    <xf numFmtId="0" fontId="0" fillId="3" borderId="0" xfId="0" applyFill="1"/>
    <xf numFmtId="0" fontId="3" fillId="2" borderId="0" xfId="0" applyFont="1" applyFill="1"/>
    <xf numFmtId="0" fontId="12" fillId="2" borderId="0" xfId="0" applyFont="1" applyFill="1"/>
    <xf numFmtId="181" fontId="0" fillId="0" borderId="0" xfId="0" applyNumberFormat="1"/>
    <xf numFmtId="10" fontId="0" fillId="0" borderId="0" xfId="0" applyNumberFormat="1"/>
    <xf numFmtId="0" fontId="15" fillId="3" borderId="0" xfId="0" applyFont="1" applyFill="1" applyAlignment="1">
      <alignment horizontal="right"/>
    </xf>
    <xf numFmtId="0" fontId="15" fillId="3" borderId="0" xfId="0" applyFont="1" applyFill="1"/>
    <xf numFmtId="0" fontId="7" fillId="4" borderId="1" xfId="0" applyFont="1" applyFill="1" applyBorder="1"/>
    <xf numFmtId="0" fontId="7" fillId="4" borderId="2" xfId="0" applyFont="1" applyFill="1" applyBorder="1"/>
    <xf numFmtId="0" fontId="0" fillId="4" borderId="3" xfId="0" applyFill="1" applyBorder="1"/>
    <xf numFmtId="0" fontId="16" fillId="4" borderId="3" xfId="0" applyFont="1" applyFill="1" applyBorder="1"/>
    <xf numFmtId="181" fontId="7" fillId="4" borderId="2" xfId="0" applyNumberFormat="1" applyFont="1" applyFill="1" applyBorder="1" applyAlignment="1">
      <alignment horizontal="center"/>
    </xf>
    <xf numFmtId="0" fontId="0" fillId="4" borderId="2" xfId="0" applyFill="1" applyBorder="1"/>
    <xf numFmtId="0" fontId="17" fillId="3" borderId="4" xfId="0" applyFont="1" applyFill="1" applyBorder="1"/>
    <xf numFmtId="0" fontId="3" fillId="2" borderId="5" xfId="0" applyFont="1" applyFill="1" applyBorder="1" applyAlignment="1">
      <alignment horizontal="center" vertical="top" wrapText="1"/>
    </xf>
    <xf numFmtId="0" fontId="3" fillId="2" borderId="6" xfId="0" applyFont="1" applyFill="1" applyBorder="1" applyAlignment="1">
      <alignment horizontal="center" vertical="top" wrapText="1"/>
    </xf>
    <xf numFmtId="0" fontId="3" fillId="2" borderId="7" xfId="0" applyFont="1" applyFill="1" applyBorder="1" applyAlignment="1">
      <alignment horizontal="center" vertical="top" wrapText="1"/>
    </xf>
    <xf numFmtId="181" fontId="3" fillId="2" borderId="6" xfId="0" applyNumberFormat="1" applyFont="1" applyFill="1" applyBorder="1" applyAlignment="1">
      <alignment horizontal="center" vertical="top" wrapText="1"/>
    </xf>
    <xf numFmtId="0" fontId="3" fillId="5" borderId="8" xfId="0" applyFont="1" applyFill="1" applyBorder="1"/>
    <xf numFmtId="0" fontId="3" fillId="5" borderId="9" xfId="0" applyFont="1" applyFill="1" applyBorder="1"/>
    <xf numFmtId="0" fontId="3" fillId="5" borderId="10" xfId="0" applyFont="1" applyFill="1" applyBorder="1"/>
    <xf numFmtId="0" fontId="3" fillId="5" borderId="11" xfId="0" applyFont="1" applyFill="1" applyBorder="1"/>
    <xf numFmtId="0" fontId="8" fillId="0" borderId="0" xfId="0" applyFont="1" applyProtection="1">
      <protection locked="0"/>
    </xf>
    <xf numFmtId="0" fontId="0" fillId="0" borderId="0" xfId="0" applyProtection="1">
      <protection locked="0"/>
    </xf>
    <xf numFmtId="0" fontId="0" fillId="6" borderId="12" xfId="0" applyFill="1" applyBorder="1"/>
    <xf numFmtId="0" fontId="0" fillId="0" borderId="11" xfId="0" applyBorder="1"/>
    <xf numFmtId="0" fontId="0" fillId="6" borderId="11" xfId="0" applyFill="1" applyBorder="1"/>
    <xf numFmtId="0" fontId="0" fillId="4" borderId="11" xfId="0" applyFill="1" applyBorder="1"/>
    <xf numFmtId="0" fontId="3" fillId="5" borderId="0" xfId="0" applyFont="1" applyFill="1"/>
    <xf numFmtId="0" fontId="0" fillId="6" borderId="0" xfId="0" applyFill="1"/>
    <xf numFmtId="0" fontId="0" fillId="0" borderId="13" xfId="0" applyBorder="1"/>
    <xf numFmtId="0" fontId="8" fillId="2" borderId="0" xfId="0" applyFont="1" applyFill="1"/>
    <xf numFmtId="0" fontId="0" fillId="6" borderId="13" xfId="0" applyFill="1" applyBorder="1"/>
    <xf numFmtId="0" fontId="0" fillId="4" borderId="0" xfId="0" applyFill="1"/>
    <xf numFmtId="11" fontId="0" fillId="0" borderId="0" xfId="0" applyNumberFormat="1"/>
    <xf numFmtId="0" fontId="13" fillId="3" borderId="0" xfId="0" applyFont="1" applyFill="1"/>
    <xf numFmtId="0" fontId="0" fillId="4" borderId="12" xfId="0" applyFill="1" applyBorder="1"/>
    <xf numFmtId="0" fontId="0" fillId="4" borderId="14" xfId="0" applyFill="1" applyBorder="1"/>
    <xf numFmtId="0" fontId="3" fillId="4" borderId="11" xfId="0" applyFont="1" applyFill="1" applyBorder="1"/>
    <xf numFmtId="0" fontId="0" fillId="6" borderId="8" xfId="0" applyFill="1" applyBorder="1"/>
    <xf numFmtId="0" fontId="0" fillId="4" borderId="8" xfId="0" applyFill="1" applyBorder="1"/>
    <xf numFmtId="0" fontId="3" fillId="5" borderId="4" xfId="0" applyFont="1" applyFill="1" applyBorder="1"/>
    <xf numFmtId="0" fontId="0" fillId="2" borderId="14" xfId="0" applyFill="1" applyBorder="1"/>
    <xf numFmtId="0" fontId="0" fillId="2" borderId="13" xfId="0" applyFill="1" applyBorder="1"/>
    <xf numFmtId="0" fontId="0" fillId="2" borderId="12" xfId="0" applyFill="1" applyBorder="1"/>
    <xf numFmtId="0" fontId="0" fillId="8" borderId="0" xfId="0" applyFill="1"/>
    <xf numFmtId="0" fontId="0" fillId="9" borderId="0" xfId="0" applyFill="1"/>
    <xf numFmtId="0" fontId="0" fillId="11" borderId="0" xfId="0" applyFill="1"/>
    <xf numFmtId="0" fontId="0" fillId="0" borderId="0" xfId="0" applyAlignment="1">
      <alignment horizontal="right"/>
    </xf>
    <xf numFmtId="0" fontId="18" fillId="0" borderId="0" xfId="0" applyFont="1"/>
    <xf numFmtId="0" fontId="3" fillId="0" borderId="0" xfId="0" applyFont="1" applyAlignment="1">
      <alignment horizontal="center"/>
    </xf>
    <xf numFmtId="184" fontId="21" fillId="0" borderId="0" xfId="0" applyNumberFormat="1" applyFont="1" applyAlignment="1">
      <alignment horizontal="center"/>
    </xf>
    <xf numFmtId="184" fontId="8" fillId="0" borderId="0" xfId="0" applyNumberFormat="1" applyFont="1" applyAlignment="1">
      <alignment horizontal="center"/>
    </xf>
    <xf numFmtId="184" fontId="8" fillId="0" borderId="0" xfId="0" applyNumberFormat="1" applyFont="1" applyAlignment="1" applyProtection="1">
      <alignment horizontal="center"/>
      <protection locked="0"/>
    </xf>
    <xf numFmtId="11" fontId="7" fillId="0" borderId="0" xfId="0" applyNumberFormat="1" applyFont="1"/>
    <xf numFmtId="184" fontId="0" fillId="0" borderId="0" xfId="0" applyNumberFormat="1"/>
    <xf numFmtId="0" fontId="0" fillId="12" borderId="0" xfId="0" applyFill="1"/>
    <xf numFmtId="180" fontId="0" fillId="0" borderId="0" xfId="0" applyNumberFormat="1"/>
    <xf numFmtId="0" fontId="3" fillId="4" borderId="0" xfId="0" applyFont="1" applyFill="1" applyAlignment="1">
      <alignment horizontal="center"/>
    </xf>
    <xf numFmtId="0" fontId="3" fillId="13" borderId="0" xfId="0" applyFont="1" applyFill="1" applyAlignment="1">
      <alignment horizontal="center"/>
    </xf>
    <xf numFmtId="0" fontId="3" fillId="14" borderId="0" xfId="0" applyFont="1" applyFill="1" applyAlignment="1">
      <alignment horizontal="center"/>
    </xf>
    <xf numFmtId="181" fontId="7" fillId="4" borderId="1" xfId="0" applyNumberFormat="1" applyFont="1" applyFill="1" applyBorder="1" applyAlignment="1">
      <alignment horizontal="center"/>
    </xf>
    <xf numFmtId="0" fontId="0" fillId="4" borderId="18" xfId="0" applyFill="1" applyBorder="1"/>
    <xf numFmtId="0" fontId="7" fillId="4" borderId="3" xfId="0" applyFont="1" applyFill="1" applyBorder="1"/>
    <xf numFmtId="0" fontId="7" fillId="4" borderId="19" xfId="0" applyFont="1" applyFill="1" applyBorder="1" applyAlignment="1">
      <alignment horizontal="left"/>
    </xf>
    <xf numFmtId="0" fontId="7" fillId="4" borderId="20" xfId="0" applyFont="1" applyFill="1" applyBorder="1" applyAlignment="1">
      <alignment horizontal="left"/>
    </xf>
    <xf numFmtId="0" fontId="0" fillId="4" borderId="20" xfId="0" applyFill="1" applyBorder="1"/>
    <xf numFmtId="0" fontId="0" fillId="4" borderId="21" xfId="0" applyFill="1" applyBorder="1"/>
    <xf numFmtId="0" fontId="3" fillId="7" borderId="7" xfId="0" applyFont="1" applyFill="1" applyBorder="1" applyAlignment="1">
      <alignment horizontal="center" vertical="top" wrapText="1"/>
    </xf>
    <xf numFmtId="181" fontId="3" fillId="2" borderId="5" xfId="0" applyNumberFormat="1" applyFont="1" applyFill="1" applyBorder="1" applyAlignment="1">
      <alignment horizontal="center" vertical="top" wrapText="1"/>
    </xf>
    <xf numFmtId="0" fontId="3" fillId="2" borderId="22" xfId="0" applyFont="1" applyFill="1" applyBorder="1" applyAlignment="1">
      <alignment horizontal="center" vertical="top" wrapText="1"/>
    </xf>
    <xf numFmtId="0" fontId="3" fillId="7" borderId="23" xfId="0" applyFont="1" applyFill="1" applyBorder="1" applyAlignment="1">
      <alignment horizontal="center" vertical="top" wrapText="1"/>
    </xf>
    <xf numFmtId="0" fontId="3" fillId="7" borderId="24" xfId="0" applyFont="1" applyFill="1" applyBorder="1" applyAlignment="1">
      <alignment horizontal="center" vertical="top" wrapText="1"/>
    </xf>
    <xf numFmtId="0" fontId="3" fillId="2" borderId="25" xfId="0" applyFont="1" applyFill="1" applyBorder="1" applyAlignment="1">
      <alignment horizontal="center" vertical="top" wrapText="1"/>
    </xf>
    <xf numFmtId="0" fontId="3" fillId="2" borderId="26" xfId="0" applyFont="1" applyFill="1" applyBorder="1" applyAlignment="1">
      <alignment horizontal="center" vertical="top" wrapText="1"/>
    </xf>
    <xf numFmtId="0" fontId="3" fillId="2" borderId="27" xfId="0" applyFont="1" applyFill="1" applyBorder="1" applyAlignment="1">
      <alignment horizontal="center" vertical="top" wrapText="1"/>
    </xf>
    <xf numFmtId="0" fontId="3" fillId="7" borderId="28" xfId="0" applyFont="1" applyFill="1" applyBorder="1" applyAlignment="1">
      <alignment horizontal="center" vertical="top" wrapText="1"/>
    </xf>
    <xf numFmtId="0" fontId="3" fillId="15" borderId="5" xfId="0" applyFont="1" applyFill="1" applyBorder="1" applyAlignment="1">
      <alignment horizontal="center" vertical="top" wrapText="1"/>
    </xf>
    <xf numFmtId="2" fontId="3" fillId="15" borderId="6" xfId="0" applyNumberFormat="1" applyFont="1" applyFill="1" applyBorder="1" applyAlignment="1">
      <alignment horizontal="center" vertical="top" wrapText="1"/>
    </xf>
    <xf numFmtId="184" fontId="18" fillId="3" borderId="0" xfId="0" applyNumberFormat="1" applyFont="1" applyFill="1" applyAlignment="1">
      <alignment horizontal="center"/>
    </xf>
    <xf numFmtId="184" fontId="27" fillId="3" borderId="0" xfId="0" applyNumberFormat="1" applyFont="1" applyFill="1" applyAlignment="1">
      <alignment horizontal="center"/>
    </xf>
    <xf numFmtId="0" fontId="0" fillId="0" borderId="29" xfId="0" applyBorder="1"/>
    <xf numFmtId="0" fontId="0" fillId="0" borderId="30" xfId="0" applyBorder="1"/>
    <xf numFmtId="0" fontId="8" fillId="0" borderId="29" xfId="0" applyFont="1" applyBorder="1"/>
    <xf numFmtId="0" fontId="0" fillId="14" borderId="0" xfId="0" applyFill="1"/>
    <xf numFmtId="0" fontId="0" fillId="0" borderId="31" xfId="0" applyBorder="1"/>
    <xf numFmtId="0" fontId="0" fillId="0" borderId="32" xfId="0" applyBorder="1"/>
    <xf numFmtId="0" fontId="0" fillId="0" borderId="33" xfId="0" applyBorder="1"/>
    <xf numFmtId="0" fontId="0" fillId="0" borderId="2" xfId="0" applyBorder="1"/>
    <xf numFmtId="0" fontId="0" fillId="0" borderId="3" xfId="0" applyBorder="1"/>
    <xf numFmtId="0" fontId="7" fillId="0" borderId="29" xfId="0" applyFont="1" applyBorder="1"/>
    <xf numFmtId="0" fontId="7" fillId="13" borderId="0" xfId="0" applyFont="1" applyFill="1"/>
    <xf numFmtId="0" fontId="8" fillId="13" borderId="0" xfId="0" applyFont="1" applyFill="1"/>
    <xf numFmtId="0" fontId="3" fillId="0" borderId="29" xfId="0" applyFont="1" applyBorder="1"/>
    <xf numFmtId="0" fontId="3" fillId="0" borderId="31" xfId="0" applyFont="1" applyBorder="1"/>
    <xf numFmtId="0" fontId="7" fillId="13" borderId="32" xfId="0" applyFont="1" applyFill="1" applyBorder="1"/>
    <xf numFmtId="11" fontId="0" fillId="14" borderId="0" xfId="0" applyNumberFormat="1" applyFill="1"/>
    <xf numFmtId="0" fontId="0" fillId="13" borderId="0" xfId="0" applyFill="1"/>
    <xf numFmtId="1" fontId="3" fillId="13" borderId="0" xfId="0" applyNumberFormat="1" applyFont="1" applyFill="1" applyAlignment="1">
      <alignment horizontal="right"/>
    </xf>
    <xf numFmtId="0" fontId="3" fillId="13" borderId="0" xfId="0" applyFont="1" applyFill="1"/>
    <xf numFmtId="11" fontId="0" fillId="13" borderId="0" xfId="0" applyNumberFormat="1" applyFill="1"/>
    <xf numFmtId="180" fontId="0" fillId="13" borderId="32" xfId="0" applyNumberFormat="1" applyFill="1" applyBorder="1"/>
    <xf numFmtId="0" fontId="7" fillId="0" borderId="31" xfId="0" applyFont="1" applyBorder="1"/>
    <xf numFmtId="0" fontId="0" fillId="4" borderId="32" xfId="0" applyFill="1" applyBorder="1"/>
    <xf numFmtId="183" fontId="0" fillId="13" borderId="0" xfId="0" applyNumberFormat="1" applyFill="1"/>
    <xf numFmtId="0" fontId="0" fillId="0" borderId="32" xfId="0" applyBorder="1" applyAlignment="1">
      <alignment horizontal="right"/>
    </xf>
    <xf numFmtId="0" fontId="0" fillId="5" borderId="0" xfId="0" applyFill="1"/>
    <xf numFmtId="11" fontId="7" fillId="0" borderId="32" xfId="0" applyNumberFormat="1" applyFont="1" applyBorder="1"/>
    <xf numFmtId="11" fontId="0" fillId="4" borderId="0" xfId="0" applyNumberFormat="1" applyFill="1"/>
    <xf numFmtId="0" fontId="0" fillId="2" borderId="0" xfId="0" applyFill="1" applyProtection="1">
      <protection locked="0"/>
    </xf>
    <xf numFmtId="0" fontId="0" fillId="2" borderId="11" xfId="0" applyFill="1" applyBorder="1" applyProtection="1">
      <protection locked="0"/>
    </xf>
    <xf numFmtId="0" fontId="0" fillId="10" borderId="0" xfId="0" applyFill="1"/>
    <xf numFmtId="0" fontId="0" fillId="4" borderId="13" xfId="0" applyFill="1" applyBorder="1"/>
    <xf numFmtId="0" fontId="0" fillId="7" borderId="11" xfId="0" applyFill="1" applyBorder="1"/>
    <xf numFmtId="0" fontId="16" fillId="7" borderId="11" xfId="0" applyFont="1" applyFill="1" applyBorder="1"/>
    <xf numFmtId="0" fontId="8" fillId="7" borderId="11" xfId="0" applyFont="1" applyFill="1" applyBorder="1"/>
    <xf numFmtId="0" fontId="8" fillId="10" borderId="11" xfId="0" applyFont="1" applyFill="1" applyBorder="1"/>
    <xf numFmtId="0" fontId="18" fillId="3" borderId="0" xfId="0" applyFont="1" applyFill="1"/>
    <xf numFmtId="0" fontId="19" fillId="10" borderId="0" xfId="0" applyFont="1" applyFill="1"/>
    <xf numFmtId="0" fontId="18" fillId="10" borderId="0" xfId="0" applyFont="1" applyFill="1" applyAlignment="1">
      <alignment horizontal="right"/>
    </xf>
    <xf numFmtId="0" fontId="19" fillId="10" borderId="0" xfId="0" applyFont="1" applyFill="1" applyAlignment="1">
      <alignment horizontal="right"/>
    </xf>
    <xf numFmtId="0" fontId="18" fillId="10" borderId="0" xfId="0" applyFont="1" applyFill="1"/>
    <xf numFmtId="0" fontId="27" fillId="16" borderId="20" xfId="0" applyFont="1" applyFill="1" applyBorder="1"/>
    <xf numFmtId="0" fontId="27" fillId="16" borderId="21" xfId="0" applyFont="1" applyFill="1" applyBorder="1"/>
    <xf numFmtId="0" fontId="27" fillId="3" borderId="0" xfId="0" applyFont="1" applyFill="1"/>
    <xf numFmtId="0" fontId="18" fillId="10" borderId="0" xfId="0" applyFont="1" applyFill="1" applyAlignment="1">
      <alignment horizontal="center"/>
    </xf>
    <xf numFmtId="0" fontId="18" fillId="10" borderId="0" xfId="0" applyFont="1" applyFill="1" applyAlignment="1">
      <alignment horizontal="left"/>
    </xf>
    <xf numFmtId="0" fontId="23" fillId="0" borderId="0" xfId="0" applyFont="1"/>
    <xf numFmtId="0" fontId="0" fillId="0" borderId="1" xfId="0" applyBorder="1"/>
    <xf numFmtId="0" fontId="7" fillId="0" borderId="1" xfId="0" applyFont="1" applyBorder="1"/>
    <xf numFmtId="0" fontId="3" fillId="0" borderId="1" xfId="0" applyFont="1" applyBorder="1"/>
    <xf numFmtId="2" fontId="7" fillId="4" borderId="2" xfId="0" applyNumberFormat="1" applyFont="1" applyFill="1" applyBorder="1"/>
    <xf numFmtId="0" fontId="0" fillId="0" borderId="2" xfId="0" applyBorder="1" applyAlignment="1">
      <alignment horizontal="right"/>
    </xf>
    <xf numFmtId="0" fontId="24" fillId="0" borderId="0" xfId="0" applyFont="1"/>
    <xf numFmtId="0" fontId="0" fillId="17" borderId="0" xfId="0" applyFill="1"/>
    <xf numFmtId="2" fontId="0" fillId="18" borderId="0" xfId="0" applyNumberFormat="1" applyFill="1"/>
    <xf numFmtId="0" fontId="31" fillId="0" borderId="0" xfId="0" applyFont="1"/>
    <xf numFmtId="0" fontId="31" fillId="4" borderId="0" xfId="0" applyFont="1" applyFill="1"/>
    <xf numFmtId="0" fontId="23" fillId="0" borderId="39" xfId="0" applyFont="1" applyBorder="1"/>
    <xf numFmtId="0" fontId="0" fillId="0" borderId="34" xfId="0" applyBorder="1"/>
    <xf numFmtId="0" fontId="0" fillId="0" borderId="36" xfId="0" applyBorder="1"/>
    <xf numFmtId="0" fontId="8" fillId="0" borderId="40" xfId="0" applyFont="1" applyBorder="1"/>
    <xf numFmtId="0" fontId="0" fillId="0" borderId="37" xfId="0" applyBorder="1"/>
    <xf numFmtId="0" fontId="31" fillId="0" borderId="40" xfId="0" applyFont="1" applyBorder="1"/>
    <xf numFmtId="0" fontId="31" fillId="0" borderId="41" xfId="0" applyFont="1" applyBorder="1"/>
    <xf numFmtId="0" fontId="31" fillId="0" borderId="35" xfId="0" applyFont="1" applyBorder="1"/>
    <xf numFmtId="0" fontId="0" fillId="0" borderId="35" xfId="0" applyBorder="1"/>
    <xf numFmtId="0" fontId="0" fillId="0" borderId="38" xfId="0" applyBorder="1"/>
    <xf numFmtId="0" fontId="31" fillId="18" borderId="0" xfId="0" applyFont="1" applyFill="1"/>
    <xf numFmtId="0" fontId="0" fillId="18" borderId="0" xfId="0" applyFill="1"/>
    <xf numFmtId="0" fontId="31" fillId="18" borderId="35" xfId="0" applyFont="1" applyFill="1" applyBorder="1"/>
    <xf numFmtId="0" fontId="8" fillId="0" borderId="32" xfId="0" applyFont="1" applyBorder="1"/>
    <xf numFmtId="0" fontId="8" fillId="14" borderId="0" xfId="0" applyFont="1" applyFill="1"/>
    <xf numFmtId="0" fontId="18" fillId="10" borderId="30" xfId="0" applyFont="1" applyFill="1" applyBorder="1"/>
    <xf numFmtId="0" fontId="20" fillId="10" borderId="0" xfId="0" applyFont="1" applyFill="1"/>
    <xf numFmtId="2" fontId="18" fillId="10" borderId="0" xfId="0" applyNumberFormat="1" applyFont="1" applyFill="1"/>
    <xf numFmtId="179" fontId="18" fillId="10" borderId="0" xfId="0" applyNumberFormat="1" applyFont="1" applyFill="1"/>
    <xf numFmtId="182" fontId="18" fillId="10" borderId="0" xfId="0" applyNumberFormat="1" applyFont="1" applyFill="1"/>
    <xf numFmtId="178" fontId="18" fillId="10" borderId="0" xfId="0" applyNumberFormat="1" applyFont="1" applyFill="1"/>
    <xf numFmtId="2" fontId="7" fillId="4" borderId="0" xfId="0" applyNumberFormat="1" applyFont="1" applyFill="1"/>
    <xf numFmtId="180" fontId="0" fillId="13" borderId="0" xfId="0" applyNumberFormat="1" applyFill="1"/>
    <xf numFmtId="0" fontId="11" fillId="0" borderId="0" xfId="1" applyAlignment="1" applyProtection="1"/>
    <xf numFmtId="2" fontId="31" fillId="13" borderId="0" xfId="0" applyNumberFormat="1" applyFont="1" applyFill="1"/>
    <xf numFmtId="179" fontId="31" fillId="18" borderId="0" xfId="0" applyNumberFormat="1" applyFont="1" applyFill="1"/>
    <xf numFmtId="0" fontId="18" fillId="19" borderId="0" xfId="0" applyFont="1" applyFill="1"/>
    <xf numFmtId="0" fontId="2" fillId="0" borderId="0" xfId="0" applyFont="1"/>
    <xf numFmtId="2" fontId="2" fillId="0" borderId="0" xfId="0" quotePrefix="1" applyNumberFormat="1" applyFont="1"/>
    <xf numFmtId="0" fontId="0" fillId="0" borderId="0" xfId="0" applyAlignment="1">
      <alignment horizontal="left"/>
    </xf>
    <xf numFmtId="0" fontId="2" fillId="0" borderId="2" xfId="0" applyFont="1" applyBorder="1"/>
    <xf numFmtId="0" fontId="2" fillId="0" borderId="32" xfId="0" applyFont="1" applyBorder="1"/>
    <xf numFmtId="0" fontId="34" fillId="10" borderId="0" xfId="0" applyFont="1" applyFill="1"/>
    <xf numFmtId="0" fontId="22" fillId="22" borderId="0" xfId="0" applyFont="1" applyFill="1" applyAlignment="1">
      <alignment vertical="center"/>
    </xf>
    <xf numFmtId="0" fontId="0" fillId="21" borderId="0" xfId="0" applyFill="1"/>
    <xf numFmtId="0" fontId="25" fillId="10" borderId="0" xfId="0" applyFont="1" applyFill="1" applyAlignment="1">
      <alignment horizontal="right"/>
    </xf>
    <xf numFmtId="0" fontId="3" fillId="10" borderId="0" xfId="0" applyFont="1" applyFill="1" applyAlignment="1">
      <alignment horizontal="right"/>
    </xf>
    <xf numFmtId="0" fontId="2" fillId="10" borderId="0" xfId="0" applyFont="1" applyFill="1" applyAlignment="1">
      <alignment horizontal="right"/>
    </xf>
    <xf numFmtId="0" fontId="2" fillId="10" borderId="32" xfId="0" applyFont="1" applyFill="1" applyBorder="1" applyAlignment="1">
      <alignment horizontal="right"/>
    </xf>
    <xf numFmtId="0" fontId="2" fillId="10" borderId="29" xfId="0" applyFont="1" applyFill="1" applyBorder="1"/>
    <xf numFmtId="0" fontId="2" fillId="10" borderId="0" xfId="0" applyFont="1" applyFill="1"/>
    <xf numFmtId="0" fontId="3" fillId="22" borderId="0" xfId="0" applyFont="1" applyFill="1" applyProtection="1">
      <protection locked="0"/>
    </xf>
    <xf numFmtId="0" fontId="58" fillId="10" borderId="0" xfId="0" applyFont="1" applyFill="1"/>
    <xf numFmtId="1" fontId="3" fillId="22" borderId="0" xfId="0" applyNumberFormat="1" applyFont="1" applyFill="1" applyProtection="1">
      <protection locked="0"/>
    </xf>
    <xf numFmtId="0" fontId="59" fillId="10" borderId="0" xfId="0" applyFont="1" applyFill="1"/>
    <xf numFmtId="0" fontId="6" fillId="10" borderId="0" xfId="0" applyFont="1" applyFill="1" applyAlignment="1">
      <alignment horizontal="right"/>
    </xf>
    <xf numFmtId="0" fontId="57" fillId="10" borderId="0" xfId="0" applyFont="1" applyFill="1"/>
    <xf numFmtId="0" fontId="60" fillId="10" borderId="0" xfId="0" applyFont="1" applyFill="1"/>
    <xf numFmtId="0" fontId="3" fillId="10" borderId="0" xfId="0" applyFont="1" applyFill="1"/>
    <xf numFmtId="180" fontId="3" fillId="10" borderId="0" xfId="0" applyNumberFormat="1" applyFont="1" applyFill="1"/>
    <xf numFmtId="0" fontId="2" fillId="19" borderId="0" xfId="0" applyFont="1" applyFill="1"/>
    <xf numFmtId="0" fontId="3" fillId="10" borderId="29" xfId="0" applyFont="1" applyFill="1" applyBorder="1"/>
    <xf numFmtId="0" fontId="60" fillId="19" borderId="0" xfId="0" applyFont="1" applyFill="1"/>
    <xf numFmtId="1" fontId="57" fillId="10" borderId="0" xfId="0" applyNumberFormat="1" applyFont="1" applyFill="1" applyAlignment="1">
      <alignment horizontal="right"/>
    </xf>
    <xf numFmtId="0" fontId="62" fillId="16" borderId="20" xfId="0" applyFont="1" applyFill="1" applyBorder="1"/>
    <xf numFmtId="0" fontId="60" fillId="10" borderId="0" xfId="0" applyFont="1" applyFill="1" applyAlignment="1">
      <alignment vertical="center"/>
    </xf>
    <xf numFmtId="0" fontId="7" fillId="10" borderId="0" xfId="0" applyFont="1" applyFill="1" applyAlignment="1">
      <alignment horizontal="right"/>
    </xf>
    <xf numFmtId="180" fontId="7" fillId="10" borderId="0" xfId="0" applyNumberFormat="1" applyFont="1" applyFill="1"/>
    <xf numFmtId="0" fontId="7" fillId="10" borderId="0" xfId="0" applyFont="1" applyFill="1"/>
    <xf numFmtId="180" fontId="3" fillId="19" borderId="0" xfId="0" applyNumberFormat="1" applyFont="1" applyFill="1" applyAlignment="1">
      <alignment horizontal="right" vertical="center"/>
    </xf>
    <xf numFmtId="180" fontId="2" fillId="19" borderId="0" xfId="0" applyNumberFormat="1" applyFont="1" applyFill="1" applyAlignment="1">
      <alignment horizontal="right"/>
    </xf>
    <xf numFmtId="0" fontId="2" fillId="19" borderId="0" xfId="0" applyFont="1" applyFill="1" applyAlignment="1">
      <alignment horizontal="left"/>
    </xf>
    <xf numFmtId="1" fontId="3" fillId="19" borderId="0" xfId="0" applyNumberFormat="1" applyFont="1" applyFill="1" applyAlignment="1">
      <alignment horizontal="right" vertical="center"/>
    </xf>
    <xf numFmtId="1" fontId="2" fillId="19" borderId="0" xfId="0" applyNumberFormat="1" applyFont="1" applyFill="1" applyAlignment="1">
      <alignment horizontal="right"/>
    </xf>
    <xf numFmtId="1" fontId="3" fillId="19" borderId="0" xfId="0" applyNumberFormat="1" applyFont="1" applyFill="1" applyAlignment="1" applyProtection="1">
      <alignment horizontal="right" vertical="center"/>
      <protection locked="0" hidden="1"/>
    </xf>
    <xf numFmtId="0" fontId="3" fillId="10" borderId="0" xfId="0" applyFont="1" applyFill="1" applyAlignment="1">
      <alignment horizontal="left"/>
    </xf>
    <xf numFmtId="0" fontId="63" fillId="10" borderId="0" xfId="0" applyFont="1" applyFill="1"/>
    <xf numFmtId="0" fontId="2" fillId="10" borderId="0" xfId="0" applyFont="1" applyFill="1" applyAlignment="1">
      <alignment horizontal="left"/>
    </xf>
    <xf numFmtId="0" fontId="61" fillId="22" borderId="0" xfId="0" applyFont="1" applyFill="1" applyAlignment="1" applyProtection="1">
      <alignment horizontal="right"/>
      <protection locked="0" hidden="1"/>
    </xf>
    <xf numFmtId="0" fontId="65" fillId="16" borderId="20" xfId="0" applyFont="1" applyFill="1" applyBorder="1"/>
    <xf numFmtId="0" fontId="24" fillId="10" borderId="29" xfId="0" applyFont="1" applyFill="1" applyBorder="1"/>
    <xf numFmtId="2" fontId="2" fillId="10" borderId="0" xfId="0" applyNumberFormat="1" applyFont="1" applyFill="1"/>
    <xf numFmtId="180" fontId="2" fillId="10" borderId="0" xfId="0" applyNumberFormat="1" applyFont="1" applyFill="1"/>
    <xf numFmtId="1" fontId="2" fillId="10" borderId="0" xfId="0" applyNumberFormat="1" applyFont="1" applyFill="1"/>
    <xf numFmtId="1" fontId="2" fillId="10" borderId="0" xfId="0" applyNumberFormat="1" applyFont="1" applyFill="1" applyAlignment="1">
      <alignment horizontal="right"/>
    </xf>
    <xf numFmtId="0" fontId="67" fillId="10" borderId="0" xfId="0" applyFont="1" applyFill="1" applyAlignment="1">
      <alignment horizontal="right"/>
    </xf>
    <xf numFmtId="1" fontId="67" fillId="22" borderId="0" xfId="0" applyNumberFormat="1" applyFont="1" applyFill="1" applyAlignment="1" applyProtection="1">
      <alignment horizontal="right"/>
      <protection locked="0"/>
    </xf>
    <xf numFmtId="0" fontId="67" fillId="22" borderId="0" xfId="0" applyFont="1" applyFill="1" applyProtection="1">
      <protection locked="0"/>
    </xf>
    <xf numFmtId="180" fontId="67" fillId="22" borderId="0" xfId="0" applyNumberFormat="1" applyFont="1" applyFill="1" applyAlignment="1" applyProtection="1">
      <alignment horizontal="right" vertical="center"/>
      <protection locked="0" hidden="1"/>
    </xf>
    <xf numFmtId="1" fontId="67" fillId="22" borderId="0" xfId="0" applyNumberFormat="1" applyFont="1" applyFill="1" applyAlignment="1" applyProtection="1">
      <alignment horizontal="right" vertical="center"/>
      <protection locked="0" hidden="1"/>
    </xf>
    <xf numFmtId="0" fontId="2" fillId="10" borderId="2" xfId="0" applyFont="1" applyFill="1" applyBorder="1"/>
    <xf numFmtId="0" fontId="2" fillId="10" borderId="2" xfId="0" applyFont="1" applyFill="1" applyBorder="1" applyAlignment="1">
      <alignment horizontal="right"/>
    </xf>
    <xf numFmtId="0" fontId="67" fillId="10" borderId="2" xfId="0" applyFont="1" applyFill="1" applyBorder="1" applyAlignment="1">
      <alignment horizontal="right"/>
    </xf>
    <xf numFmtId="0" fontId="3" fillId="22" borderId="2" xfId="0" applyFont="1" applyFill="1" applyBorder="1" applyProtection="1">
      <protection locked="0"/>
    </xf>
    <xf numFmtId="0" fontId="3" fillId="10" borderId="3" xfId="0" applyFont="1" applyFill="1" applyBorder="1"/>
    <xf numFmtId="0" fontId="3" fillId="10" borderId="30" xfId="0" applyFont="1" applyFill="1" applyBorder="1"/>
    <xf numFmtId="0" fontId="2" fillId="10" borderId="31" xfId="0" applyFont="1" applyFill="1" applyBorder="1"/>
    <xf numFmtId="0" fontId="2" fillId="10" borderId="32" xfId="0" applyFont="1" applyFill="1" applyBorder="1"/>
    <xf numFmtId="0" fontId="2" fillId="10" borderId="33" xfId="0" applyFont="1" applyFill="1" applyBorder="1"/>
    <xf numFmtId="0" fontId="2" fillId="10" borderId="3" xfId="0" applyFont="1" applyFill="1" applyBorder="1"/>
    <xf numFmtId="0" fontId="2" fillId="10" borderId="30" xfId="0" applyFont="1" applyFill="1" applyBorder="1"/>
    <xf numFmtId="180" fontId="2" fillId="10" borderId="32" xfId="0" applyNumberFormat="1" applyFont="1" applyFill="1" applyBorder="1"/>
    <xf numFmtId="0" fontId="3" fillId="10" borderId="2" xfId="0" applyFont="1" applyFill="1" applyBorder="1"/>
    <xf numFmtId="0" fontId="3" fillId="10" borderId="2" xfId="0" applyFont="1" applyFill="1" applyBorder="1" applyAlignment="1">
      <alignment horizontal="right"/>
    </xf>
    <xf numFmtId="1" fontId="3" fillId="22" borderId="2" xfId="0" applyNumberFormat="1" applyFont="1" applyFill="1" applyBorder="1" applyProtection="1">
      <protection locked="0"/>
    </xf>
    <xf numFmtId="0" fontId="67" fillId="19" borderId="2" xfId="0" applyFont="1" applyFill="1" applyBorder="1" applyAlignment="1">
      <alignment horizontal="right"/>
    </xf>
    <xf numFmtId="0" fontId="3" fillId="10" borderId="30" xfId="0" applyFont="1" applyFill="1" applyBorder="1" applyAlignment="1">
      <alignment horizontal="left"/>
    </xf>
    <xf numFmtId="180" fontId="2" fillId="10" borderId="2" xfId="0" applyNumberFormat="1" applyFont="1" applyFill="1" applyBorder="1"/>
    <xf numFmtId="0" fontId="2" fillId="19" borderId="42" xfId="0" applyFont="1" applyFill="1" applyBorder="1" applyAlignment="1">
      <alignment horizontal="left"/>
    </xf>
    <xf numFmtId="0" fontId="61" fillId="22" borderId="42" xfId="0" applyFont="1" applyFill="1" applyBorder="1" applyAlignment="1" applyProtection="1">
      <alignment horizontal="right"/>
      <protection locked="0" hidden="1"/>
    </xf>
    <xf numFmtId="0" fontId="61" fillId="10" borderId="43" xfId="0" applyFont="1" applyFill="1" applyBorder="1" applyAlignment="1">
      <alignment horizontal="left"/>
    </xf>
    <xf numFmtId="0" fontId="61" fillId="10" borderId="30" xfId="0" applyFont="1" applyFill="1" applyBorder="1" applyAlignment="1">
      <alignment horizontal="left"/>
    </xf>
    <xf numFmtId="180" fontId="3" fillId="10" borderId="44" xfId="0" applyNumberFormat="1" applyFont="1" applyFill="1" applyBorder="1" applyAlignment="1">
      <alignment horizontal="right"/>
    </xf>
    <xf numFmtId="180" fontId="3" fillId="10" borderId="29" xfId="0" applyNumberFormat="1" applyFont="1" applyFill="1" applyBorder="1" applyAlignment="1">
      <alignment horizontal="right"/>
    </xf>
    <xf numFmtId="0" fontId="3" fillId="10" borderId="44" xfId="0" applyFont="1" applyFill="1" applyBorder="1" applyAlignment="1">
      <alignment horizontal="center"/>
    </xf>
    <xf numFmtId="0" fontId="3" fillId="10" borderId="29" xfId="0" applyFont="1" applyFill="1" applyBorder="1" applyAlignment="1">
      <alignment horizontal="center"/>
    </xf>
    <xf numFmtId="0" fontId="3" fillId="10" borderId="44" xfId="0" applyFont="1" applyFill="1" applyBorder="1"/>
    <xf numFmtId="0" fontId="3" fillId="10" borderId="42" xfId="0" applyFont="1" applyFill="1" applyBorder="1"/>
    <xf numFmtId="0" fontId="2" fillId="10" borderId="42" xfId="0" applyFont="1" applyFill="1" applyBorder="1"/>
    <xf numFmtId="0" fontId="2" fillId="10" borderId="43" xfId="0" applyFont="1" applyFill="1" applyBorder="1"/>
    <xf numFmtId="0" fontId="2" fillId="10" borderId="42" xfId="0" applyFont="1" applyFill="1" applyBorder="1" applyAlignment="1">
      <alignment vertical="center"/>
    </xf>
    <xf numFmtId="0" fontId="2" fillId="10" borderId="46" xfId="0" applyFont="1" applyFill="1" applyBorder="1"/>
    <xf numFmtId="0" fontId="3" fillId="10" borderId="46" xfId="0" applyFont="1" applyFill="1" applyBorder="1" applyAlignment="1">
      <alignment horizontal="right"/>
    </xf>
    <xf numFmtId="0" fontId="2" fillId="10" borderId="47" xfId="0" applyFont="1" applyFill="1" applyBorder="1"/>
    <xf numFmtId="0" fontId="2" fillId="19" borderId="46" xfId="0" applyFont="1" applyFill="1" applyBorder="1" applyAlignment="1">
      <alignment horizontal="left"/>
    </xf>
    <xf numFmtId="0" fontId="61" fillId="22" borderId="46" xfId="0" applyFont="1" applyFill="1" applyBorder="1" applyAlignment="1" applyProtection="1">
      <alignment horizontal="right"/>
      <protection locked="0" hidden="1"/>
    </xf>
    <xf numFmtId="0" fontId="61" fillId="10" borderId="47" xfId="0" applyFont="1" applyFill="1" applyBorder="1" applyAlignment="1">
      <alignment horizontal="left"/>
    </xf>
    <xf numFmtId="0" fontId="64" fillId="10" borderId="45" xfId="0" applyFont="1" applyFill="1" applyBorder="1" applyAlignment="1">
      <alignment horizontal="left"/>
    </xf>
    <xf numFmtId="0" fontId="64" fillId="10" borderId="47" xfId="0" applyFont="1" applyFill="1" applyBorder="1"/>
    <xf numFmtId="0" fontId="3" fillId="10" borderId="43" xfId="0" applyFont="1" applyFill="1" applyBorder="1" applyAlignment="1">
      <alignment horizontal="left"/>
    </xf>
    <xf numFmtId="180" fontId="2" fillId="10" borderId="42" xfId="0" applyNumberFormat="1" applyFont="1" applyFill="1" applyBorder="1" applyAlignment="1">
      <alignment horizontal="left" vertical="center"/>
    </xf>
    <xf numFmtId="1" fontId="2" fillId="10" borderId="0" xfId="0" applyNumberFormat="1" applyFont="1" applyFill="1" applyAlignment="1">
      <alignment horizontal="left" vertical="center"/>
    </xf>
    <xf numFmtId="1" fontId="2" fillId="10" borderId="46" xfId="0" applyNumberFormat="1" applyFont="1" applyFill="1" applyBorder="1" applyAlignment="1">
      <alignment horizontal="left" vertical="center"/>
    </xf>
    <xf numFmtId="1" fontId="3" fillId="19" borderId="46" xfId="0" applyNumberFormat="1" applyFont="1" applyFill="1" applyBorder="1" applyAlignment="1">
      <alignment horizontal="right" vertical="center"/>
    </xf>
    <xf numFmtId="1" fontId="67" fillId="22" borderId="46" xfId="0" applyNumberFormat="1" applyFont="1" applyFill="1" applyBorder="1" applyAlignment="1" applyProtection="1">
      <alignment horizontal="right" vertical="center"/>
      <protection locked="0" hidden="1"/>
    </xf>
    <xf numFmtId="0" fontId="3" fillId="10" borderId="47" xfId="0" applyFont="1" applyFill="1" applyBorder="1" applyAlignment="1">
      <alignment horizontal="left"/>
    </xf>
    <xf numFmtId="0" fontId="24" fillId="10" borderId="29" xfId="0" applyFont="1" applyFill="1" applyBorder="1" applyAlignment="1">
      <alignment vertical="center"/>
    </xf>
    <xf numFmtId="0" fontId="2" fillId="10" borderId="44" xfId="0" applyFont="1" applyFill="1" applyBorder="1"/>
    <xf numFmtId="0" fontId="2" fillId="19" borderId="29" xfId="0" applyFont="1" applyFill="1" applyBorder="1"/>
    <xf numFmtId="1" fontId="3" fillId="19" borderId="29" xfId="0" applyNumberFormat="1" applyFont="1" applyFill="1" applyBorder="1" applyAlignment="1">
      <alignment horizontal="right" vertical="center"/>
    </xf>
    <xf numFmtId="0" fontId="3" fillId="10" borderId="31" xfId="0" applyFont="1" applyFill="1" applyBorder="1" applyAlignment="1">
      <alignment horizontal="center"/>
    </xf>
    <xf numFmtId="0" fontId="62" fillId="16" borderId="48" xfId="0" applyFont="1" applyFill="1" applyBorder="1"/>
    <xf numFmtId="0" fontId="18" fillId="3" borderId="29" xfId="0" applyFont="1" applyFill="1" applyBorder="1"/>
    <xf numFmtId="0" fontId="18" fillId="19" borderId="29" xfId="0" applyFont="1" applyFill="1" applyBorder="1"/>
    <xf numFmtId="0" fontId="18" fillId="19" borderId="42" xfId="0" applyFont="1" applyFill="1" applyBorder="1"/>
    <xf numFmtId="0" fontId="18" fillId="19" borderId="31" xfId="0" applyFont="1" applyFill="1" applyBorder="1"/>
    <xf numFmtId="0" fontId="18" fillId="19" borderId="46" xfId="0" applyFont="1" applyFill="1" applyBorder="1"/>
    <xf numFmtId="180" fontId="3" fillId="19" borderId="42" xfId="0" applyNumberFormat="1" applyFont="1" applyFill="1" applyBorder="1" applyAlignment="1">
      <alignment horizontal="right" vertical="center"/>
    </xf>
    <xf numFmtId="180" fontId="67" fillId="22" borderId="42" xfId="0" applyNumberFormat="1" applyFont="1" applyFill="1" applyBorder="1" applyAlignment="1" applyProtection="1">
      <alignment horizontal="right" vertical="center"/>
      <protection locked="0" hidden="1"/>
    </xf>
    <xf numFmtId="0" fontId="2" fillId="19" borderId="0" xfId="0" applyFont="1" applyFill="1" applyAlignment="1" applyProtection="1">
      <alignment horizontal="right"/>
      <protection locked="0"/>
    </xf>
    <xf numFmtId="0" fontId="3" fillId="0" borderId="43" xfId="0" applyFont="1" applyBorder="1" applyAlignment="1">
      <alignment horizontal="left"/>
    </xf>
    <xf numFmtId="184" fontId="18" fillId="21" borderId="0" xfId="0" applyNumberFormat="1" applyFont="1" applyFill="1" applyAlignment="1">
      <alignment horizontal="center"/>
    </xf>
    <xf numFmtId="0" fontId="18" fillId="21" borderId="0" xfId="0" applyFont="1" applyFill="1"/>
    <xf numFmtId="184" fontId="27" fillId="21" borderId="0" xfId="0" applyNumberFormat="1" applyFont="1" applyFill="1" applyAlignment="1">
      <alignment horizontal="center"/>
    </xf>
    <xf numFmtId="0" fontId="27" fillId="21" borderId="0" xfId="0" applyFont="1" applyFill="1"/>
    <xf numFmtId="0" fontId="2" fillId="10" borderId="45" xfId="0" applyFont="1" applyFill="1" applyBorder="1"/>
    <xf numFmtId="0" fontId="3" fillId="10" borderId="46" xfId="0" applyFont="1" applyFill="1" applyBorder="1"/>
    <xf numFmtId="0" fontId="2" fillId="10" borderId="49" xfId="0" applyFont="1" applyFill="1" applyBorder="1"/>
    <xf numFmtId="0" fontId="69" fillId="10" borderId="0" xfId="0" applyFont="1" applyFill="1" applyAlignment="1">
      <alignment horizontal="right"/>
    </xf>
    <xf numFmtId="0" fontId="71" fillId="10" borderId="0" xfId="0" applyFont="1" applyFill="1"/>
    <xf numFmtId="0" fontId="71" fillId="10" borderId="30" xfId="0" applyFont="1" applyFill="1" applyBorder="1"/>
    <xf numFmtId="184" fontId="71" fillId="21" borderId="0" xfId="0" applyNumberFormat="1" applyFont="1" applyFill="1" applyAlignment="1">
      <alignment horizontal="center"/>
    </xf>
    <xf numFmtId="0" fontId="71" fillId="21" borderId="0" xfId="0" applyFont="1" applyFill="1"/>
    <xf numFmtId="184" fontId="71" fillId="3" borderId="0" xfId="0" applyNumberFormat="1" applyFont="1" applyFill="1" applyAlignment="1">
      <alignment horizontal="center"/>
    </xf>
    <xf numFmtId="0" fontId="71" fillId="3" borderId="0" xfId="0" applyFont="1" applyFill="1"/>
    <xf numFmtId="0" fontId="69" fillId="10" borderId="42" xfId="0" applyFont="1" applyFill="1" applyBorder="1" applyAlignment="1">
      <alignment horizontal="right"/>
    </xf>
    <xf numFmtId="0" fontId="70" fillId="10" borderId="29" xfId="0" applyFont="1" applyFill="1" applyBorder="1" applyAlignment="1">
      <alignment vertical="center"/>
    </xf>
    <xf numFmtId="0" fontId="69" fillId="10" borderId="0" xfId="0" applyFont="1" applyFill="1" applyAlignment="1">
      <alignment horizontal="right" vertical="center"/>
    </xf>
    <xf numFmtId="180" fontId="69" fillId="10" borderId="46" xfId="0" applyNumberFormat="1" applyFont="1" applyFill="1" applyBorder="1" applyAlignment="1">
      <alignment horizontal="center" vertical="center"/>
    </xf>
    <xf numFmtId="180" fontId="69" fillId="10" borderId="46" xfId="0" applyNumberFormat="1" applyFont="1" applyFill="1" applyBorder="1" applyAlignment="1">
      <alignment vertical="center"/>
    </xf>
    <xf numFmtId="0" fontId="69" fillId="0" borderId="0" xfId="0" applyFont="1" applyAlignment="1">
      <alignment horizontal="left" vertical="center"/>
    </xf>
    <xf numFmtId="0" fontId="2" fillId="0" borderId="1" xfId="0" applyFont="1" applyBorder="1"/>
    <xf numFmtId="0" fontId="2" fillId="0" borderId="29" xfId="0" applyFont="1" applyBorder="1"/>
    <xf numFmtId="2" fontId="0" fillId="0" borderId="0" xfId="0" applyNumberFormat="1" applyAlignment="1">
      <alignment horizontal="right"/>
    </xf>
    <xf numFmtId="0" fontId="3" fillId="22" borderId="0" xfId="0" applyFont="1" applyFill="1" applyAlignment="1" applyProtection="1">
      <alignment horizontal="right"/>
      <protection locked="0"/>
    </xf>
    <xf numFmtId="0" fontId="74" fillId="0" borderId="0" xfId="0" applyFont="1"/>
    <xf numFmtId="0" fontId="2" fillId="10" borderId="0" xfId="2" applyFill="1"/>
    <xf numFmtId="49" fontId="2" fillId="10" borderId="0" xfId="2" applyNumberFormat="1" applyFill="1"/>
    <xf numFmtId="0" fontId="12" fillId="10" borderId="0" xfId="2" applyFont="1" applyFill="1" applyAlignment="1">
      <alignment vertical="center"/>
    </xf>
    <xf numFmtId="0" fontId="2" fillId="23" borderId="17" xfId="2" applyFill="1" applyBorder="1" applyAlignment="1">
      <alignment horizontal="center" vertical="center"/>
    </xf>
    <xf numFmtId="0" fontId="2" fillId="10" borderId="17" xfId="2" applyFill="1" applyBorder="1" applyAlignment="1">
      <alignment horizontal="center" vertical="center"/>
    </xf>
    <xf numFmtId="0" fontId="2" fillId="10" borderId="11" xfId="2" applyFill="1" applyBorder="1" applyAlignment="1">
      <alignment vertical="center" wrapText="1"/>
    </xf>
    <xf numFmtId="0" fontId="2" fillId="10" borderId="11" xfId="2" applyFill="1" applyBorder="1" applyAlignment="1">
      <alignment horizontal="left" vertical="center"/>
    </xf>
    <xf numFmtId="0" fontId="2" fillId="10" borderId="0" xfId="2" applyFill="1" applyAlignment="1">
      <alignment vertical="center"/>
    </xf>
    <xf numFmtId="0" fontId="2" fillId="24" borderId="17" xfId="2" applyFill="1" applyBorder="1" applyAlignment="1">
      <alignment horizontal="center" vertical="center"/>
    </xf>
    <xf numFmtId="0" fontId="2" fillId="24" borderId="11" xfId="2" applyFill="1" applyBorder="1" applyAlignment="1">
      <alignment vertical="center" wrapText="1"/>
    </xf>
    <xf numFmtId="186" fontId="2" fillId="24" borderId="11" xfId="2" applyNumberFormat="1" applyFill="1" applyBorder="1" applyAlignment="1">
      <alignment horizontal="center" vertical="center"/>
    </xf>
    <xf numFmtId="0" fontId="2" fillId="24" borderId="11" xfId="2" quotePrefix="1" applyFill="1" applyBorder="1" applyAlignment="1">
      <alignment horizontal="left" vertical="center"/>
    </xf>
    <xf numFmtId="0" fontId="2" fillId="24" borderId="11" xfId="2" applyFill="1" applyBorder="1" applyAlignment="1">
      <alignment horizontal="left" vertical="center"/>
    </xf>
    <xf numFmtId="0" fontId="2" fillId="24" borderId="11" xfId="2" applyFill="1" applyBorder="1" applyAlignment="1">
      <alignment horizontal="center" vertical="center"/>
    </xf>
    <xf numFmtId="0" fontId="2" fillId="19" borderId="17" xfId="2" applyFill="1" applyBorder="1" applyAlignment="1">
      <alignment horizontal="center" vertical="center"/>
    </xf>
    <xf numFmtId="0" fontId="2" fillId="19" borderId="11" xfId="2" applyFill="1" applyBorder="1" applyAlignment="1">
      <alignment vertical="center" wrapText="1"/>
    </xf>
    <xf numFmtId="186" fontId="2" fillId="19" borderId="11" xfId="2" applyNumberFormat="1" applyFill="1" applyBorder="1" applyAlignment="1">
      <alignment horizontal="center" vertical="center"/>
    </xf>
    <xf numFmtId="0" fontId="2" fillId="19" borderId="11" xfId="2" quotePrefix="1" applyFill="1" applyBorder="1" applyAlignment="1">
      <alignment horizontal="left" vertical="center"/>
    </xf>
    <xf numFmtId="0" fontId="2" fillId="19" borderId="11" xfId="2" applyFill="1" applyBorder="1" applyAlignment="1">
      <alignment horizontal="left" vertical="center"/>
    </xf>
    <xf numFmtId="188" fontId="2" fillId="10" borderId="11" xfId="2" applyNumberFormat="1" applyFill="1" applyBorder="1" applyAlignment="1">
      <alignment horizontal="center" vertical="center"/>
    </xf>
    <xf numFmtId="0" fontId="2" fillId="10" borderId="15" xfId="2" applyFill="1" applyBorder="1" applyAlignment="1">
      <alignment horizontal="left" vertical="center"/>
    </xf>
    <xf numFmtId="49" fontId="2" fillId="10" borderId="11" xfId="2" applyNumberFormat="1" applyFill="1" applyBorder="1" applyAlignment="1">
      <alignment horizontal="left" vertical="center"/>
    </xf>
    <xf numFmtId="0" fontId="2" fillId="23" borderId="11" xfId="2" applyFill="1" applyBorder="1" applyAlignment="1">
      <alignment vertical="center" wrapText="1"/>
    </xf>
    <xf numFmtId="187" fontId="2" fillId="23" borderId="11" xfId="2" applyNumberFormat="1" applyFill="1" applyBorder="1" applyAlignment="1">
      <alignment horizontal="center" vertical="center"/>
    </xf>
    <xf numFmtId="0" fontId="2" fillId="23" borderId="15" xfId="2" applyFill="1" applyBorder="1" applyAlignment="1">
      <alignment horizontal="left" vertical="center"/>
    </xf>
    <xf numFmtId="0" fontId="2" fillId="23" borderId="11" xfId="2" quotePrefix="1" applyFill="1" applyBorder="1" applyAlignment="1">
      <alignment horizontal="left" vertical="center"/>
    </xf>
    <xf numFmtId="0" fontId="2" fillId="23" borderId="11" xfId="2" applyFill="1" applyBorder="1" applyAlignment="1">
      <alignment horizontal="left" vertical="center"/>
    </xf>
    <xf numFmtId="0" fontId="2" fillId="19" borderId="15" xfId="2" applyFill="1" applyBorder="1" applyAlignment="1">
      <alignment horizontal="left" vertical="center"/>
    </xf>
    <xf numFmtId="188" fontId="2" fillId="19" borderId="11" xfId="2" applyNumberFormat="1" applyFill="1" applyBorder="1" applyAlignment="1">
      <alignment horizontal="center" vertical="center"/>
    </xf>
    <xf numFmtId="188" fontId="2" fillId="23" borderId="11" xfId="2" applyNumberFormat="1" applyFill="1" applyBorder="1" applyAlignment="1">
      <alignment horizontal="center" vertical="center"/>
    </xf>
    <xf numFmtId="0" fontId="2" fillId="19" borderId="11" xfId="2" applyFill="1" applyBorder="1" applyAlignment="1">
      <alignment horizontal="center" vertical="center"/>
    </xf>
    <xf numFmtId="189" fontId="2" fillId="23" borderId="11" xfId="2" applyNumberFormat="1" applyFill="1" applyBorder="1" applyAlignment="1">
      <alignment horizontal="center" vertical="center"/>
    </xf>
    <xf numFmtId="0" fontId="63" fillId="10" borderId="11" xfId="2" applyFont="1" applyFill="1" applyBorder="1" applyAlignment="1">
      <alignment horizontal="center" vertical="center"/>
    </xf>
    <xf numFmtId="0" fontId="3" fillId="10" borderId="17" xfId="2" applyFont="1" applyFill="1" applyBorder="1" applyAlignment="1">
      <alignment horizontal="center" vertical="center"/>
    </xf>
    <xf numFmtId="0" fontId="3" fillId="10" borderId="11" xfId="2" applyFont="1" applyFill="1" applyBorder="1" applyAlignment="1">
      <alignment vertical="center" wrapText="1"/>
    </xf>
    <xf numFmtId="0" fontId="3" fillId="10" borderId="11" xfId="2" applyFont="1" applyFill="1" applyBorder="1" applyAlignment="1">
      <alignment horizontal="left" vertical="center"/>
    </xf>
    <xf numFmtId="0" fontId="2" fillId="19" borderId="0" xfId="2" applyFill="1"/>
    <xf numFmtId="49" fontId="2" fillId="19" borderId="0" xfId="2" applyNumberFormat="1" applyFill="1"/>
    <xf numFmtId="0" fontId="3" fillId="19" borderId="44" xfId="0" applyFont="1" applyFill="1" applyBorder="1"/>
    <xf numFmtId="0" fontId="3" fillId="22" borderId="46" xfId="0" applyFont="1" applyFill="1" applyBorder="1" applyProtection="1">
      <protection locked="0"/>
    </xf>
    <xf numFmtId="0" fontId="3" fillId="22" borderId="46" xfId="0" applyFont="1" applyFill="1" applyBorder="1" applyAlignment="1" applyProtection="1">
      <alignment horizontal="right"/>
      <protection locked="0"/>
    </xf>
    <xf numFmtId="0" fontId="76" fillId="19" borderId="0" xfId="0" applyFont="1" applyFill="1"/>
    <xf numFmtId="0" fontId="3" fillId="10" borderId="0" xfId="2" applyFont="1" applyFill="1"/>
    <xf numFmtId="0" fontId="63" fillId="10" borderId="42" xfId="0" applyFont="1" applyFill="1" applyBorder="1" applyProtection="1">
      <protection locked="0"/>
    </xf>
    <xf numFmtId="1" fontId="0" fillId="4" borderId="0" xfId="0" applyNumberFormat="1" applyFill="1"/>
    <xf numFmtId="0" fontId="63" fillId="10" borderId="29" xfId="0" applyFont="1" applyFill="1" applyBorder="1" applyAlignment="1">
      <alignment vertical="center"/>
    </xf>
    <xf numFmtId="0" fontId="0" fillId="14" borderId="2" xfId="0" applyFill="1" applyBorder="1"/>
    <xf numFmtId="0" fontId="3" fillId="5" borderId="55" xfId="0" applyFont="1" applyFill="1" applyBorder="1"/>
    <xf numFmtId="2" fontId="7" fillId="13" borderId="0" xfId="0" applyNumberFormat="1" applyFont="1" applyFill="1"/>
    <xf numFmtId="180" fontId="7" fillId="13" borderId="0" xfId="0" applyNumberFormat="1" applyFont="1" applyFill="1"/>
    <xf numFmtId="11" fontId="7" fillId="13" borderId="0" xfId="0" applyNumberFormat="1" applyFont="1" applyFill="1"/>
    <xf numFmtId="0" fontId="22" fillId="25" borderId="48" xfId="0" applyFont="1" applyFill="1" applyBorder="1"/>
    <xf numFmtId="0" fontId="22" fillId="25" borderId="49" xfId="0" applyFont="1" applyFill="1" applyBorder="1"/>
    <xf numFmtId="0" fontId="18" fillId="25" borderId="49" xfId="0" applyFont="1" applyFill="1" applyBorder="1"/>
    <xf numFmtId="184" fontId="18" fillId="25" borderId="46" xfId="0" applyNumberFormat="1" applyFont="1" applyFill="1" applyBorder="1" applyAlignment="1">
      <alignment horizontal="center"/>
    </xf>
    <xf numFmtId="0" fontId="18" fillId="25" borderId="0" xfId="0" applyFont="1" applyFill="1"/>
    <xf numFmtId="184" fontId="18" fillId="25" borderId="0" xfId="0" applyNumberFormat="1" applyFont="1" applyFill="1" applyAlignment="1">
      <alignment horizontal="center"/>
    </xf>
    <xf numFmtId="184" fontId="71" fillId="25" borderId="0" xfId="0" applyNumberFormat="1" applyFont="1" applyFill="1" applyAlignment="1">
      <alignment horizontal="center"/>
    </xf>
    <xf numFmtId="184" fontId="27" fillId="25" borderId="0" xfId="0" applyNumberFormat="1" applyFont="1" applyFill="1" applyAlignment="1">
      <alignment horizontal="center"/>
    </xf>
    <xf numFmtId="0" fontId="28" fillId="25" borderId="0" xfId="0" applyFont="1" applyFill="1" applyAlignment="1">
      <alignment horizontal="left"/>
    </xf>
    <xf numFmtId="0" fontId="26" fillId="25" borderId="0" xfId="0" applyFont="1" applyFill="1" applyAlignment="1">
      <alignment horizontal="left" vertical="center"/>
    </xf>
    <xf numFmtId="0" fontId="73" fillId="25" borderId="0" xfId="0" applyFont="1" applyFill="1" applyAlignment="1">
      <alignment horizontal="left" vertical="center"/>
    </xf>
    <xf numFmtId="0" fontId="22" fillId="25" borderId="0" xfId="0" applyFont="1" applyFill="1" applyAlignment="1">
      <alignment vertical="center"/>
    </xf>
    <xf numFmtId="0" fontId="26" fillId="25" borderId="0" xfId="0" quotePrefix="1" applyFont="1" applyFill="1" applyAlignment="1">
      <alignment vertical="center"/>
    </xf>
    <xf numFmtId="0" fontId="30" fillId="25" borderId="0" xfId="0" applyFont="1" applyFill="1" applyAlignment="1">
      <alignment vertical="center"/>
    </xf>
    <xf numFmtId="0" fontId="30" fillId="25" borderId="0" xfId="0" applyFont="1" applyFill="1"/>
    <xf numFmtId="0" fontId="32" fillId="25" borderId="31" xfId="0" applyFont="1" applyFill="1" applyBorder="1"/>
    <xf numFmtId="0" fontId="32" fillId="25" borderId="32" xfId="0" applyFont="1" applyFill="1" applyBorder="1"/>
    <xf numFmtId="0" fontId="22" fillId="25" borderId="32" xfId="0" applyFont="1" applyFill="1" applyBorder="1"/>
    <xf numFmtId="0" fontId="26" fillId="25" borderId="56" xfId="0" applyFont="1" applyFill="1" applyBorder="1" applyAlignment="1">
      <alignment horizontal="left" vertical="center"/>
    </xf>
    <xf numFmtId="0" fontId="79" fillId="25" borderId="0" xfId="1" applyFont="1" applyFill="1" applyBorder="1" applyAlignment="1" applyProtection="1">
      <alignment horizontal="left" vertical="center"/>
    </xf>
    <xf numFmtId="0" fontId="2" fillId="10" borderId="0" xfId="0" applyFont="1" applyFill="1" applyAlignment="1">
      <alignment horizontal="right" vertical="center"/>
    </xf>
    <xf numFmtId="0" fontId="2" fillId="10" borderId="56" xfId="0" applyFont="1" applyFill="1" applyBorder="1"/>
    <xf numFmtId="0" fontId="63" fillId="0" borderId="0" xfId="0" applyFont="1"/>
    <xf numFmtId="0" fontId="63" fillId="0" borderId="0" xfId="0" applyFont="1" applyAlignment="1">
      <alignment horizontal="left"/>
    </xf>
    <xf numFmtId="0" fontId="2" fillId="0" borderId="0" xfId="2"/>
    <xf numFmtId="179" fontId="0" fillId="4" borderId="0" xfId="0" applyNumberFormat="1" applyFill="1"/>
    <xf numFmtId="2" fontId="0" fillId="13" borderId="0" xfId="0" applyNumberFormat="1" applyFill="1"/>
    <xf numFmtId="0" fontId="0" fillId="0" borderId="56" xfId="0" applyBorder="1"/>
    <xf numFmtId="0" fontId="2" fillId="0" borderId="56" xfId="0" applyFont="1" applyBorder="1"/>
    <xf numFmtId="179" fontId="7" fillId="13" borderId="2" xfId="0" applyNumberFormat="1" applyFont="1" applyFill="1" applyBorder="1"/>
    <xf numFmtId="178" fontId="7" fillId="13" borderId="0" xfId="0" applyNumberFormat="1" applyFont="1" applyFill="1"/>
    <xf numFmtId="179" fontId="7" fillId="13" borderId="0" xfId="0" applyNumberFormat="1" applyFont="1" applyFill="1"/>
    <xf numFmtId="0" fontId="7" fillId="0" borderId="56" xfId="0" applyFont="1" applyBorder="1"/>
    <xf numFmtId="0" fontId="3" fillId="13" borderId="0" xfId="0" applyFont="1" applyFill="1" applyAlignment="1">
      <alignment horizontal="right"/>
    </xf>
    <xf numFmtId="180" fontId="0" fillId="4" borderId="0" xfId="0" applyNumberFormat="1" applyFill="1"/>
    <xf numFmtId="179" fontId="7" fillId="19" borderId="0" xfId="0" applyNumberFormat="1" applyFont="1" applyFill="1"/>
    <xf numFmtId="0" fontId="82" fillId="19" borderId="42" xfId="0" applyFont="1" applyFill="1" applyBorder="1" applyAlignment="1">
      <alignment horizontal="left" vertical="center"/>
    </xf>
    <xf numFmtId="0" fontId="2" fillId="19" borderId="42" xfId="0" applyFont="1" applyFill="1" applyBorder="1"/>
    <xf numFmtId="0" fontId="66" fillId="10" borderId="46" xfId="0" applyFont="1" applyFill="1" applyBorder="1" applyAlignment="1">
      <alignment horizontal="right"/>
    </xf>
    <xf numFmtId="0" fontId="2" fillId="10" borderId="46" xfId="0" applyFont="1" applyFill="1" applyBorder="1" applyAlignment="1">
      <alignment horizontal="right"/>
    </xf>
    <xf numFmtId="180" fontId="0" fillId="19" borderId="0" xfId="0" applyNumberFormat="1" applyFill="1"/>
    <xf numFmtId="0" fontId="67" fillId="10" borderId="42" xfId="0" applyFont="1" applyFill="1" applyBorder="1" applyAlignment="1">
      <alignment horizontal="right"/>
    </xf>
    <xf numFmtId="0" fontId="3" fillId="10" borderId="43" xfId="0" applyFont="1" applyFill="1" applyBorder="1"/>
    <xf numFmtId="0" fontId="3" fillId="22" borderId="42" xfId="0" applyFont="1" applyFill="1" applyBorder="1" applyProtection="1">
      <protection locked="0"/>
    </xf>
    <xf numFmtId="1" fontId="66" fillId="19" borderId="30" xfId="0" applyNumberFormat="1" applyFont="1" applyFill="1" applyBorder="1" applyAlignment="1" applyProtection="1">
      <alignment horizontal="left"/>
      <protection locked="0"/>
    </xf>
    <xf numFmtId="0" fontId="2" fillId="6" borderId="11" xfId="0" applyFont="1" applyFill="1" applyBorder="1"/>
    <xf numFmtId="178" fontId="0" fillId="0" borderId="0" xfId="0" applyNumberFormat="1"/>
    <xf numFmtId="179" fontId="0" fillId="0" borderId="0" xfId="0" applyNumberFormat="1"/>
    <xf numFmtId="178" fontId="0" fillId="0" borderId="0" xfId="0" applyNumberFormat="1" applyAlignment="1">
      <alignment horizontal="left" indent="1"/>
    </xf>
    <xf numFmtId="179" fontId="16" fillId="7" borderId="0" xfId="0" applyNumberFormat="1" applyFont="1" applyFill="1"/>
    <xf numFmtId="179" fontId="8" fillId="0" borderId="0" xfId="0" applyNumberFormat="1" applyFont="1"/>
    <xf numFmtId="180" fontId="16" fillId="0" borderId="0" xfId="0" applyNumberFormat="1" applyFont="1"/>
    <xf numFmtId="177" fontId="0" fillId="0" borderId="0" xfId="0" applyNumberFormat="1"/>
    <xf numFmtId="177" fontId="16" fillId="0" borderId="0" xfId="0" applyNumberFormat="1" applyFont="1"/>
    <xf numFmtId="0" fontId="2" fillId="4" borderId="43" xfId="0" applyFont="1" applyFill="1" applyBorder="1"/>
    <xf numFmtId="0" fontId="74" fillId="0" borderId="11" xfId="0" applyFont="1" applyBorder="1"/>
    <xf numFmtId="0" fontId="2" fillId="0" borderId="11" xfId="0" applyFont="1" applyBorder="1"/>
    <xf numFmtId="0" fontId="2" fillId="0" borderId="13" xfId="0" applyFont="1" applyBorder="1"/>
    <xf numFmtId="0" fontId="2" fillId="0" borderId="15" xfId="0" applyFont="1" applyBorder="1"/>
    <xf numFmtId="0" fontId="2" fillId="0" borderId="16" xfId="0" applyFont="1" applyBorder="1"/>
    <xf numFmtId="1" fontId="3" fillId="13" borderId="0" xfId="0" applyNumberFormat="1" applyFont="1" applyFill="1"/>
    <xf numFmtId="2" fontId="3" fillId="13" borderId="0" xfId="0" applyNumberFormat="1" applyFont="1" applyFill="1"/>
    <xf numFmtId="1" fontId="3" fillId="10" borderId="29" xfId="0" applyNumberFormat="1" applyFont="1" applyFill="1" applyBorder="1" applyAlignment="1">
      <alignment horizontal="right"/>
    </xf>
    <xf numFmtId="0" fontId="3" fillId="10" borderId="8" xfId="2" applyFont="1" applyFill="1" applyBorder="1" applyAlignment="1">
      <alignment horizontal="left" vertical="center"/>
    </xf>
    <xf numFmtId="190" fontId="2" fillId="19" borderId="8" xfId="2" applyNumberFormat="1" applyFill="1" applyBorder="1" applyAlignment="1">
      <alignment horizontal="left" vertical="center"/>
    </xf>
    <xf numFmtId="190" fontId="2" fillId="19" borderId="9" xfId="2" applyNumberFormat="1" applyFill="1" applyBorder="1" applyAlignment="1">
      <alignment horizontal="left" vertical="center"/>
    </xf>
    <xf numFmtId="190" fontId="2" fillId="19" borderId="15" xfId="2" applyNumberFormat="1" applyFill="1" applyBorder="1" applyAlignment="1">
      <alignment horizontal="left" vertical="center"/>
    </xf>
    <xf numFmtId="0" fontId="2" fillId="0" borderId="0" xfId="0" applyFont="1" applyAlignment="1">
      <alignment horizontal="right"/>
    </xf>
    <xf numFmtId="0" fontId="86" fillId="0" borderId="0" xfId="0" applyFont="1" applyAlignment="1">
      <alignment horizontal="right"/>
    </xf>
    <xf numFmtId="0" fontId="2" fillId="0" borderId="0" xfId="0" quotePrefix="1" applyFont="1"/>
    <xf numFmtId="0" fontId="2" fillId="0" borderId="0" xfId="0" applyFont="1" applyAlignment="1">
      <alignment horizontal="left"/>
    </xf>
    <xf numFmtId="49" fontId="84" fillId="21" borderId="57" xfId="2" applyNumberFormat="1" applyFont="1" applyFill="1" applyBorder="1" applyAlignment="1">
      <alignment horizontal="center" vertical="center"/>
    </xf>
    <xf numFmtId="0" fontId="84" fillId="21" borderId="51" xfId="2" applyFont="1" applyFill="1" applyBorder="1" applyAlignment="1">
      <alignment horizontal="center" vertical="center"/>
    </xf>
    <xf numFmtId="180" fontId="2" fillId="10" borderId="11" xfId="2" applyNumberFormat="1" applyFill="1" applyBorder="1" applyAlignment="1">
      <alignment horizontal="center" vertical="center"/>
    </xf>
    <xf numFmtId="2" fontId="2" fillId="10" borderId="11" xfId="2" applyNumberFormat="1" applyFill="1" applyBorder="1" applyAlignment="1">
      <alignment horizontal="center" vertical="center"/>
    </xf>
    <xf numFmtId="0" fontId="2" fillId="10" borderId="8" xfId="2" applyFill="1" applyBorder="1" applyAlignment="1">
      <alignment horizontal="left" vertical="center"/>
    </xf>
    <xf numFmtId="0" fontId="2" fillId="23" borderId="8" xfId="2" applyFill="1" applyBorder="1" applyAlignment="1">
      <alignment horizontal="left" vertical="center"/>
    </xf>
    <xf numFmtId="0" fontId="2" fillId="19" borderId="8" xfId="2" applyFill="1" applyBorder="1" applyAlignment="1">
      <alignment horizontal="left" vertical="center"/>
    </xf>
    <xf numFmtId="0" fontId="2" fillId="24" borderId="8" xfId="2" applyFill="1" applyBorder="1" applyAlignment="1">
      <alignment horizontal="left" vertical="center"/>
    </xf>
    <xf numFmtId="0" fontId="2" fillId="10" borderId="58" xfId="2" applyFill="1" applyBorder="1" applyAlignment="1">
      <alignment horizontal="center" vertical="center"/>
    </xf>
    <xf numFmtId="0" fontId="2" fillId="24" borderId="58" xfId="2" applyFill="1" applyBorder="1" applyAlignment="1">
      <alignment horizontal="center" vertical="center"/>
    </xf>
    <xf numFmtId="180" fontId="2" fillId="24" borderId="11" xfId="2" applyNumberFormat="1" applyFill="1" applyBorder="1" applyAlignment="1">
      <alignment horizontal="center" vertical="center"/>
    </xf>
    <xf numFmtId="0" fontId="75" fillId="3" borderId="50" xfId="2" applyFont="1" applyFill="1" applyBorder="1" applyAlignment="1">
      <alignment horizontal="center" vertical="center"/>
    </xf>
    <xf numFmtId="0" fontId="75" fillId="3" borderId="51" xfId="2" applyFont="1" applyFill="1" applyBorder="1" applyAlignment="1">
      <alignment horizontal="center" vertical="center"/>
    </xf>
    <xf numFmtId="180" fontId="88" fillId="0" borderId="0" xfId="2" applyNumberFormat="1" applyFont="1" applyAlignment="1">
      <alignment horizontal="right" vertical="center"/>
    </xf>
    <xf numFmtId="0" fontId="88" fillId="10" borderId="0" xfId="2" applyFont="1" applyFill="1" applyAlignment="1">
      <alignment horizontal="left"/>
    </xf>
    <xf numFmtId="178" fontId="88" fillId="10" borderId="0" xfId="2" applyNumberFormat="1" applyFont="1" applyFill="1" applyAlignment="1">
      <alignment vertical="center"/>
    </xf>
    <xf numFmtId="177" fontId="0" fillId="4" borderId="32" xfId="0" applyNumberFormat="1" applyFill="1" applyBorder="1"/>
    <xf numFmtId="177" fontId="0" fillId="13" borderId="2" xfId="0" applyNumberFormat="1" applyFill="1" applyBorder="1"/>
    <xf numFmtId="185" fontId="2" fillId="19" borderId="11" xfId="2" applyNumberFormat="1" applyFill="1" applyBorder="1" applyAlignment="1">
      <alignment horizontal="center" vertical="center"/>
    </xf>
    <xf numFmtId="0" fontId="2" fillId="19" borderId="58" xfId="2" applyFill="1" applyBorder="1" applyAlignment="1">
      <alignment horizontal="center" vertical="center"/>
    </xf>
    <xf numFmtId="180" fontId="2" fillId="19" borderId="11" xfId="2" applyNumberFormat="1" applyFill="1" applyBorder="1" applyAlignment="1">
      <alignment horizontal="center" vertical="center"/>
    </xf>
    <xf numFmtId="179" fontId="2" fillId="0" borderId="0" xfId="0" applyNumberFormat="1" applyFont="1"/>
    <xf numFmtId="1" fontId="0" fillId="13" borderId="0" xfId="0" applyNumberFormat="1" applyFill="1"/>
    <xf numFmtId="1" fontId="8" fillId="13" borderId="0" xfId="0" applyNumberFormat="1" applyFont="1" applyFill="1"/>
    <xf numFmtId="0" fontId="85" fillId="10" borderId="0" xfId="2" applyFont="1" applyFill="1" applyAlignment="1">
      <alignment vertical="center"/>
    </xf>
    <xf numFmtId="0" fontId="2" fillId="19" borderId="0" xfId="2" applyFill="1" applyProtection="1">
      <protection locked="0" hidden="1"/>
    </xf>
    <xf numFmtId="0" fontId="2" fillId="10" borderId="0" xfId="2" applyFill="1" applyProtection="1">
      <protection locked="0" hidden="1"/>
    </xf>
    <xf numFmtId="0" fontId="85" fillId="10" borderId="0" xfId="2" applyFont="1" applyFill="1" applyAlignment="1" applyProtection="1">
      <alignment vertical="center"/>
      <protection locked="0" hidden="1"/>
    </xf>
    <xf numFmtId="180" fontId="2" fillId="10" borderId="42" xfId="0" applyNumberFormat="1" applyFont="1" applyFill="1" applyBorder="1"/>
    <xf numFmtId="0" fontId="3" fillId="0" borderId="56" xfId="0" applyFont="1" applyBorder="1"/>
    <xf numFmtId="179" fontId="0" fillId="13" borderId="0" xfId="0" applyNumberFormat="1" applyFill="1"/>
    <xf numFmtId="1" fontId="0" fillId="0" borderId="0" xfId="0" applyNumberFormat="1" applyAlignment="1">
      <alignment horizontal="right"/>
    </xf>
    <xf numFmtId="11" fontId="3" fillId="13" borderId="0" xfId="0" applyNumberFormat="1" applyFont="1" applyFill="1" applyAlignment="1">
      <alignment horizontal="right"/>
    </xf>
    <xf numFmtId="0" fontId="85" fillId="10" borderId="0" xfId="2" applyFont="1" applyFill="1"/>
    <xf numFmtId="0" fontId="85" fillId="10" borderId="0" xfId="2" applyFont="1" applyFill="1" applyProtection="1">
      <protection locked="0" hidden="1"/>
    </xf>
    <xf numFmtId="0" fontId="2" fillId="0" borderId="0" xfId="2" applyAlignment="1">
      <alignment horizontal="right"/>
    </xf>
    <xf numFmtId="0" fontId="3" fillId="0" borderId="0" xfId="2" applyFont="1"/>
    <xf numFmtId="0" fontId="2" fillId="0" borderId="0" xfId="2" applyAlignment="1">
      <alignment horizontal="left"/>
    </xf>
    <xf numFmtId="0" fontId="86" fillId="0" borderId="0" xfId="2" applyFont="1" applyAlignment="1">
      <alignment horizontal="right"/>
    </xf>
    <xf numFmtId="0" fontId="63" fillId="0" borderId="0" xfId="2" applyFont="1"/>
    <xf numFmtId="0" fontId="90" fillId="10" borderId="0" xfId="2" applyFont="1" applyFill="1" applyProtection="1">
      <protection locked="0" hidden="1"/>
    </xf>
    <xf numFmtId="0" fontId="91" fillId="19" borderId="11" xfId="2" quotePrefix="1" applyFont="1" applyFill="1" applyBorder="1" applyAlignment="1">
      <alignment horizontal="left" vertical="center"/>
    </xf>
    <xf numFmtId="191" fontId="2" fillId="19" borderId="11" xfId="2" applyNumberFormat="1" applyFill="1" applyBorder="1" applyAlignment="1">
      <alignment horizontal="center" vertical="center"/>
    </xf>
    <xf numFmtId="178" fontId="0" fillId="0" borderId="11" xfId="0" applyNumberFormat="1" applyBorder="1"/>
    <xf numFmtId="177" fontId="0" fillId="7" borderId="11" xfId="0" applyNumberFormat="1" applyFill="1" applyBorder="1"/>
    <xf numFmtId="0" fontId="3" fillId="5" borderId="59" xfId="0" applyFont="1" applyFill="1" applyBorder="1"/>
    <xf numFmtId="0" fontId="92" fillId="0" borderId="29" xfId="0" applyFont="1" applyBorder="1"/>
    <xf numFmtId="0" fontId="7" fillId="4" borderId="42" xfId="0" applyFont="1" applyFill="1" applyBorder="1"/>
    <xf numFmtId="0" fontId="93" fillId="25" borderId="0" xfId="0" applyFont="1" applyFill="1" applyAlignment="1">
      <alignment horizontal="left"/>
    </xf>
    <xf numFmtId="0" fontId="94" fillId="25" borderId="0" xfId="0" applyFont="1" applyFill="1"/>
    <xf numFmtId="0" fontId="95" fillId="25" borderId="32" xfId="0" applyFont="1" applyFill="1" applyBorder="1"/>
    <xf numFmtId="0" fontId="94" fillId="10" borderId="0" xfId="0" applyFont="1" applyFill="1"/>
    <xf numFmtId="0" fontId="94" fillId="10" borderId="30" xfId="0" applyFont="1" applyFill="1" applyBorder="1"/>
    <xf numFmtId="0" fontId="96" fillId="25" borderId="0" xfId="0" applyFont="1" applyFill="1" applyAlignment="1">
      <alignment horizontal="left"/>
    </xf>
    <xf numFmtId="0" fontId="97" fillId="25" borderId="0" xfId="1" applyFont="1" applyFill="1" applyBorder="1" applyAlignment="1" applyProtection="1"/>
    <xf numFmtId="0" fontId="19" fillId="25" borderId="32" xfId="0" applyFont="1" applyFill="1" applyBorder="1"/>
    <xf numFmtId="0" fontId="19" fillId="25" borderId="46" xfId="0" applyFont="1" applyFill="1" applyBorder="1"/>
    <xf numFmtId="0" fontId="98" fillId="25" borderId="0" xfId="0" applyFont="1" applyFill="1"/>
    <xf numFmtId="179" fontId="2" fillId="19" borderId="46" xfId="0" applyNumberFormat="1" applyFont="1" applyFill="1" applyBorder="1"/>
    <xf numFmtId="0" fontId="28" fillId="25" borderId="56" xfId="0" applyFont="1" applyFill="1" applyBorder="1" applyAlignment="1">
      <alignment horizontal="left" vertical="center"/>
    </xf>
    <xf numFmtId="0" fontId="18" fillId="19" borderId="0" xfId="2" applyFont="1" applyFill="1"/>
    <xf numFmtId="0" fontId="2" fillId="21" borderId="0" xfId="2" applyFill="1"/>
    <xf numFmtId="0" fontId="103" fillId="21" borderId="0" xfId="2" applyFont="1" applyFill="1"/>
    <xf numFmtId="0" fontId="103" fillId="21" borderId="0" xfId="2" applyFont="1" applyFill="1" applyAlignment="1">
      <alignment horizontal="center" vertical="center"/>
    </xf>
    <xf numFmtId="0" fontId="103" fillId="21" borderId="0" xfId="2" applyFont="1" applyFill="1" applyAlignment="1">
      <alignment horizontal="left" vertical="center"/>
    </xf>
    <xf numFmtId="0" fontId="0" fillId="4" borderId="42" xfId="0" applyFill="1" applyBorder="1"/>
    <xf numFmtId="0" fontId="3" fillId="2" borderId="60" xfId="0" applyFont="1" applyFill="1" applyBorder="1" applyAlignment="1">
      <alignment horizontal="center" vertical="top" wrapText="1"/>
    </xf>
    <xf numFmtId="0" fontId="63" fillId="2" borderId="60" xfId="0" applyFont="1" applyFill="1" applyBorder="1" applyAlignment="1">
      <alignment horizontal="center" vertical="top" wrapText="1"/>
    </xf>
    <xf numFmtId="0" fontId="3" fillId="0" borderId="0" xfId="0" applyFont="1" applyAlignment="1">
      <alignment horizontal="left"/>
    </xf>
    <xf numFmtId="0" fontId="3" fillId="0" borderId="0" xfId="0" applyFont="1" applyAlignment="1">
      <alignment horizontal="right"/>
    </xf>
    <xf numFmtId="0" fontId="63" fillId="0" borderId="0" xfId="0" applyFont="1" applyAlignment="1">
      <alignment horizontal="right"/>
    </xf>
    <xf numFmtId="0" fontId="3" fillId="0" borderId="0" xfId="0" applyFont="1" applyAlignment="1" applyProtection="1">
      <alignment horizontal="right"/>
      <protection locked="0"/>
    </xf>
    <xf numFmtId="0" fontId="24" fillId="10" borderId="56" xfId="0" applyFont="1" applyFill="1" applyBorder="1"/>
    <xf numFmtId="0" fontId="3" fillId="19" borderId="0" xfId="0" applyFont="1" applyFill="1"/>
    <xf numFmtId="0" fontId="3" fillId="19" borderId="0" xfId="0" applyFont="1" applyFill="1" applyAlignment="1">
      <alignment horizontal="right"/>
    </xf>
    <xf numFmtId="0" fontId="2" fillId="10" borderId="42" xfId="0" applyFont="1" applyFill="1" applyBorder="1" applyAlignment="1">
      <alignment horizontal="right"/>
    </xf>
    <xf numFmtId="2" fontId="66" fillId="10" borderId="42" xfId="5" applyNumberFormat="1" applyFont="1" applyFill="1" applyBorder="1" applyAlignment="1" applyProtection="1">
      <alignment horizontal="right"/>
    </xf>
    <xf numFmtId="0" fontId="2" fillId="10" borderId="46" xfId="0" applyFont="1" applyFill="1" applyBorder="1" applyAlignment="1">
      <alignment horizontal="right" vertical="center"/>
    </xf>
    <xf numFmtId="180" fontId="2" fillId="10" borderId="46" xfId="0" applyNumberFormat="1" applyFont="1" applyFill="1" applyBorder="1" applyAlignment="1">
      <alignment vertical="center"/>
    </xf>
    <xf numFmtId="0" fontId="2" fillId="10" borderId="47" xfId="0" applyFont="1" applyFill="1" applyBorder="1" applyAlignment="1">
      <alignment vertical="center"/>
    </xf>
    <xf numFmtId="0" fontId="3" fillId="10" borderId="46" xfId="0" applyFont="1" applyFill="1" applyBorder="1" applyAlignment="1">
      <alignment horizontal="right" vertical="center"/>
    </xf>
    <xf numFmtId="0" fontId="3" fillId="10" borderId="47" xfId="0" applyFont="1" applyFill="1" applyBorder="1"/>
    <xf numFmtId="0" fontId="69" fillId="10" borderId="0" xfId="0" applyFont="1" applyFill="1" applyAlignment="1">
      <alignment horizontal="left" vertical="center"/>
    </xf>
    <xf numFmtId="0" fontId="99" fillId="25" borderId="0" xfId="0" applyFont="1" applyFill="1" applyAlignment="1">
      <alignment horizontal="center" vertical="center"/>
    </xf>
    <xf numFmtId="0" fontId="104" fillId="20" borderId="44" xfId="0" applyFont="1" applyFill="1" applyBorder="1" applyAlignment="1">
      <alignment horizontal="left" vertical="center"/>
    </xf>
    <xf numFmtId="0" fontId="104" fillId="20" borderId="42" xfId="0" applyFont="1" applyFill="1" applyBorder="1" applyAlignment="1">
      <alignment horizontal="left" vertical="center"/>
    </xf>
    <xf numFmtId="0" fontId="75" fillId="3" borderId="52" xfId="2" applyFont="1" applyFill="1" applyBorder="1" applyAlignment="1">
      <alignment horizontal="center" vertical="center"/>
    </xf>
    <xf numFmtId="0" fontId="75" fillId="3" borderId="53" xfId="2" applyFont="1" applyFill="1" applyBorder="1" applyAlignment="1">
      <alignment horizontal="center" vertical="center"/>
    </xf>
    <xf numFmtId="0" fontId="75" fillId="3" borderId="54" xfId="2" applyFont="1" applyFill="1" applyBorder="1" applyAlignment="1">
      <alignment horizontal="center" vertical="center"/>
    </xf>
    <xf numFmtId="0" fontId="3" fillId="10" borderId="8" xfId="2" applyFont="1" applyFill="1" applyBorder="1" applyAlignment="1">
      <alignment horizontal="left" vertical="center"/>
    </xf>
    <xf numFmtId="0" fontId="3" fillId="10" borderId="9" xfId="2" applyFont="1" applyFill="1" applyBorder="1" applyAlignment="1">
      <alignment horizontal="left" vertical="center"/>
    </xf>
    <xf numFmtId="0" fontId="3" fillId="10" borderId="15" xfId="2" applyFont="1" applyFill="1" applyBorder="1" applyAlignment="1">
      <alignment horizontal="left" vertical="center"/>
    </xf>
    <xf numFmtId="197" fontId="2" fillId="19" borderId="8" xfId="2" applyNumberFormat="1" applyFill="1" applyBorder="1" applyAlignment="1">
      <alignment horizontal="left" vertical="center"/>
    </xf>
    <xf numFmtId="197" fontId="2" fillId="19" borderId="9" xfId="2" applyNumberFormat="1" applyFill="1" applyBorder="1" applyAlignment="1">
      <alignment horizontal="left" vertical="center"/>
    </xf>
    <xf numFmtId="197" fontId="2" fillId="19" borderId="15" xfId="2" applyNumberFormat="1" applyFill="1" applyBorder="1" applyAlignment="1">
      <alignment horizontal="left" vertical="center"/>
    </xf>
    <xf numFmtId="197" fontId="2" fillId="24" borderId="8" xfId="2" applyNumberFormat="1" applyFill="1" applyBorder="1" applyAlignment="1">
      <alignment horizontal="left" vertical="center"/>
    </xf>
    <xf numFmtId="197" fontId="2" fillId="24" borderId="9" xfId="2" applyNumberFormat="1" applyFill="1" applyBorder="1" applyAlignment="1">
      <alignment horizontal="left" vertical="center"/>
    </xf>
    <xf numFmtId="197" fontId="2" fillId="24" borderId="15" xfId="2" applyNumberFormat="1" applyFill="1" applyBorder="1" applyAlignment="1">
      <alignment horizontal="left" vertical="center"/>
    </xf>
    <xf numFmtId="200" fontId="2" fillId="19" borderId="8" xfId="2" applyNumberFormat="1" applyFill="1" applyBorder="1" applyAlignment="1">
      <alignment horizontal="left" vertical="center"/>
    </xf>
    <xf numFmtId="200" fontId="2" fillId="19" borderId="9" xfId="2" applyNumberFormat="1" applyFill="1" applyBorder="1" applyAlignment="1">
      <alignment horizontal="left" vertical="center"/>
    </xf>
    <xf numFmtId="200" fontId="2" fillId="19" borderId="15" xfId="2" applyNumberFormat="1" applyFill="1" applyBorder="1" applyAlignment="1">
      <alignment horizontal="left" vertical="center"/>
    </xf>
    <xf numFmtId="198" fontId="2" fillId="19" borderId="8" xfId="2" applyNumberFormat="1" applyFill="1" applyBorder="1" applyAlignment="1">
      <alignment horizontal="left" vertical="center"/>
    </xf>
    <xf numFmtId="198" fontId="2" fillId="19" borderId="9" xfId="2" applyNumberFormat="1" applyFill="1" applyBorder="1" applyAlignment="1">
      <alignment horizontal="left" vertical="center"/>
    </xf>
    <xf numFmtId="198" fontId="2" fillId="19" borderId="15" xfId="2" applyNumberFormat="1" applyFill="1" applyBorder="1" applyAlignment="1">
      <alignment horizontal="left" vertical="center"/>
    </xf>
    <xf numFmtId="199" fontId="2" fillId="19" borderId="8" xfId="2" applyNumberFormat="1" applyFill="1" applyBorder="1" applyAlignment="1">
      <alignment horizontal="left" vertical="center"/>
    </xf>
    <xf numFmtId="199" fontId="2" fillId="19" borderId="9" xfId="2" applyNumberFormat="1" applyFill="1" applyBorder="1" applyAlignment="1">
      <alignment horizontal="left" vertical="center"/>
    </xf>
    <xf numFmtId="199" fontId="2" fillId="19" borderId="15" xfId="2" applyNumberFormat="1" applyFill="1" applyBorder="1" applyAlignment="1">
      <alignment horizontal="left" vertical="center"/>
    </xf>
    <xf numFmtId="194" fontId="2" fillId="10" borderId="8" xfId="2" applyNumberFormat="1" applyFill="1" applyBorder="1" applyAlignment="1">
      <alignment horizontal="left" vertical="center"/>
    </xf>
    <xf numFmtId="194" fontId="2" fillId="10" borderId="9" xfId="2" applyNumberFormat="1" applyFill="1" applyBorder="1" applyAlignment="1">
      <alignment horizontal="left" vertical="center"/>
    </xf>
    <xf numFmtId="193" fontId="2" fillId="23" borderId="8" xfId="2" applyNumberFormat="1" applyFill="1" applyBorder="1" applyAlignment="1">
      <alignment horizontal="left" vertical="center"/>
    </xf>
    <xf numFmtId="193" fontId="2" fillId="23" borderId="9" xfId="2" applyNumberFormat="1" applyFill="1" applyBorder="1" applyAlignment="1">
      <alignment horizontal="left" vertical="center"/>
    </xf>
    <xf numFmtId="192" fontId="2" fillId="23" borderId="8" xfId="2" applyNumberFormat="1" applyFill="1" applyBorder="1" applyAlignment="1">
      <alignment horizontal="left" vertical="center"/>
    </xf>
    <xf numFmtId="192" fontId="2" fillId="23" borderId="9" xfId="2" applyNumberFormat="1" applyFill="1" applyBorder="1" applyAlignment="1">
      <alignment horizontal="left" vertical="center"/>
    </xf>
    <xf numFmtId="0" fontId="2" fillId="19" borderId="8" xfId="2" applyFill="1" applyBorder="1" applyAlignment="1">
      <alignment horizontal="left" vertical="center"/>
    </xf>
    <xf numFmtId="0" fontId="2" fillId="19" borderId="9" xfId="2" applyFill="1" applyBorder="1" applyAlignment="1">
      <alignment horizontal="left" vertical="center"/>
    </xf>
    <xf numFmtId="194" fontId="2" fillId="19" borderId="8" xfId="2" applyNumberFormat="1" applyFill="1" applyBorder="1" applyAlignment="1">
      <alignment horizontal="left" vertical="center"/>
    </xf>
    <xf numFmtId="194" fontId="2" fillId="19" borderId="9" xfId="2" applyNumberFormat="1" applyFill="1" applyBorder="1" applyAlignment="1">
      <alignment horizontal="left" vertical="center"/>
    </xf>
    <xf numFmtId="0" fontId="2" fillId="23" borderId="8" xfId="2" applyFill="1" applyBorder="1" applyAlignment="1">
      <alignment horizontal="left" vertical="center"/>
    </xf>
    <xf numFmtId="0" fontId="2" fillId="23" borderId="9" xfId="2" applyFill="1" applyBorder="1" applyAlignment="1">
      <alignment horizontal="left" vertical="center"/>
    </xf>
    <xf numFmtId="198" fontId="2" fillId="24" borderId="8" xfId="2" applyNumberFormat="1" applyFill="1" applyBorder="1" applyAlignment="1">
      <alignment horizontal="left" vertical="center"/>
    </xf>
    <xf numFmtId="198" fontId="2" fillId="24" borderId="9" xfId="2" applyNumberFormat="1" applyFill="1" applyBorder="1" applyAlignment="1">
      <alignment horizontal="left" vertical="center"/>
    </xf>
    <xf numFmtId="198" fontId="2" fillId="24" borderId="15" xfId="2" applyNumberFormat="1" applyFill="1" applyBorder="1" applyAlignment="1">
      <alignment horizontal="left" vertical="center"/>
    </xf>
    <xf numFmtId="0" fontId="88" fillId="10" borderId="0" xfId="2" applyFont="1" applyFill="1" applyAlignment="1">
      <alignment horizontal="right" wrapText="1"/>
    </xf>
    <xf numFmtId="0" fontId="2" fillId="23" borderId="15" xfId="2" applyFill="1" applyBorder="1" applyAlignment="1">
      <alignment horizontal="left" vertical="center"/>
    </xf>
    <xf numFmtId="195" fontId="2" fillId="19" borderId="8" xfId="2" applyNumberFormat="1" applyFill="1" applyBorder="1" applyAlignment="1">
      <alignment horizontal="left" vertical="center"/>
    </xf>
    <xf numFmtId="195" fontId="2" fillId="19" borderId="9" xfId="2" applyNumberFormat="1" applyFill="1" applyBorder="1" applyAlignment="1">
      <alignment horizontal="left" vertical="center"/>
    </xf>
    <xf numFmtId="196" fontId="2" fillId="19" borderId="8" xfId="2" applyNumberFormat="1" applyFill="1" applyBorder="1" applyAlignment="1">
      <alignment horizontal="left" vertical="center"/>
    </xf>
    <xf numFmtId="196" fontId="2" fillId="19" borderId="9" xfId="2" applyNumberFormat="1" applyFill="1" applyBorder="1" applyAlignment="1">
      <alignment horizontal="left" vertical="center"/>
    </xf>
    <xf numFmtId="0" fontId="102" fillId="19" borderId="56" xfId="2" applyFont="1" applyFill="1" applyBorder="1" applyAlignment="1">
      <alignment horizontal="left" vertical="center"/>
    </xf>
    <xf numFmtId="0" fontId="102" fillId="19" borderId="0" xfId="2" applyFont="1" applyFill="1" applyAlignment="1">
      <alignment horizontal="left" vertical="center"/>
    </xf>
    <xf numFmtId="0" fontId="3" fillId="0" borderId="0" xfId="0" applyFont="1" applyAlignment="1">
      <alignment horizontal="center"/>
    </xf>
    <xf numFmtId="0" fontId="4" fillId="3" borderId="0" xfId="0" applyFont="1" applyFill="1" applyAlignment="1">
      <alignment horizontal="center"/>
    </xf>
    <xf numFmtId="0" fontId="9" fillId="3" borderId="0" xfId="0" applyFont="1" applyFill="1" applyAlignment="1">
      <alignment horizontal="center"/>
    </xf>
    <xf numFmtId="0" fontId="3" fillId="2" borderId="0" xfId="0" applyFont="1" applyFill="1" applyAlignment="1">
      <alignment horizontal="center"/>
    </xf>
    <xf numFmtId="0" fontId="14" fillId="3" borderId="0" xfId="0" applyFont="1" applyFill="1" applyAlignment="1">
      <alignment horizontal="left"/>
    </xf>
    <xf numFmtId="0" fontId="3" fillId="0" borderId="0" xfId="0" applyFont="1" applyAlignment="1">
      <alignment horizontal="left" wrapText="1"/>
    </xf>
  </cellXfs>
  <cellStyles count="6">
    <cellStyle name="Comma 2" xfId="4" xr:uid="{00000000-0005-0000-0000-000000000000}"/>
    <cellStyle name="Normal 2" xfId="2" xr:uid="{00000000-0005-0000-0000-000003000000}"/>
    <cellStyle name="Normal 3" xfId="3" xr:uid="{00000000-0005-0000-0000-000004000000}"/>
    <cellStyle name="ハイパーリンク" xfId="1" builtinId="8"/>
    <cellStyle name="桁区切り [0.00]" xfId="5" builtinId="3"/>
    <cellStyle name="標準" xfId="0" builtinId="0"/>
  </cellStyles>
  <dxfs count="25">
    <dxf>
      <font>
        <color theme="0"/>
      </font>
    </dxf>
    <dxf>
      <font>
        <color theme="0"/>
      </font>
    </dxf>
    <dxf>
      <font>
        <color theme="0"/>
      </font>
    </dxf>
    <dxf>
      <font>
        <color theme="0"/>
      </font>
    </dxf>
    <dxf>
      <font>
        <color theme="0"/>
      </font>
    </dxf>
    <dxf>
      <font>
        <color theme="0"/>
      </font>
    </dxf>
    <dxf>
      <font>
        <color rgb="FFFF0000"/>
      </font>
    </dxf>
    <dxf>
      <font>
        <color rgb="FFFF0000"/>
      </font>
    </dxf>
    <dxf>
      <font>
        <color theme="0"/>
      </font>
      <fill>
        <patternFill>
          <bgColor theme="0"/>
        </patternFill>
      </fill>
    </dxf>
    <dxf>
      <font>
        <b/>
        <i val="0"/>
        <condense val="0"/>
        <extend val="0"/>
        <color indexed="10"/>
      </font>
    </dxf>
    <dxf>
      <font>
        <b/>
        <i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ndense val="0"/>
        <extend val="0"/>
        <color indexed="12"/>
      </font>
    </dxf>
    <dxf>
      <font>
        <b/>
        <i val="0"/>
        <condense val="0"/>
        <extend val="0"/>
        <color indexed="10"/>
      </font>
    </dxf>
    <dxf>
      <font>
        <b/>
        <i val="0"/>
        <color rgb="FFFF0000"/>
      </font>
    </dxf>
    <dxf>
      <font>
        <b/>
        <i val="0"/>
        <condense val="0"/>
        <extend val="0"/>
        <color indexed="10"/>
      </font>
    </dxf>
  </dxfs>
  <tableStyles count="0" defaultTableStyle="TableStyleMedium9" defaultPivotStyle="PivotStyleLight16"/>
  <colors>
    <mruColors>
      <color rgb="FF7DC4D6"/>
      <color rgb="FF0099FF"/>
      <color rgb="FF0000FF"/>
      <color rgb="FFFFFF99"/>
      <color rgb="FF003366"/>
      <color rgb="FFCCFFFF"/>
      <color rgb="FF7030A0"/>
      <color rgb="FFD1979B"/>
      <color rgb="FFDBEEF4"/>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u="none">
                <a:latin typeface="Arial" pitchFamily="34" charset="0"/>
                <a:cs typeface="Arial" pitchFamily="34" charset="0"/>
              </a:rPr>
              <a:t>Bode Plot </a:t>
            </a:r>
          </a:p>
        </c:rich>
      </c:tx>
      <c:layout>
        <c:manualLayout>
          <c:xMode val="edge"/>
          <c:yMode val="edge"/>
          <c:x val="0.10050639430091837"/>
          <c:y val="2.3290736067608779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722"/>
        </c:manualLayout>
      </c:layout>
      <c:scatterChart>
        <c:scatterStyle val="smoothMarker"/>
        <c:varyColors val="0"/>
        <c:ser>
          <c:idx val="2"/>
          <c:order val="0"/>
          <c:tx>
            <c:v>Loop Gain</c:v>
          </c:tx>
          <c:spPr>
            <a:ln w="31750">
              <a:solidFill>
                <a:srgbClr val="FF0000"/>
              </a:solidFill>
              <a:prstDash val="solid"/>
            </a:ln>
          </c:spPr>
          <c:marker>
            <c:symbol val="none"/>
          </c:marker>
          <c:xVal>
            <c:numRef>
              <c:f>'Bode Plots Calculations'!$B$9:$B$676</c:f>
              <c:numCache>
                <c:formatCode>General</c:formatCode>
                <c:ptCount val="668"/>
                <c:pt idx="0">
                  <c:v>1E-3</c:v>
                </c:pt>
                <c:pt idx="1">
                  <c:v>2E-3</c:v>
                </c:pt>
                <c:pt idx="2">
                  <c:v>3.0000000000000001E-3</c:v>
                </c:pt>
                <c:pt idx="3">
                  <c:v>4.0000000000000001E-3</c:v>
                </c:pt>
                <c:pt idx="4">
                  <c:v>5.0000000000000001E-3</c:v>
                </c:pt>
                <c:pt idx="5">
                  <c:v>6.0000000000000001E-3</c:v>
                </c:pt>
                <c:pt idx="6">
                  <c:v>7.0000000000000001E-3</c:v>
                </c:pt>
                <c:pt idx="7">
                  <c:v>8.0000000000000002E-3</c:v>
                </c:pt>
                <c:pt idx="8">
                  <c:v>8.9999999999999993E-3</c:v>
                </c:pt>
                <c:pt idx="9">
                  <c:v>0.01</c:v>
                </c:pt>
                <c:pt idx="10">
                  <c:v>0.02</c:v>
                </c:pt>
                <c:pt idx="11">
                  <c:v>0.03</c:v>
                </c:pt>
                <c:pt idx="12">
                  <c:v>0.04</c:v>
                </c:pt>
                <c:pt idx="13">
                  <c:v>0.05</c:v>
                </c:pt>
                <c:pt idx="14">
                  <c:v>0.06</c:v>
                </c:pt>
                <c:pt idx="15">
                  <c:v>7.0000000000000007E-2</c:v>
                </c:pt>
                <c:pt idx="16">
                  <c:v>0.08</c:v>
                </c:pt>
                <c:pt idx="17">
                  <c:v>0.09</c:v>
                </c:pt>
                <c:pt idx="18">
                  <c:v>0.1</c:v>
                </c:pt>
                <c:pt idx="19">
                  <c:v>0.2</c:v>
                </c:pt>
                <c:pt idx="20">
                  <c:v>0.3</c:v>
                </c:pt>
                <c:pt idx="21">
                  <c:v>0.4</c:v>
                </c:pt>
                <c:pt idx="22">
                  <c:v>0.5</c:v>
                </c:pt>
                <c:pt idx="23">
                  <c:v>0.6</c:v>
                </c:pt>
                <c:pt idx="24">
                  <c:v>0.7</c:v>
                </c:pt>
                <c:pt idx="25">
                  <c:v>0.8</c:v>
                </c:pt>
                <c:pt idx="26">
                  <c:v>0.9</c:v>
                </c:pt>
                <c:pt idx="27">
                  <c:v>1</c:v>
                </c:pt>
                <c:pt idx="28">
                  <c:v>1.5</c:v>
                </c:pt>
                <c:pt idx="29">
                  <c:v>2</c:v>
                </c:pt>
                <c:pt idx="30">
                  <c:v>2.5</c:v>
                </c:pt>
                <c:pt idx="31">
                  <c:v>3</c:v>
                </c:pt>
                <c:pt idx="32">
                  <c:v>3.5</c:v>
                </c:pt>
                <c:pt idx="33">
                  <c:v>4</c:v>
                </c:pt>
                <c:pt idx="34">
                  <c:v>4.5</c:v>
                </c:pt>
                <c:pt idx="35">
                  <c:v>5</c:v>
                </c:pt>
                <c:pt idx="36">
                  <c:v>5.5</c:v>
                </c:pt>
                <c:pt idx="37">
                  <c:v>6</c:v>
                </c:pt>
                <c:pt idx="38">
                  <c:v>6.5</c:v>
                </c:pt>
                <c:pt idx="39">
                  <c:v>7</c:v>
                </c:pt>
                <c:pt idx="40">
                  <c:v>7.5</c:v>
                </c:pt>
                <c:pt idx="41">
                  <c:v>8</c:v>
                </c:pt>
                <c:pt idx="42">
                  <c:v>8.5</c:v>
                </c:pt>
                <c:pt idx="43">
                  <c:v>9</c:v>
                </c:pt>
                <c:pt idx="44">
                  <c:v>9.5</c:v>
                </c:pt>
                <c:pt idx="45">
                  <c:v>10</c:v>
                </c:pt>
                <c:pt idx="46">
                  <c:v>10.5</c:v>
                </c:pt>
                <c:pt idx="47">
                  <c:v>11</c:v>
                </c:pt>
                <c:pt idx="48">
                  <c:v>11.5</c:v>
                </c:pt>
                <c:pt idx="49">
                  <c:v>12</c:v>
                </c:pt>
                <c:pt idx="50">
                  <c:v>12.5</c:v>
                </c:pt>
                <c:pt idx="51">
                  <c:v>13</c:v>
                </c:pt>
                <c:pt idx="52">
                  <c:v>13.5</c:v>
                </c:pt>
                <c:pt idx="53">
                  <c:v>14</c:v>
                </c:pt>
                <c:pt idx="54">
                  <c:v>14.5</c:v>
                </c:pt>
                <c:pt idx="55">
                  <c:v>15</c:v>
                </c:pt>
                <c:pt idx="56">
                  <c:v>15.5</c:v>
                </c:pt>
                <c:pt idx="57">
                  <c:v>16</c:v>
                </c:pt>
                <c:pt idx="58">
                  <c:v>16.5</c:v>
                </c:pt>
                <c:pt idx="59">
                  <c:v>17</c:v>
                </c:pt>
                <c:pt idx="60">
                  <c:v>17.5</c:v>
                </c:pt>
                <c:pt idx="61">
                  <c:v>18</c:v>
                </c:pt>
                <c:pt idx="62">
                  <c:v>18.5</c:v>
                </c:pt>
                <c:pt idx="63">
                  <c:v>19</c:v>
                </c:pt>
                <c:pt idx="64">
                  <c:v>19.5</c:v>
                </c:pt>
                <c:pt idx="65">
                  <c:v>20</c:v>
                </c:pt>
                <c:pt idx="66">
                  <c:v>20.5</c:v>
                </c:pt>
                <c:pt idx="67">
                  <c:v>21</c:v>
                </c:pt>
                <c:pt idx="68">
                  <c:v>21.5</c:v>
                </c:pt>
                <c:pt idx="69">
                  <c:v>22</c:v>
                </c:pt>
                <c:pt idx="70">
                  <c:v>22.5</c:v>
                </c:pt>
                <c:pt idx="71">
                  <c:v>23</c:v>
                </c:pt>
                <c:pt idx="72">
                  <c:v>23.5</c:v>
                </c:pt>
                <c:pt idx="73">
                  <c:v>24</c:v>
                </c:pt>
                <c:pt idx="74">
                  <c:v>24.5</c:v>
                </c:pt>
                <c:pt idx="75">
                  <c:v>25</c:v>
                </c:pt>
                <c:pt idx="76">
                  <c:v>25.5</c:v>
                </c:pt>
                <c:pt idx="77">
                  <c:v>26</c:v>
                </c:pt>
                <c:pt idx="78">
                  <c:v>26.5</c:v>
                </c:pt>
                <c:pt idx="79">
                  <c:v>27</c:v>
                </c:pt>
                <c:pt idx="80">
                  <c:v>27.5</c:v>
                </c:pt>
                <c:pt idx="81">
                  <c:v>28</c:v>
                </c:pt>
                <c:pt idx="82">
                  <c:v>28.5</c:v>
                </c:pt>
                <c:pt idx="83">
                  <c:v>29</c:v>
                </c:pt>
                <c:pt idx="84">
                  <c:v>29.5</c:v>
                </c:pt>
                <c:pt idx="85">
                  <c:v>30</c:v>
                </c:pt>
                <c:pt idx="86">
                  <c:v>30.5</c:v>
                </c:pt>
                <c:pt idx="87">
                  <c:v>31</c:v>
                </c:pt>
                <c:pt idx="88">
                  <c:v>31.5</c:v>
                </c:pt>
                <c:pt idx="89">
                  <c:v>32</c:v>
                </c:pt>
                <c:pt idx="90">
                  <c:v>32.5</c:v>
                </c:pt>
                <c:pt idx="91">
                  <c:v>33</c:v>
                </c:pt>
                <c:pt idx="92">
                  <c:v>33.5</c:v>
                </c:pt>
                <c:pt idx="93">
                  <c:v>34</c:v>
                </c:pt>
                <c:pt idx="94">
                  <c:v>34.5</c:v>
                </c:pt>
                <c:pt idx="95">
                  <c:v>35</c:v>
                </c:pt>
                <c:pt idx="96">
                  <c:v>35.5</c:v>
                </c:pt>
                <c:pt idx="97">
                  <c:v>36</c:v>
                </c:pt>
                <c:pt idx="98">
                  <c:v>36.5</c:v>
                </c:pt>
                <c:pt idx="99">
                  <c:v>37</c:v>
                </c:pt>
                <c:pt idx="100">
                  <c:v>37.5</c:v>
                </c:pt>
                <c:pt idx="101">
                  <c:v>38</c:v>
                </c:pt>
                <c:pt idx="102">
                  <c:v>38.5</c:v>
                </c:pt>
                <c:pt idx="103">
                  <c:v>39</c:v>
                </c:pt>
                <c:pt idx="104">
                  <c:v>39.5</c:v>
                </c:pt>
                <c:pt idx="105">
                  <c:v>40</c:v>
                </c:pt>
                <c:pt idx="106">
                  <c:v>40.5</c:v>
                </c:pt>
                <c:pt idx="107">
                  <c:v>41</c:v>
                </c:pt>
                <c:pt idx="108">
                  <c:v>41.5</c:v>
                </c:pt>
                <c:pt idx="109">
                  <c:v>42</c:v>
                </c:pt>
                <c:pt idx="110">
                  <c:v>42.5</c:v>
                </c:pt>
                <c:pt idx="111">
                  <c:v>43</c:v>
                </c:pt>
                <c:pt idx="112">
                  <c:v>43.5</c:v>
                </c:pt>
                <c:pt idx="113">
                  <c:v>44</c:v>
                </c:pt>
                <c:pt idx="114">
                  <c:v>44.5</c:v>
                </c:pt>
                <c:pt idx="115">
                  <c:v>45</c:v>
                </c:pt>
                <c:pt idx="116">
                  <c:v>45.5</c:v>
                </c:pt>
                <c:pt idx="117">
                  <c:v>46</c:v>
                </c:pt>
                <c:pt idx="118">
                  <c:v>46.5</c:v>
                </c:pt>
                <c:pt idx="119">
                  <c:v>47</c:v>
                </c:pt>
                <c:pt idx="120">
                  <c:v>47.5</c:v>
                </c:pt>
                <c:pt idx="121">
                  <c:v>48</c:v>
                </c:pt>
                <c:pt idx="122">
                  <c:v>48.5</c:v>
                </c:pt>
                <c:pt idx="123">
                  <c:v>49</c:v>
                </c:pt>
                <c:pt idx="124">
                  <c:v>49.5</c:v>
                </c:pt>
                <c:pt idx="125">
                  <c:v>50</c:v>
                </c:pt>
                <c:pt idx="126">
                  <c:v>50.5</c:v>
                </c:pt>
                <c:pt idx="127">
                  <c:v>51</c:v>
                </c:pt>
                <c:pt idx="128">
                  <c:v>51.5</c:v>
                </c:pt>
                <c:pt idx="129">
                  <c:v>52</c:v>
                </c:pt>
                <c:pt idx="130">
                  <c:v>52.5</c:v>
                </c:pt>
                <c:pt idx="131">
                  <c:v>53</c:v>
                </c:pt>
                <c:pt idx="132">
                  <c:v>53.5</c:v>
                </c:pt>
                <c:pt idx="133">
                  <c:v>54</c:v>
                </c:pt>
                <c:pt idx="134">
                  <c:v>54.5</c:v>
                </c:pt>
                <c:pt idx="135">
                  <c:v>55</c:v>
                </c:pt>
                <c:pt idx="136">
                  <c:v>55.5</c:v>
                </c:pt>
                <c:pt idx="137">
                  <c:v>56</c:v>
                </c:pt>
                <c:pt idx="138">
                  <c:v>56.5</c:v>
                </c:pt>
                <c:pt idx="139">
                  <c:v>57</c:v>
                </c:pt>
                <c:pt idx="140">
                  <c:v>57.5</c:v>
                </c:pt>
                <c:pt idx="141">
                  <c:v>58</c:v>
                </c:pt>
                <c:pt idx="142">
                  <c:v>58.5</c:v>
                </c:pt>
                <c:pt idx="143">
                  <c:v>59</c:v>
                </c:pt>
                <c:pt idx="144">
                  <c:v>59.5</c:v>
                </c:pt>
                <c:pt idx="145">
                  <c:v>60</c:v>
                </c:pt>
                <c:pt idx="146">
                  <c:v>60.5</c:v>
                </c:pt>
                <c:pt idx="147">
                  <c:v>61</c:v>
                </c:pt>
                <c:pt idx="148">
                  <c:v>61.5</c:v>
                </c:pt>
                <c:pt idx="149">
                  <c:v>62</c:v>
                </c:pt>
                <c:pt idx="150">
                  <c:v>62.5</c:v>
                </c:pt>
                <c:pt idx="151">
                  <c:v>63</c:v>
                </c:pt>
                <c:pt idx="152">
                  <c:v>63.5</c:v>
                </c:pt>
                <c:pt idx="153">
                  <c:v>64</c:v>
                </c:pt>
                <c:pt idx="154">
                  <c:v>64.5</c:v>
                </c:pt>
                <c:pt idx="155">
                  <c:v>65</c:v>
                </c:pt>
                <c:pt idx="156">
                  <c:v>65.5</c:v>
                </c:pt>
                <c:pt idx="157">
                  <c:v>66</c:v>
                </c:pt>
                <c:pt idx="158">
                  <c:v>66.5</c:v>
                </c:pt>
                <c:pt idx="159">
                  <c:v>67</c:v>
                </c:pt>
                <c:pt idx="160">
                  <c:v>67.5</c:v>
                </c:pt>
                <c:pt idx="161">
                  <c:v>68</c:v>
                </c:pt>
                <c:pt idx="162">
                  <c:v>68.5</c:v>
                </c:pt>
                <c:pt idx="163">
                  <c:v>69</c:v>
                </c:pt>
                <c:pt idx="164">
                  <c:v>69.5</c:v>
                </c:pt>
                <c:pt idx="165">
                  <c:v>70</c:v>
                </c:pt>
                <c:pt idx="166">
                  <c:v>70.5</c:v>
                </c:pt>
                <c:pt idx="167">
                  <c:v>71</c:v>
                </c:pt>
                <c:pt idx="168">
                  <c:v>71.5</c:v>
                </c:pt>
                <c:pt idx="169">
                  <c:v>72</c:v>
                </c:pt>
                <c:pt idx="170">
                  <c:v>72.5</c:v>
                </c:pt>
                <c:pt idx="171">
                  <c:v>73</c:v>
                </c:pt>
                <c:pt idx="172">
                  <c:v>73.5</c:v>
                </c:pt>
                <c:pt idx="173">
                  <c:v>74</c:v>
                </c:pt>
                <c:pt idx="174">
                  <c:v>74.5</c:v>
                </c:pt>
                <c:pt idx="175">
                  <c:v>75</c:v>
                </c:pt>
                <c:pt idx="176">
                  <c:v>75.5</c:v>
                </c:pt>
                <c:pt idx="177">
                  <c:v>76</c:v>
                </c:pt>
                <c:pt idx="178">
                  <c:v>76.5</c:v>
                </c:pt>
                <c:pt idx="179">
                  <c:v>77</c:v>
                </c:pt>
                <c:pt idx="180">
                  <c:v>77.5</c:v>
                </c:pt>
                <c:pt idx="181">
                  <c:v>78</c:v>
                </c:pt>
                <c:pt idx="182">
                  <c:v>78.5</c:v>
                </c:pt>
                <c:pt idx="183">
                  <c:v>79</c:v>
                </c:pt>
                <c:pt idx="184">
                  <c:v>79.5</c:v>
                </c:pt>
                <c:pt idx="185">
                  <c:v>80</c:v>
                </c:pt>
                <c:pt idx="186">
                  <c:v>80.5</c:v>
                </c:pt>
                <c:pt idx="187">
                  <c:v>81</c:v>
                </c:pt>
                <c:pt idx="188">
                  <c:v>81.5</c:v>
                </c:pt>
                <c:pt idx="189">
                  <c:v>82</c:v>
                </c:pt>
                <c:pt idx="190">
                  <c:v>82.5</c:v>
                </c:pt>
                <c:pt idx="191">
                  <c:v>83</c:v>
                </c:pt>
                <c:pt idx="192">
                  <c:v>83.5</c:v>
                </c:pt>
                <c:pt idx="193">
                  <c:v>84</c:v>
                </c:pt>
                <c:pt idx="194">
                  <c:v>84.5</c:v>
                </c:pt>
                <c:pt idx="195">
                  <c:v>85</c:v>
                </c:pt>
                <c:pt idx="196">
                  <c:v>85.5</c:v>
                </c:pt>
                <c:pt idx="197">
                  <c:v>86</c:v>
                </c:pt>
                <c:pt idx="198">
                  <c:v>86.5</c:v>
                </c:pt>
                <c:pt idx="199">
                  <c:v>87</c:v>
                </c:pt>
                <c:pt idx="200">
                  <c:v>87.5</c:v>
                </c:pt>
                <c:pt idx="201">
                  <c:v>88</c:v>
                </c:pt>
                <c:pt idx="202">
                  <c:v>88.5</c:v>
                </c:pt>
                <c:pt idx="203">
                  <c:v>89</c:v>
                </c:pt>
                <c:pt idx="204">
                  <c:v>89.5</c:v>
                </c:pt>
                <c:pt idx="205">
                  <c:v>90</c:v>
                </c:pt>
                <c:pt idx="206">
                  <c:v>90.5</c:v>
                </c:pt>
                <c:pt idx="207">
                  <c:v>91</c:v>
                </c:pt>
                <c:pt idx="208">
                  <c:v>91.5</c:v>
                </c:pt>
                <c:pt idx="209">
                  <c:v>92</c:v>
                </c:pt>
                <c:pt idx="210">
                  <c:v>92.5</c:v>
                </c:pt>
                <c:pt idx="211">
                  <c:v>93</c:v>
                </c:pt>
                <c:pt idx="212">
                  <c:v>93.5</c:v>
                </c:pt>
                <c:pt idx="213">
                  <c:v>94</c:v>
                </c:pt>
                <c:pt idx="214">
                  <c:v>94.5</c:v>
                </c:pt>
                <c:pt idx="215">
                  <c:v>95</c:v>
                </c:pt>
                <c:pt idx="216">
                  <c:v>95.5</c:v>
                </c:pt>
                <c:pt idx="217">
                  <c:v>96</c:v>
                </c:pt>
                <c:pt idx="218">
                  <c:v>96.5</c:v>
                </c:pt>
                <c:pt idx="219">
                  <c:v>97</c:v>
                </c:pt>
                <c:pt idx="220">
                  <c:v>97.5</c:v>
                </c:pt>
                <c:pt idx="221">
                  <c:v>98</c:v>
                </c:pt>
                <c:pt idx="222">
                  <c:v>98.5</c:v>
                </c:pt>
                <c:pt idx="223">
                  <c:v>99</c:v>
                </c:pt>
                <c:pt idx="224">
                  <c:v>99.5</c:v>
                </c:pt>
                <c:pt idx="225">
                  <c:v>100</c:v>
                </c:pt>
                <c:pt idx="226">
                  <c:v>105</c:v>
                </c:pt>
                <c:pt idx="227">
                  <c:v>110</c:v>
                </c:pt>
                <c:pt idx="228">
                  <c:v>115</c:v>
                </c:pt>
                <c:pt idx="229">
                  <c:v>120</c:v>
                </c:pt>
                <c:pt idx="230">
                  <c:v>125</c:v>
                </c:pt>
                <c:pt idx="231">
                  <c:v>130</c:v>
                </c:pt>
                <c:pt idx="232">
                  <c:v>135</c:v>
                </c:pt>
                <c:pt idx="233">
                  <c:v>140</c:v>
                </c:pt>
                <c:pt idx="234">
                  <c:v>145</c:v>
                </c:pt>
                <c:pt idx="235">
                  <c:v>150</c:v>
                </c:pt>
                <c:pt idx="236">
                  <c:v>155</c:v>
                </c:pt>
                <c:pt idx="237">
                  <c:v>160</c:v>
                </c:pt>
                <c:pt idx="238">
                  <c:v>165</c:v>
                </c:pt>
                <c:pt idx="239">
                  <c:v>170</c:v>
                </c:pt>
                <c:pt idx="240">
                  <c:v>175</c:v>
                </c:pt>
                <c:pt idx="241">
                  <c:v>180</c:v>
                </c:pt>
                <c:pt idx="242">
                  <c:v>185</c:v>
                </c:pt>
                <c:pt idx="243">
                  <c:v>190</c:v>
                </c:pt>
                <c:pt idx="244">
                  <c:v>195</c:v>
                </c:pt>
                <c:pt idx="245">
                  <c:v>200</c:v>
                </c:pt>
                <c:pt idx="246">
                  <c:v>205</c:v>
                </c:pt>
                <c:pt idx="247">
                  <c:v>210</c:v>
                </c:pt>
                <c:pt idx="248">
                  <c:v>215</c:v>
                </c:pt>
                <c:pt idx="249">
                  <c:v>220</c:v>
                </c:pt>
                <c:pt idx="250">
                  <c:v>225</c:v>
                </c:pt>
                <c:pt idx="251">
                  <c:v>230</c:v>
                </c:pt>
                <c:pt idx="252">
                  <c:v>235</c:v>
                </c:pt>
                <c:pt idx="253">
                  <c:v>240</c:v>
                </c:pt>
                <c:pt idx="254">
                  <c:v>245</c:v>
                </c:pt>
                <c:pt idx="255">
                  <c:v>250</c:v>
                </c:pt>
                <c:pt idx="256">
                  <c:v>255</c:v>
                </c:pt>
                <c:pt idx="257">
                  <c:v>260</c:v>
                </c:pt>
                <c:pt idx="258">
                  <c:v>265</c:v>
                </c:pt>
                <c:pt idx="259">
                  <c:v>270</c:v>
                </c:pt>
                <c:pt idx="260">
                  <c:v>275</c:v>
                </c:pt>
                <c:pt idx="261">
                  <c:v>280</c:v>
                </c:pt>
                <c:pt idx="262">
                  <c:v>285</c:v>
                </c:pt>
                <c:pt idx="263">
                  <c:v>290</c:v>
                </c:pt>
                <c:pt idx="264">
                  <c:v>295</c:v>
                </c:pt>
                <c:pt idx="265">
                  <c:v>300</c:v>
                </c:pt>
                <c:pt idx="266">
                  <c:v>305</c:v>
                </c:pt>
                <c:pt idx="267">
                  <c:v>310</c:v>
                </c:pt>
                <c:pt idx="268">
                  <c:v>315</c:v>
                </c:pt>
                <c:pt idx="269">
                  <c:v>320</c:v>
                </c:pt>
                <c:pt idx="270">
                  <c:v>325</c:v>
                </c:pt>
                <c:pt idx="271">
                  <c:v>330</c:v>
                </c:pt>
                <c:pt idx="272">
                  <c:v>335</c:v>
                </c:pt>
                <c:pt idx="273">
                  <c:v>340</c:v>
                </c:pt>
                <c:pt idx="274">
                  <c:v>345</c:v>
                </c:pt>
                <c:pt idx="275">
                  <c:v>350</c:v>
                </c:pt>
                <c:pt idx="276">
                  <c:v>355</c:v>
                </c:pt>
                <c:pt idx="277">
                  <c:v>360</c:v>
                </c:pt>
                <c:pt idx="278">
                  <c:v>365</c:v>
                </c:pt>
                <c:pt idx="279">
                  <c:v>370</c:v>
                </c:pt>
                <c:pt idx="280">
                  <c:v>375</c:v>
                </c:pt>
                <c:pt idx="281">
                  <c:v>380</c:v>
                </c:pt>
                <c:pt idx="282">
                  <c:v>385</c:v>
                </c:pt>
                <c:pt idx="283">
                  <c:v>390</c:v>
                </c:pt>
                <c:pt idx="284">
                  <c:v>395</c:v>
                </c:pt>
                <c:pt idx="285">
                  <c:v>400</c:v>
                </c:pt>
                <c:pt idx="286">
                  <c:v>405</c:v>
                </c:pt>
                <c:pt idx="287">
                  <c:v>410</c:v>
                </c:pt>
                <c:pt idx="288">
                  <c:v>415</c:v>
                </c:pt>
                <c:pt idx="289">
                  <c:v>420</c:v>
                </c:pt>
                <c:pt idx="290">
                  <c:v>425</c:v>
                </c:pt>
                <c:pt idx="291">
                  <c:v>430</c:v>
                </c:pt>
                <c:pt idx="292">
                  <c:v>435</c:v>
                </c:pt>
                <c:pt idx="293">
                  <c:v>440</c:v>
                </c:pt>
                <c:pt idx="294">
                  <c:v>445</c:v>
                </c:pt>
                <c:pt idx="295">
                  <c:v>450</c:v>
                </c:pt>
                <c:pt idx="296">
                  <c:v>455</c:v>
                </c:pt>
                <c:pt idx="297">
                  <c:v>460</c:v>
                </c:pt>
                <c:pt idx="298">
                  <c:v>465</c:v>
                </c:pt>
                <c:pt idx="299">
                  <c:v>470</c:v>
                </c:pt>
                <c:pt idx="300">
                  <c:v>475</c:v>
                </c:pt>
                <c:pt idx="301">
                  <c:v>480</c:v>
                </c:pt>
                <c:pt idx="302">
                  <c:v>485</c:v>
                </c:pt>
                <c:pt idx="303">
                  <c:v>490</c:v>
                </c:pt>
                <c:pt idx="304">
                  <c:v>495</c:v>
                </c:pt>
                <c:pt idx="305">
                  <c:v>500</c:v>
                </c:pt>
                <c:pt idx="306">
                  <c:v>505</c:v>
                </c:pt>
                <c:pt idx="307">
                  <c:v>510</c:v>
                </c:pt>
                <c:pt idx="308">
                  <c:v>515</c:v>
                </c:pt>
                <c:pt idx="309">
                  <c:v>520</c:v>
                </c:pt>
                <c:pt idx="310">
                  <c:v>525</c:v>
                </c:pt>
                <c:pt idx="311">
                  <c:v>530</c:v>
                </c:pt>
                <c:pt idx="312">
                  <c:v>535</c:v>
                </c:pt>
                <c:pt idx="313">
                  <c:v>540</c:v>
                </c:pt>
                <c:pt idx="314">
                  <c:v>545</c:v>
                </c:pt>
                <c:pt idx="315">
                  <c:v>550</c:v>
                </c:pt>
                <c:pt idx="316">
                  <c:v>555</c:v>
                </c:pt>
                <c:pt idx="317">
                  <c:v>560</c:v>
                </c:pt>
                <c:pt idx="318">
                  <c:v>565</c:v>
                </c:pt>
                <c:pt idx="319">
                  <c:v>570</c:v>
                </c:pt>
                <c:pt idx="320">
                  <c:v>575</c:v>
                </c:pt>
                <c:pt idx="321">
                  <c:v>580</c:v>
                </c:pt>
                <c:pt idx="322">
                  <c:v>585</c:v>
                </c:pt>
                <c:pt idx="323">
                  <c:v>590</c:v>
                </c:pt>
                <c:pt idx="324">
                  <c:v>595</c:v>
                </c:pt>
                <c:pt idx="325">
                  <c:v>600</c:v>
                </c:pt>
                <c:pt idx="326">
                  <c:v>605</c:v>
                </c:pt>
                <c:pt idx="327">
                  <c:v>610</c:v>
                </c:pt>
                <c:pt idx="328">
                  <c:v>615</c:v>
                </c:pt>
                <c:pt idx="329">
                  <c:v>620</c:v>
                </c:pt>
                <c:pt idx="330">
                  <c:v>625</c:v>
                </c:pt>
                <c:pt idx="331">
                  <c:v>630</c:v>
                </c:pt>
                <c:pt idx="332">
                  <c:v>635</c:v>
                </c:pt>
                <c:pt idx="333">
                  <c:v>640</c:v>
                </c:pt>
                <c:pt idx="334">
                  <c:v>645</c:v>
                </c:pt>
                <c:pt idx="335">
                  <c:v>650</c:v>
                </c:pt>
                <c:pt idx="336">
                  <c:v>655</c:v>
                </c:pt>
                <c:pt idx="337">
                  <c:v>660</c:v>
                </c:pt>
                <c:pt idx="338">
                  <c:v>665</c:v>
                </c:pt>
                <c:pt idx="339">
                  <c:v>670</c:v>
                </c:pt>
                <c:pt idx="340">
                  <c:v>675</c:v>
                </c:pt>
                <c:pt idx="341">
                  <c:v>680</c:v>
                </c:pt>
                <c:pt idx="342">
                  <c:v>685</c:v>
                </c:pt>
                <c:pt idx="343">
                  <c:v>690</c:v>
                </c:pt>
                <c:pt idx="344">
                  <c:v>695</c:v>
                </c:pt>
                <c:pt idx="345">
                  <c:v>700</c:v>
                </c:pt>
                <c:pt idx="346">
                  <c:v>705</c:v>
                </c:pt>
                <c:pt idx="347">
                  <c:v>710</c:v>
                </c:pt>
                <c:pt idx="348">
                  <c:v>715</c:v>
                </c:pt>
                <c:pt idx="349">
                  <c:v>720</c:v>
                </c:pt>
                <c:pt idx="350">
                  <c:v>725</c:v>
                </c:pt>
                <c:pt idx="351">
                  <c:v>730</c:v>
                </c:pt>
                <c:pt idx="352">
                  <c:v>735</c:v>
                </c:pt>
                <c:pt idx="353">
                  <c:v>740</c:v>
                </c:pt>
                <c:pt idx="354">
                  <c:v>745</c:v>
                </c:pt>
                <c:pt idx="355">
                  <c:v>750</c:v>
                </c:pt>
                <c:pt idx="356">
                  <c:v>755</c:v>
                </c:pt>
                <c:pt idx="357">
                  <c:v>760</c:v>
                </c:pt>
                <c:pt idx="358">
                  <c:v>765</c:v>
                </c:pt>
                <c:pt idx="359">
                  <c:v>770</c:v>
                </c:pt>
                <c:pt idx="360">
                  <c:v>775</c:v>
                </c:pt>
                <c:pt idx="361">
                  <c:v>780</c:v>
                </c:pt>
                <c:pt idx="362">
                  <c:v>785</c:v>
                </c:pt>
                <c:pt idx="363">
                  <c:v>790</c:v>
                </c:pt>
                <c:pt idx="364">
                  <c:v>795</c:v>
                </c:pt>
                <c:pt idx="365">
                  <c:v>800</c:v>
                </c:pt>
                <c:pt idx="366">
                  <c:v>805</c:v>
                </c:pt>
                <c:pt idx="367">
                  <c:v>810</c:v>
                </c:pt>
                <c:pt idx="368">
                  <c:v>815</c:v>
                </c:pt>
                <c:pt idx="369">
                  <c:v>820</c:v>
                </c:pt>
                <c:pt idx="370">
                  <c:v>825</c:v>
                </c:pt>
                <c:pt idx="371">
                  <c:v>830</c:v>
                </c:pt>
                <c:pt idx="372">
                  <c:v>835</c:v>
                </c:pt>
                <c:pt idx="373">
                  <c:v>840</c:v>
                </c:pt>
                <c:pt idx="374">
                  <c:v>845</c:v>
                </c:pt>
                <c:pt idx="375">
                  <c:v>850</c:v>
                </c:pt>
                <c:pt idx="376">
                  <c:v>855</c:v>
                </c:pt>
                <c:pt idx="377">
                  <c:v>860</c:v>
                </c:pt>
                <c:pt idx="378">
                  <c:v>865</c:v>
                </c:pt>
                <c:pt idx="379">
                  <c:v>870</c:v>
                </c:pt>
                <c:pt idx="380">
                  <c:v>875</c:v>
                </c:pt>
                <c:pt idx="381">
                  <c:v>880</c:v>
                </c:pt>
                <c:pt idx="382">
                  <c:v>885</c:v>
                </c:pt>
                <c:pt idx="383">
                  <c:v>890</c:v>
                </c:pt>
                <c:pt idx="384">
                  <c:v>895</c:v>
                </c:pt>
                <c:pt idx="385">
                  <c:v>900</c:v>
                </c:pt>
                <c:pt idx="386">
                  <c:v>905</c:v>
                </c:pt>
                <c:pt idx="387">
                  <c:v>910</c:v>
                </c:pt>
                <c:pt idx="388">
                  <c:v>915</c:v>
                </c:pt>
                <c:pt idx="389">
                  <c:v>920</c:v>
                </c:pt>
                <c:pt idx="390">
                  <c:v>925</c:v>
                </c:pt>
                <c:pt idx="391">
                  <c:v>930</c:v>
                </c:pt>
                <c:pt idx="392">
                  <c:v>935</c:v>
                </c:pt>
                <c:pt idx="393">
                  <c:v>940</c:v>
                </c:pt>
                <c:pt idx="394">
                  <c:v>945</c:v>
                </c:pt>
                <c:pt idx="395">
                  <c:v>950</c:v>
                </c:pt>
                <c:pt idx="396">
                  <c:v>955</c:v>
                </c:pt>
                <c:pt idx="397">
                  <c:v>960</c:v>
                </c:pt>
                <c:pt idx="398">
                  <c:v>965</c:v>
                </c:pt>
                <c:pt idx="399">
                  <c:v>970</c:v>
                </c:pt>
                <c:pt idx="400">
                  <c:v>975</c:v>
                </c:pt>
                <c:pt idx="401">
                  <c:v>980</c:v>
                </c:pt>
                <c:pt idx="402">
                  <c:v>985</c:v>
                </c:pt>
                <c:pt idx="403">
                  <c:v>990</c:v>
                </c:pt>
                <c:pt idx="404">
                  <c:v>995</c:v>
                </c:pt>
                <c:pt idx="405">
                  <c:v>1000</c:v>
                </c:pt>
                <c:pt idx="406">
                  <c:v>1005</c:v>
                </c:pt>
                <c:pt idx="407">
                  <c:v>1010</c:v>
                </c:pt>
                <c:pt idx="408">
                  <c:v>1015</c:v>
                </c:pt>
                <c:pt idx="409">
                  <c:v>1020</c:v>
                </c:pt>
                <c:pt idx="410">
                  <c:v>1025</c:v>
                </c:pt>
                <c:pt idx="411">
                  <c:v>1030</c:v>
                </c:pt>
                <c:pt idx="412">
                  <c:v>1035</c:v>
                </c:pt>
                <c:pt idx="413">
                  <c:v>1040</c:v>
                </c:pt>
                <c:pt idx="414">
                  <c:v>1045</c:v>
                </c:pt>
                <c:pt idx="415">
                  <c:v>1050</c:v>
                </c:pt>
                <c:pt idx="416">
                  <c:v>1055</c:v>
                </c:pt>
                <c:pt idx="417">
                  <c:v>1060</c:v>
                </c:pt>
                <c:pt idx="418">
                  <c:v>1065</c:v>
                </c:pt>
                <c:pt idx="419">
                  <c:v>1070</c:v>
                </c:pt>
                <c:pt idx="420">
                  <c:v>1075</c:v>
                </c:pt>
                <c:pt idx="421">
                  <c:v>1080</c:v>
                </c:pt>
                <c:pt idx="422">
                  <c:v>1085</c:v>
                </c:pt>
                <c:pt idx="423">
                  <c:v>1090</c:v>
                </c:pt>
                <c:pt idx="424">
                  <c:v>1095</c:v>
                </c:pt>
                <c:pt idx="425">
                  <c:v>1100</c:v>
                </c:pt>
                <c:pt idx="426">
                  <c:v>1105</c:v>
                </c:pt>
                <c:pt idx="427">
                  <c:v>1110</c:v>
                </c:pt>
                <c:pt idx="428">
                  <c:v>1115</c:v>
                </c:pt>
                <c:pt idx="429">
                  <c:v>1120</c:v>
                </c:pt>
                <c:pt idx="430">
                  <c:v>1125</c:v>
                </c:pt>
                <c:pt idx="431">
                  <c:v>1130</c:v>
                </c:pt>
                <c:pt idx="432">
                  <c:v>1135</c:v>
                </c:pt>
                <c:pt idx="433">
                  <c:v>1140</c:v>
                </c:pt>
                <c:pt idx="434">
                  <c:v>1145</c:v>
                </c:pt>
                <c:pt idx="435">
                  <c:v>1150</c:v>
                </c:pt>
                <c:pt idx="436">
                  <c:v>1155</c:v>
                </c:pt>
                <c:pt idx="437">
                  <c:v>1160</c:v>
                </c:pt>
                <c:pt idx="438">
                  <c:v>1165</c:v>
                </c:pt>
                <c:pt idx="439">
                  <c:v>1170</c:v>
                </c:pt>
                <c:pt idx="440">
                  <c:v>1175</c:v>
                </c:pt>
                <c:pt idx="441">
                  <c:v>1180</c:v>
                </c:pt>
                <c:pt idx="442">
                  <c:v>1185</c:v>
                </c:pt>
                <c:pt idx="443">
                  <c:v>1190</c:v>
                </c:pt>
                <c:pt idx="444">
                  <c:v>1195</c:v>
                </c:pt>
                <c:pt idx="445">
                  <c:v>1200</c:v>
                </c:pt>
                <c:pt idx="446">
                  <c:v>1205</c:v>
                </c:pt>
                <c:pt idx="447">
                  <c:v>1210</c:v>
                </c:pt>
                <c:pt idx="448">
                  <c:v>1215</c:v>
                </c:pt>
                <c:pt idx="449">
                  <c:v>1220</c:v>
                </c:pt>
                <c:pt idx="450">
                  <c:v>1225</c:v>
                </c:pt>
                <c:pt idx="451">
                  <c:v>1230</c:v>
                </c:pt>
                <c:pt idx="452">
                  <c:v>1235</c:v>
                </c:pt>
                <c:pt idx="453">
                  <c:v>1240</c:v>
                </c:pt>
                <c:pt idx="454">
                  <c:v>1245</c:v>
                </c:pt>
                <c:pt idx="455">
                  <c:v>1250</c:v>
                </c:pt>
                <c:pt idx="456">
                  <c:v>1255</c:v>
                </c:pt>
                <c:pt idx="457">
                  <c:v>1260</c:v>
                </c:pt>
                <c:pt idx="458">
                  <c:v>1265</c:v>
                </c:pt>
                <c:pt idx="459">
                  <c:v>1270</c:v>
                </c:pt>
                <c:pt idx="460">
                  <c:v>1275</c:v>
                </c:pt>
                <c:pt idx="461">
                  <c:v>1280</c:v>
                </c:pt>
                <c:pt idx="462">
                  <c:v>1285</c:v>
                </c:pt>
                <c:pt idx="463">
                  <c:v>1290</c:v>
                </c:pt>
                <c:pt idx="464">
                  <c:v>1295</c:v>
                </c:pt>
                <c:pt idx="465">
                  <c:v>1300</c:v>
                </c:pt>
                <c:pt idx="466">
                  <c:v>1305</c:v>
                </c:pt>
                <c:pt idx="467">
                  <c:v>1310</c:v>
                </c:pt>
                <c:pt idx="468">
                  <c:v>1315</c:v>
                </c:pt>
                <c:pt idx="469">
                  <c:v>1320</c:v>
                </c:pt>
                <c:pt idx="470">
                  <c:v>1325</c:v>
                </c:pt>
                <c:pt idx="471">
                  <c:v>1330</c:v>
                </c:pt>
                <c:pt idx="472">
                  <c:v>1335</c:v>
                </c:pt>
                <c:pt idx="473">
                  <c:v>1340</c:v>
                </c:pt>
                <c:pt idx="474">
                  <c:v>1345</c:v>
                </c:pt>
                <c:pt idx="475">
                  <c:v>1350</c:v>
                </c:pt>
                <c:pt idx="476">
                  <c:v>1355</c:v>
                </c:pt>
                <c:pt idx="477">
                  <c:v>1360</c:v>
                </c:pt>
                <c:pt idx="478">
                  <c:v>1365</c:v>
                </c:pt>
                <c:pt idx="479">
                  <c:v>1370</c:v>
                </c:pt>
                <c:pt idx="480">
                  <c:v>1375</c:v>
                </c:pt>
                <c:pt idx="481">
                  <c:v>1380</c:v>
                </c:pt>
                <c:pt idx="482">
                  <c:v>1385</c:v>
                </c:pt>
                <c:pt idx="483">
                  <c:v>1390</c:v>
                </c:pt>
                <c:pt idx="484">
                  <c:v>1395</c:v>
                </c:pt>
                <c:pt idx="485">
                  <c:v>1400</c:v>
                </c:pt>
                <c:pt idx="486">
                  <c:v>1405</c:v>
                </c:pt>
                <c:pt idx="487">
                  <c:v>1410</c:v>
                </c:pt>
                <c:pt idx="488">
                  <c:v>1415</c:v>
                </c:pt>
                <c:pt idx="489">
                  <c:v>1420</c:v>
                </c:pt>
                <c:pt idx="490">
                  <c:v>1425</c:v>
                </c:pt>
                <c:pt idx="491">
                  <c:v>1430</c:v>
                </c:pt>
                <c:pt idx="492">
                  <c:v>1435</c:v>
                </c:pt>
                <c:pt idx="493">
                  <c:v>1440</c:v>
                </c:pt>
                <c:pt idx="494">
                  <c:v>1445</c:v>
                </c:pt>
                <c:pt idx="495">
                  <c:v>1450</c:v>
                </c:pt>
                <c:pt idx="496">
                  <c:v>1455</c:v>
                </c:pt>
                <c:pt idx="497">
                  <c:v>1460</c:v>
                </c:pt>
                <c:pt idx="498">
                  <c:v>1465</c:v>
                </c:pt>
                <c:pt idx="499">
                  <c:v>1470</c:v>
                </c:pt>
                <c:pt idx="500">
                  <c:v>1475</c:v>
                </c:pt>
                <c:pt idx="501">
                  <c:v>1480</c:v>
                </c:pt>
                <c:pt idx="502">
                  <c:v>1485</c:v>
                </c:pt>
                <c:pt idx="503">
                  <c:v>1490</c:v>
                </c:pt>
                <c:pt idx="504">
                  <c:v>1495</c:v>
                </c:pt>
                <c:pt idx="505">
                  <c:v>1500</c:v>
                </c:pt>
                <c:pt idx="506">
                  <c:v>1505</c:v>
                </c:pt>
                <c:pt idx="507">
                  <c:v>1510</c:v>
                </c:pt>
                <c:pt idx="508">
                  <c:v>1515</c:v>
                </c:pt>
                <c:pt idx="509">
                  <c:v>1520</c:v>
                </c:pt>
                <c:pt idx="510">
                  <c:v>1525</c:v>
                </c:pt>
                <c:pt idx="511">
                  <c:v>1530</c:v>
                </c:pt>
                <c:pt idx="512">
                  <c:v>1535</c:v>
                </c:pt>
                <c:pt idx="513">
                  <c:v>1540</c:v>
                </c:pt>
                <c:pt idx="514">
                  <c:v>1545</c:v>
                </c:pt>
                <c:pt idx="515">
                  <c:v>1550</c:v>
                </c:pt>
                <c:pt idx="516">
                  <c:v>1555</c:v>
                </c:pt>
                <c:pt idx="517">
                  <c:v>1560</c:v>
                </c:pt>
                <c:pt idx="518">
                  <c:v>1565</c:v>
                </c:pt>
                <c:pt idx="519">
                  <c:v>1570</c:v>
                </c:pt>
                <c:pt idx="520">
                  <c:v>1575</c:v>
                </c:pt>
                <c:pt idx="521">
                  <c:v>1580</c:v>
                </c:pt>
                <c:pt idx="522">
                  <c:v>1585</c:v>
                </c:pt>
                <c:pt idx="523">
                  <c:v>1590</c:v>
                </c:pt>
                <c:pt idx="524">
                  <c:v>1595</c:v>
                </c:pt>
                <c:pt idx="525">
                  <c:v>1600</c:v>
                </c:pt>
                <c:pt idx="526">
                  <c:v>1605</c:v>
                </c:pt>
                <c:pt idx="527">
                  <c:v>1610</c:v>
                </c:pt>
                <c:pt idx="528">
                  <c:v>1615</c:v>
                </c:pt>
                <c:pt idx="529">
                  <c:v>1620</c:v>
                </c:pt>
                <c:pt idx="530">
                  <c:v>1625</c:v>
                </c:pt>
                <c:pt idx="531">
                  <c:v>1630</c:v>
                </c:pt>
                <c:pt idx="532">
                  <c:v>1635</c:v>
                </c:pt>
                <c:pt idx="533">
                  <c:v>1640</c:v>
                </c:pt>
                <c:pt idx="534">
                  <c:v>1645</c:v>
                </c:pt>
                <c:pt idx="535">
                  <c:v>1650</c:v>
                </c:pt>
                <c:pt idx="536">
                  <c:v>1655</c:v>
                </c:pt>
                <c:pt idx="537">
                  <c:v>1660</c:v>
                </c:pt>
                <c:pt idx="538">
                  <c:v>1665</c:v>
                </c:pt>
                <c:pt idx="539">
                  <c:v>1670</c:v>
                </c:pt>
                <c:pt idx="540">
                  <c:v>1675</c:v>
                </c:pt>
                <c:pt idx="541">
                  <c:v>1680</c:v>
                </c:pt>
                <c:pt idx="542">
                  <c:v>1685</c:v>
                </c:pt>
                <c:pt idx="543">
                  <c:v>1690</c:v>
                </c:pt>
                <c:pt idx="544">
                  <c:v>1695</c:v>
                </c:pt>
                <c:pt idx="545">
                  <c:v>1700</c:v>
                </c:pt>
                <c:pt idx="546">
                  <c:v>1705</c:v>
                </c:pt>
                <c:pt idx="547">
                  <c:v>1710</c:v>
                </c:pt>
                <c:pt idx="548">
                  <c:v>1715</c:v>
                </c:pt>
                <c:pt idx="549">
                  <c:v>1720</c:v>
                </c:pt>
                <c:pt idx="550">
                  <c:v>1725</c:v>
                </c:pt>
                <c:pt idx="551">
                  <c:v>1730</c:v>
                </c:pt>
                <c:pt idx="552">
                  <c:v>1735</c:v>
                </c:pt>
                <c:pt idx="553">
                  <c:v>1740</c:v>
                </c:pt>
                <c:pt idx="554">
                  <c:v>1745</c:v>
                </c:pt>
                <c:pt idx="555">
                  <c:v>1750</c:v>
                </c:pt>
                <c:pt idx="556">
                  <c:v>1755</c:v>
                </c:pt>
                <c:pt idx="557">
                  <c:v>1760</c:v>
                </c:pt>
                <c:pt idx="558">
                  <c:v>1765</c:v>
                </c:pt>
                <c:pt idx="559">
                  <c:v>1770</c:v>
                </c:pt>
                <c:pt idx="560">
                  <c:v>1775</c:v>
                </c:pt>
                <c:pt idx="561">
                  <c:v>1780</c:v>
                </c:pt>
                <c:pt idx="562">
                  <c:v>1785</c:v>
                </c:pt>
                <c:pt idx="563">
                  <c:v>1790</c:v>
                </c:pt>
                <c:pt idx="564">
                  <c:v>1795</c:v>
                </c:pt>
                <c:pt idx="565">
                  <c:v>1800</c:v>
                </c:pt>
                <c:pt idx="566">
                  <c:v>1805</c:v>
                </c:pt>
                <c:pt idx="567">
                  <c:v>1810</c:v>
                </c:pt>
                <c:pt idx="568">
                  <c:v>1815</c:v>
                </c:pt>
                <c:pt idx="569">
                  <c:v>1820</c:v>
                </c:pt>
                <c:pt idx="570">
                  <c:v>1825</c:v>
                </c:pt>
                <c:pt idx="571">
                  <c:v>1830</c:v>
                </c:pt>
                <c:pt idx="572">
                  <c:v>1835</c:v>
                </c:pt>
                <c:pt idx="573">
                  <c:v>1840</c:v>
                </c:pt>
                <c:pt idx="574">
                  <c:v>1845</c:v>
                </c:pt>
                <c:pt idx="575">
                  <c:v>1850</c:v>
                </c:pt>
                <c:pt idx="576">
                  <c:v>1855</c:v>
                </c:pt>
                <c:pt idx="577">
                  <c:v>1860</c:v>
                </c:pt>
                <c:pt idx="578">
                  <c:v>1865</c:v>
                </c:pt>
                <c:pt idx="579">
                  <c:v>1870</c:v>
                </c:pt>
                <c:pt idx="580">
                  <c:v>1875</c:v>
                </c:pt>
                <c:pt idx="581">
                  <c:v>1880</c:v>
                </c:pt>
                <c:pt idx="582">
                  <c:v>1885</c:v>
                </c:pt>
                <c:pt idx="583">
                  <c:v>1890</c:v>
                </c:pt>
                <c:pt idx="584">
                  <c:v>1895</c:v>
                </c:pt>
                <c:pt idx="585">
                  <c:v>1900</c:v>
                </c:pt>
                <c:pt idx="586">
                  <c:v>1905</c:v>
                </c:pt>
                <c:pt idx="587">
                  <c:v>1910</c:v>
                </c:pt>
                <c:pt idx="588">
                  <c:v>1915</c:v>
                </c:pt>
                <c:pt idx="589">
                  <c:v>1920</c:v>
                </c:pt>
                <c:pt idx="590">
                  <c:v>1925</c:v>
                </c:pt>
                <c:pt idx="591">
                  <c:v>1930</c:v>
                </c:pt>
                <c:pt idx="592">
                  <c:v>1935</c:v>
                </c:pt>
                <c:pt idx="593">
                  <c:v>1940</c:v>
                </c:pt>
                <c:pt idx="594">
                  <c:v>1945</c:v>
                </c:pt>
                <c:pt idx="595">
                  <c:v>1950</c:v>
                </c:pt>
                <c:pt idx="596">
                  <c:v>1955</c:v>
                </c:pt>
                <c:pt idx="597">
                  <c:v>1960</c:v>
                </c:pt>
                <c:pt idx="598">
                  <c:v>1965</c:v>
                </c:pt>
                <c:pt idx="599">
                  <c:v>1970</c:v>
                </c:pt>
                <c:pt idx="600">
                  <c:v>1975</c:v>
                </c:pt>
                <c:pt idx="601">
                  <c:v>1980</c:v>
                </c:pt>
                <c:pt idx="602">
                  <c:v>1985</c:v>
                </c:pt>
                <c:pt idx="603">
                  <c:v>1990</c:v>
                </c:pt>
                <c:pt idx="604">
                  <c:v>1995</c:v>
                </c:pt>
                <c:pt idx="605">
                  <c:v>2000</c:v>
                </c:pt>
                <c:pt idx="606">
                  <c:v>2250</c:v>
                </c:pt>
                <c:pt idx="607">
                  <c:v>2500</c:v>
                </c:pt>
                <c:pt idx="608">
                  <c:v>2750</c:v>
                </c:pt>
                <c:pt idx="609">
                  <c:v>3000</c:v>
                </c:pt>
                <c:pt idx="610">
                  <c:v>3250</c:v>
                </c:pt>
                <c:pt idx="611">
                  <c:v>3500</c:v>
                </c:pt>
                <c:pt idx="612">
                  <c:v>3750</c:v>
                </c:pt>
                <c:pt idx="613">
                  <c:v>4000</c:v>
                </c:pt>
                <c:pt idx="614">
                  <c:v>4250</c:v>
                </c:pt>
                <c:pt idx="615">
                  <c:v>4500</c:v>
                </c:pt>
                <c:pt idx="616">
                  <c:v>4750</c:v>
                </c:pt>
                <c:pt idx="617">
                  <c:v>5000</c:v>
                </c:pt>
                <c:pt idx="618">
                  <c:v>5100</c:v>
                </c:pt>
                <c:pt idx="619">
                  <c:v>5200</c:v>
                </c:pt>
                <c:pt idx="620">
                  <c:v>5300</c:v>
                </c:pt>
                <c:pt idx="621">
                  <c:v>5400</c:v>
                </c:pt>
                <c:pt idx="622">
                  <c:v>5500</c:v>
                </c:pt>
                <c:pt idx="623">
                  <c:v>5600</c:v>
                </c:pt>
                <c:pt idx="624">
                  <c:v>5700</c:v>
                </c:pt>
                <c:pt idx="625">
                  <c:v>5800</c:v>
                </c:pt>
                <c:pt idx="626">
                  <c:v>5900</c:v>
                </c:pt>
                <c:pt idx="627">
                  <c:v>6000</c:v>
                </c:pt>
                <c:pt idx="628">
                  <c:v>6100</c:v>
                </c:pt>
                <c:pt idx="629">
                  <c:v>6200</c:v>
                </c:pt>
                <c:pt idx="630">
                  <c:v>6300</c:v>
                </c:pt>
                <c:pt idx="631">
                  <c:v>6400</c:v>
                </c:pt>
                <c:pt idx="632">
                  <c:v>6500</c:v>
                </c:pt>
                <c:pt idx="633">
                  <c:v>6600</c:v>
                </c:pt>
                <c:pt idx="634">
                  <c:v>6700</c:v>
                </c:pt>
                <c:pt idx="635">
                  <c:v>6800</c:v>
                </c:pt>
                <c:pt idx="636">
                  <c:v>6900</c:v>
                </c:pt>
                <c:pt idx="637">
                  <c:v>7000</c:v>
                </c:pt>
                <c:pt idx="638">
                  <c:v>7100</c:v>
                </c:pt>
                <c:pt idx="639">
                  <c:v>7200</c:v>
                </c:pt>
                <c:pt idx="640">
                  <c:v>7300</c:v>
                </c:pt>
                <c:pt idx="641">
                  <c:v>7400</c:v>
                </c:pt>
                <c:pt idx="642">
                  <c:v>7500</c:v>
                </c:pt>
                <c:pt idx="643">
                  <c:v>7600</c:v>
                </c:pt>
                <c:pt idx="644">
                  <c:v>7700</c:v>
                </c:pt>
                <c:pt idx="645">
                  <c:v>7800</c:v>
                </c:pt>
                <c:pt idx="646">
                  <c:v>7900</c:v>
                </c:pt>
                <c:pt idx="647">
                  <c:v>8000</c:v>
                </c:pt>
                <c:pt idx="648">
                  <c:v>8100</c:v>
                </c:pt>
                <c:pt idx="649">
                  <c:v>8200</c:v>
                </c:pt>
                <c:pt idx="650">
                  <c:v>8300</c:v>
                </c:pt>
                <c:pt idx="651">
                  <c:v>8400</c:v>
                </c:pt>
                <c:pt idx="652">
                  <c:v>8500</c:v>
                </c:pt>
                <c:pt idx="653">
                  <c:v>8600</c:v>
                </c:pt>
                <c:pt idx="654">
                  <c:v>8700</c:v>
                </c:pt>
                <c:pt idx="655">
                  <c:v>8800</c:v>
                </c:pt>
                <c:pt idx="656">
                  <c:v>8900</c:v>
                </c:pt>
                <c:pt idx="657">
                  <c:v>9000</c:v>
                </c:pt>
                <c:pt idx="658">
                  <c:v>9100</c:v>
                </c:pt>
                <c:pt idx="659">
                  <c:v>9200</c:v>
                </c:pt>
                <c:pt idx="660">
                  <c:v>9300</c:v>
                </c:pt>
                <c:pt idx="661">
                  <c:v>9400</c:v>
                </c:pt>
                <c:pt idx="662">
                  <c:v>9500</c:v>
                </c:pt>
                <c:pt idx="663">
                  <c:v>9600</c:v>
                </c:pt>
                <c:pt idx="664">
                  <c:v>9700</c:v>
                </c:pt>
                <c:pt idx="665">
                  <c:v>9800</c:v>
                </c:pt>
                <c:pt idx="666">
                  <c:v>9900</c:v>
                </c:pt>
                <c:pt idx="667">
                  <c:v>10000</c:v>
                </c:pt>
              </c:numCache>
            </c:numRef>
          </c:xVal>
          <c:yVal>
            <c:numRef>
              <c:f>'Bode Plots Calculations'!$BF$9:$BF$676</c:f>
              <c:numCache>
                <c:formatCode>General</c:formatCode>
                <c:ptCount val="668"/>
                <c:pt idx="0">
                  <c:v>83.356455248542801</c:v>
                </c:pt>
                <c:pt idx="1">
                  <c:v>78.865556089294969</c:v>
                </c:pt>
                <c:pt idx="2">
                  <c:v>75.697324951254657</c:v>
                </c:pt>
                <c:pt idx="3">
                  <c:v>73.329443345413722</c:v>
                </c:pt>
                <c:pt idx="4">
                  <c:v>71.453195284485972</c:v>
                </c:pt>
                <c:pt idx="5">
                  <c:v>69.903603362570706</c:v>
                </c:pt>
                <c:pt idx="6">
                  <c:v>68.585324122733041</c:v>
                </c:pt>
                <c:pt idx="7">
                  <c:v>67.438951151392359</c:v>
                </c:pt>
                <c:pt idx="8">
                  <c:v>66.425163573092391</c:v>
                </c:pt>
                <c:pt idx="9">
                  <c:v>65.516658170980321</c:v>
                </c:pt>
                <c:pt idx="10">
                  <c:v>59.517603034332723</c:v>
                </c:pt>
                <c:pt idx="11">
                  <c:v>56.0002101497155</c:v>
                </c:pt>
                <c:pt idx="12">
                  <c:v>53.503496770723267</c:v>
                </c:pt>
                <c:pt idx="13">
                  <c:v>51.566809414291512</c:v>
                </c:pt>
                <c:pt idx="14">
                  <c:v>49.984599020212997</c:v>
                </c:pt>
                <c:pt idx="15">
                  <c:v>48.647133627721786</c:v>
                </c:pt>
                <c:pt idx="16">
                  <c:v>47.488885385675061</c:v>
                </c:pt>
                <c:pt idx="17">
                  <c:v>46.467576691482513</c:v>
                </c:pt>
                <c:pt idx="18">
                  <c:v>45.554335872812182</c:v>
                </c:pt>
                <c:pt idx="19">
                  <c:v>39.563018679686152</c:v>
                </c:pt>
                <c:pt idx="20">
                  <c:v>36.089603427819526</c:v>
                </c:pt>
                <c:pt idx="21">
                  <c:v>33.658398038228668</c:v>
                </c:pt>
                <c:pt idx="22">
                  <c:v>31.806785757538233</c:v>
                </c:pt>
                <c:pt idx="23">
                  <c:v>30.328573106991776</c:v>
                </c:pt>
                <c:pt idx="24">
                  <c:v>29.113640741532137</c:v>
                </c:pt>
                <c:pt idx="25">
                  <c:v>28.096131167368533</c:v>
                </c:pt>
                <c:pt idx="26">
                  <c:v>27.233444452252261</c:v>
                </c:pt>
                <c:pt idx="27">
                  <c:v>26.496380586330993</c:v>
                </c:pt>
                <c:pt idx="28">
                  <c:v>24.119203871308642</c:v>
                </c:pt>
                <c:pt idx="29">
                  <c:v>23.159850281705992</c:v>
                </c:pt>
                <c:pt idx="30">
                  <c:v>23.127914637188532</c:v>
                </c:pt>
                <c:pt idx="31">
                  <c:v>23.813578861383156</c:v>
                </c:pt>
                <c:pt idx="32">
                  <c:v>25.128127339038077</c:v>
                </c:pt>
                <c:pt idx="33">
                  <c:v>27.008363777064123</c:v>
                </c:pt>
                <c:pt idx="34">
                  <c:v>29.140231461864282</c:v>
                </c:pt>
                <c:pt idx="35">
                  <c:v>30.207903393273668</c:v>
                </c:pt>
                <c:pt idx="36">
                  <c:v>28.826565501849618</c:v>
                </c:pt>
                <c:pt idx="37">
                  <c:v>26.298937979788889</c:v>
                </c:pt>
                <c:pt idx="38">
                  <c:v>23.901167283911082</c:v>
                </c:pt>
                <c:pt idx="39">
                  <c:v>21.879967113688615</c:v>
                </c:pt>
                <c:pt idx="40">
                  <c:v>20.192742259591352</c:v>
                </c:pt>
                <c:pt idx="41">
                  <c:v>18.766169237344798</c:v>
                </c:pt>
                <c:pt idx="42">
                  <c:v>17.540297870990514</c:v>
                </c:pt>
                <c:pt idx="43">
                  <c:v>16.470814021190098</c:v>
                </c:pt>
                <c:pt idx="44">
                  <c:v>15.525325672482071</c:v>
                </c:pt>
                <c:pt idx="45">
                  <c:v>14.679884236480461</c:v>
                </c:pt>
                <c:pt idx="46">
                  <c:v>13.916475790071448</c:v>
                </c:pt>
                <c:pt idx="47">
                  <c:v>13.221305152355683</c:v>
                </c:pt>
                <c:pt idx="48">
                  <c:v>12.583627051535666</c:v>
                </c:pt>
                <c:pt idx="49">
                  <c:v>11.994940841770491</c:v>
                </c:pt>
                <c:pt idx="50">
                  <c:v>11.448426522146285</c:v>
                </c:pt>
                <c:pt idx="51">
                  <c:v>10.938542767280907</c:v>
                </c:pt>
                <c:pt idx="52">
                  <c:v>10.460735479251957</c:v>
                </c:pt>
                <c:pt idx="53">
                  <c:v>10.011223034308239</c:v>
                </c:pt>
                <c:pt idx="54">
                  <c:v>9.586835655895845</c:v>
                </c:pt>
                <c:pt idx="55">
                  <c:v>9.1848936048667245</c:v>
                </c:pt>
                <c:pt idx="56">
                  <c:v>8.8031136294187871</c:v>
                </c:pt>
                <c:pt idx="57">
                  <c:v>8.4395362779859049</c:v>
                </c:pt>
                <c:pt idx="58">
                  <c:v>8.0924688147025581</c:v>
                </c:pt>
                <c:pt idx="59">
                  <c:v>7.7604399437296685</c:v>
                </c:pt>
                <c:pt idx="60">
                  <c:v>7.4421635705687894</c:v>
                </c:pt>
                <c:pt idx="61">
                  <c:v>7.1365095503854805</c:v>
                </c:pt>
                <c:pt idx="62">
                  <c:v>6.8424798900442729</c:v>
                </c:pt>
                <c:pt idx="63">
                  <c:v>6.5591892448997982</c:v>
                </c:pt>
                <c:pt idx="64">
                  <c:v>6.2858488257142575</c:v>
                </c:pt>
                <c:pt idx="65">
                  <c:v>6.0217530342579595</c:v>
                </c:pt>
                <c:pt idx="66">
                  <c:v>5.7662682981553299</c:v>
                </c:pt>
                <c:pt idx="67">
                  <c:v>5.5188236903240862</c:v>
                </c:pt>
                <c:pt idx="68">
                  <c:v>5.2789030057988473</c:v>
                </c:pt>
                <c:pt idx="69">
                  <c:v>5.0460380358970767</c:v>
                </c:pt>
                <c:pt idx="70">
                  <c:v>4.8198028316794259</c:v>
                </c:pt>
                <c:pt idx="71">
                  <c:v>4.599808789201429</c:v>
                </c:pt>
                <c:pt idx="72">
                  <c:v>4.3857004208905543</c:v>
                </c:pt>
                <c:pt idx="73">
                  <c:v>4.1771517025453733</c:v>
                </c:pt>
                <c:pt idx="74">
                  <c:v>3.9738629054658547</c:v>
                </c:pt>
                <c:pt idx="75">
                  <c:v>3.775557839233322</c:v>
                </c:pt>
                <c:pt idx="76">
                  <c:v>3.5819814435380155</c:v>
                </c:pt>
                <c:pt idx="77">
                  <c:v>3.3928976778687465</c:v>
                </c:pt>
                <c:pt idx="78">
                  <c:v>3.2080876663466924</c:v>
                </c:pt>
                <c:pt idx="79">
                  <c:v>3.0273480619018525</c:v>
                </c:pt>
                <c:pt idx="80">
                  <c:v>2.8504895996665058</c:v>
                </c:pt>
                <c:pt idx="81">
                  <c:v>2.6773358141383441</c:v>
                </c:pt>
                <c:pt idx="82">
                  <c:v>2.5077218985382679</c:v>
                </c:pt>
                <c:pt idx="83">
                  <c:v>2.3414936880062358</c:v>
                </c:pt>
                <c:pt idx="84">
                  <c:v>2.178506750963805</c:v>
                </c:pt>
                <c:pt idx="85">
                  <c:v>2.0186255752205984</c:v>
                </c:pt>
                <c:pt idx="86">
                  <c:v>1.8617228372919994</c:v>
                </c:pt>
                <c:pt idx="87">
                  <c:v>1.7076787449894395</c:v>
                </c:pt>
                <c:pt idx="88">
                  <c:v>1.5563804446929772</c:v>
                </c:pt>
                <c:pt idx="89">
                  <c:v>1.4077214858612452</c:v>
                </c:pt>
                <c:pt idx="90">
                  <c:v>1.2616013363084153</c:v>
                </c:pt>
                <c:pt idx="91">
                  <c:v>1.1179249426103746</c:v>
                </c:pt>
                <c:pt idx="92">
                  <c:v>0.97660233071566882</c:v>
                </c:pt>
                <c:pt idx="93">
                  <c:v>0.83754824244872417</c:v>
                </c:pt>
                <c:pt idx="94">
                  <c:v>0.70068180412069758</c:v>
                </c:pt>
                <c:pt idx="95">
                  <c:v>0.56592622391828706</c:v>
                </c:pt>
                <c:pt idx="96">
                  <c:v>0.43320851513517622</c:v>
                </c:pt>
                <c:pt idx="97">
                  <c:v>0.30245924265247842</c:v>
                </c:pt>
                <c:pt idx="98">
                  <c:v>0.17361229037225825</c:v>
                </c:pt>
                <c:pt idx="99">
                  <c:v>4.6604647567034745E-2</c:v>
                </c:pt>
                <c:pt idx="100">
                  <c:v>-7.8623787665053013E-2</c:v>
                </c:pt>
                <c:pt idx="101">
                  <c:v>-0.20213038945173878</c:v>
                </c:pt>
                <c:pt idx="102">
                  <c:v>-0.32396997114294557</c:v>
                </c:pt>
                <c:pt idx="103">
                  <c:v>-0.4441949395375982</c:v>
                </c:pt>
                <c:pt idx="104">
                  <c:v>-0.5628554374914666</c:v>
                </c:pt>
                <c:pt idx="105">
                  <c:v>-0.67999947593820009</c:v>
                </c:pt>
                <c:pt idx="106">
                  <c:v>-0.79567305625040263</c:v>
                </c:pt>
                <c:pt idx="107">
                  <c:v>-0.9099202837746363</c:v>
                </c:pt>
                <c:pt idx="108">
                  <c:v>-1.0227834732917793</c:v>
                </c:pt>
                <c:pt idx="109">
                  <c:v>-1.1343032470807166</c:v>
                </c:pt>
                <c:pt idx="110">
                  <c:v>-1.2445186261979948</c:v>
                </c:pt>
                <c:pt idx="111">
                  <c:v>-1.35346711552805</c:v>
                </c:pt>
                <c:pt idx="112">
                  <c:v>-1.461184783106408</c:v>
                </c:pt>
                <c:pt idx="113">
                  <c:v>-1.5677063341717887</c:v>
                </c:pt>
                <c:pt idx="114">
                  <c:v>-1.6730651803616123</c:v>
                </c:pt>
                <c:pt idx="115">
                  <c:v>-1.777293504427595</c:v>
                </c:pt>
                <c:pt idx="116">
                  <c:v>-1.8804223208150395</c:v>
                </c:pt>
                <c:pt idx="117">
                  <c:v>-1.9824815324188483</c:v>
                </c:pt>
                <c:pt idx="118">
                  <c:v>-2.0834999838022976</c:v>
                </c:pt>
                <c:pt idx="119">
                  <c:v>-2.1835055111399488</c:v>
                </c:pt>
                <c:pt idx="120">
                  <c:v>-2.2825249891240613</c:v>
                </c:pt>
                <c:pt idx="121">
                  <c:v>-2.3805843750535565</c:v>
                </c:pt>
                <c:pt idx="122">
                  <c:v>-2.4777087503068378</c:v>
                </c:pt>
                <c:pt idx="123">
                  <c:v>-2.5739223593828764</c:v>
                </c:pt>
                <c:pt idx="124">
                  <c:v>-2.6692486466804062</c:v>
                </c:pt>
                <c:pt idx="125">
                  <c:v>-2.7637102911713014</c:v>
                </c:pt>
                <c:pt idx="126">
                  <c:v>-2.8573292391119316</c:v>
                </c:pt>
                <c:pt idx="127">
                  <c:v>-2.9501267349250182</c:v>
                </c:pt>
                <c:pt idx="128">
                  <c:v>-3.0421233503743634</c:v>
                </c:pt>
                <c:pt idx="129">
                  <c:v>-3.1333390121453606</c:v>
                </c:pt>
                <c:pt idx="130">
                  <c:v>-3.2237930279356237</c:v>
                </c:pt>
                <c:pt idx="131">
                  <c:v>-3.3135041111524943</c:v>
                </c:pt>
                <c:pt idx="132">
                  <c:v>-3.4024904043067599</c:v>
                </c:pt>
                <c:pt idx="133">
                  <c:v>-3.4907695011854272</c:v>
                </c:pt>
                <c:pt idx="134">
                  <c:v>-3.578358467880558</c:v>
                </c:pt>
                <c:pt idx="135">
                  <c:v>-3.665273862745436</c:v>
                </c:pt>
                <c:pt idx="136">
                  <c:v>-3.7515317553443515</c:v>
                </c:pt>
                <c:pt idx="137">
                  <c:v>-3.8371477444576687</c:v>
                </c:pt>
                <c:pt idx="138">
                  <c:v>-3.9221369751994595</c:v>
                </c:pt>
                <c:pt idx="139">
                  <c:v>-4.006514155301085</c:v>
                </c:pt>
                <c:pt idx="140">
                  <c:v>-4.0902935706104602</c:v>
                </c:pt>
                <c:pt idx="141">
                  <c:v>-4.1734890998533185</c:v>
                </c:pt>
                <c:pt idx="142">
                  <c:v>-4.256114228699726</c:v>
                </c:pt>
                <c:pt idx="143">
                  <c:v>-4.3381820631762462</c:v>
                </c:pt>
                <c:pt idx="144">
                  <c:v>-4.4197053424613877</c:v>
                </c:pt>
                <c:pt idx="145">
                  <c:v>-4.5006964510995937</c:v>
                </c:pt>
                <c:pt idx="146">
                  <c:v>-4.5811674306668095</c:v>
                </c:pt>
                <c:pt idx="147">
                  <c:v>-4.6611299909182797</c:v>
                </c:pt>
                <c:pt idx="148">
                  <c:v>-4.7405955204476218</c:v>
                </c:pt>
                <c:pt idx="149">
                  <c:v>-4.8195750968841375</c:v>
                </c:pt>
                <c:pt idx="150">
                  <c:v>-4.8980794966536987</c:v>
                </c:pt>
                <c:pt idx="151">
                  <c:v>-4.9761192043269933</c:v>
                </c:pt>
                <c:pt idx="152">
                  <c:v>-5.0537044215774412</c:v>
                </c:pt>
                <c:pt idx="153">
                  <c:v>-5.1308450757696971</c:v>
                </c:pt>
                <c:pt idx="154">
                  <c:v>-5.2075508281983618</c:v>
                </c:pt>
                <c:pt idx="155">
                  <c:v>-5.2838310819954657</c:v>
                </c:pt>
                <c:pt idx="156">
                  <c:v>-5.3596949897239723</c:v>
                </c:pt>
                <c:pt idx="157">
                  <c:v>-5.4351514606736657</c:v>
                </c:pt>
                <c:pt idx="158">
                  <c:v>-5.5102091678748311</c:v>
                </c:pt>
                <c:pt idx="159">
                  <c:v>-5.58487655484406</c:v>
                </c:pt>
                <c:pt idx="160">
                  <c:v>-5.6591618420759202</c:v>
                </c:pt>
                <c:pt idx="161">
                  <c:v>-5.7330730332931648</c:v>
                </c:pt>
                <c:pt idx="162">
                  <c:v>-5.8066179214676596</c:v>
                </c:pt>
                <c:pt idx="163">
                  <c:v>-5.8798040946233421</c:v>
                </c:pt>
                <c:pt idx="164">
                  <c:v>-5.9526389414319789</c:v>
                </c:pt>
                <c:pt idx="165">
                  <c:v>-6.0251296566117416</c:v>
                </c:pt>
                <c:pt idx="166">
                  <c:v>-6.0972832461382911</c:v>
                </c:pt>
                <c:pt idx="167">
                  <c:v>-6.1691065322772332</c:v>
                </c:pt>
                <c:pt idx="168">
                  <c:v>-6.2406061584464956</c:v>
                </c:pt>
                <c:pt idx="169">
                  <c:v>-6.3117885939166758</c:v>
                </c:pt>
                <c:pt idx="170">
                  <c:v>-6.3826601383568615</c:v>
                </c:pt>
                <c:pt idx="171">
                  <c:v>-6.4532269262331585</c:v>
                </c:pt>
                <c:pt idx="172">
                  <c:v>-6.5234949310666392</c:v>
                </c:pt>
                <c:pt idx="173">
                  <c:v>-6.5934699695570753</c:v>
                </c:pt>
                <c:pt idx="174">
                  <c:v>-6.6631577055785716</c:v>
                </c:pt>
                <c:pt idx="175">
                  <c:v>-6.732563654052738</c:v>
                </c:pt>
                <c:pt idx="176">
                  <c:v>-6.8016931847048259</c:v>
                </c:pt>
                <c:pt idx="177">
                  <c:v>-6.8705515257079277</c:v>
                </c:pt>
                <c:pt idx="178">
                  <c:v>-6.9391437672200897</c:v>
                </c:pt>
                <c:pt idx="179">
                  <c:v>-7.0074748648188825</c:v>
                </c:pt>
                <c:pt idx="180">
                  <c:v>-7.075549642837756</c:v>
                </c:pt>
                <c:pt idx="181">
                  <c:v>-7.1433727976082846</c:v>
                </c:pt>
                <c:pt idx="182">
                  <c:v>-7.2109489006121805</c:v>
                </c:pt>
                <c:pt idx="183">
                  <c:v>-7.2782824015467407</c:v>
                </c:pt>
                <c:pt idx="184">
                  <c:v>-7.3453776313071675</c:v>
                </c:pt>
                <c:pt idx="185">
                  <c:v>-7.412238804889121</c:v>
                </c:pt>
                <c:pt idx="186">
                  <c:v>-7.4788700242145794</c:v>
                </c:pt>
                <c:pt idx="187">
                  <c:v>-7.5452752808839465</c:v>
                </c:pt>
                <c:pt idx="188">
                  <c:v>-7.6114584588572427</c:v>
                </c:pt>
                <c:pt idx="189">
                  <c:v>-7.6774233370670339</c:v>
                </c:pt>
                <c:pt idx="190">
                  <c:v>-7.7431735919655633</c:v>
                </c:pt>
                <c:pt idx="191">
                  <c:v>-7.8087128000085384</c:v>
                </c:pt>
                <c:pt idx="192">
                  <c:v>-7.8740444400778111</c:v>
                </c:pt>
                <c:pt idx="193">
                  <c:v>-7.9391718958450328</c:v>
                </c:pt>
                <c:pt idx="194">
                  <c:v>-8.0040984580784951</c:v>
                </c:pt>
                <c:pt idx="195">
                  <c:v>-8.0688273268948407</c:v>
                </c:pt>
                <c:pt idx="196">
                  <c:v>-8.1333616139577209</c:v>
                </c:pt>
                <c:pt idx="197">
                  <c:v>-8.1977043446249791</c:v>
                </c:pt>
                <c:pt idx="198">
                  <c:v>-8.2618584600461205</c:v>
                </c:pt>
                <c:pt idx="199">
                  <c:v>-8.3258268192115334</c:v>
                </c:pt>
                <c:pt idx="200">
                  <c:v>-8.3896122009550762</c:v>
                </c:pt>
                <c:pt idx="201">
                  <c:v>-8.4532173059113607</c:v>
                </c:pt>
                <c:pt idx="202">
                  <c:v>-8.5166447584291447</c:v>
                </c:pt>
                <c:pt idx="203">
                  <c:v>-8.5798971084420277</c:v>
                </c:pt>
                <c:pt idx="204">
                  <c:v>-8.6429768332978689</c:v>
                </c:pt>
                <c:pt idx="205">
                  <c:v>-8.7058863395478188</c:v>
                </c:pt>
                <c:pt idx="206">
                  <c:v>-8.7686279646963214</c:v>
                </c:pt>
                <c:pt idx="207">
                  <c:v>-8.8312039789130079</c:v>
                </c:pt>
                <c:pt idx="208">
                  <c:v>-8.8936165867075552</c:v>
                </c:pt>
                <c:pt idx="209">
                  <c:v>-8.9558679285684075</c:v>
                </c:pt>
                <c:pt idx="210">
                  <c:v>-9.0179600825663861</c:v>
                </c:pt>
                <c:pt idx="211">
                  <c:v>-9.0798950659239512</c:v>
                </c:pt>
                <c:pt idx="212">
                  <c:v>-9.1416748365510454</c:v>
                </c:pt>
                <c:pt idx="213">
                  <c:v>-9.2033012945482611</c:v>
                </c:pt>
                <c:pt idx="214">
                  <c:v>-9.2647762836781649</c:v>
                </c:pt>
                <c:pt idx="215">
                  <c:v>-9.3261015928054469</c:v>
                </c:pt>
                <c:pt idx="216">
                  <c:v>-9.3872789573066466</c:v>
                </c:pt>
                <c:pt idx="217">
                  <c:v>-9.4483100604501455</c:v>
                </c:pt>
                <c:pt idx="218">
                  <c:v>-9.5091965347470406</c:v>
                </c:pt>
                <c:pt idx="219">
                  <c:v>-9.5699399632735194</c:v>
                </c:pt>
                <c:pt idx="220">
                  <c:v>-9.6305418809654064</c:v>
                </c:pt>
                <c:pt idx="221">
                  <c:v>-9.69100377588539</c:v>
                </c:pt>
                <c:pt idx="222">
                  <c:v>-9.7513270904634979</c:v>
                </c:pt>
                <c:pt idx="223">
                  <c:v>-9.8115132227114241</c:v>
                </c:pt>
                <c:pt idx="224">
                  <c:v>-9.8715635274111264</c:v>
                </c:pt>
                <c:pt idx="225">
                  <c:v>-9.9314793172783098</c:v>
                </c:pt>
                <c:pt idx="226">
                  <c:v>-10.523499828845047</c:v>
                </c:pt>
                <c:pt idx="227">
                  <c:v>-11.10324137682891</c:v>
                </c:pt>
                <c:pt idx="228">
                  <c:v>-11.671479879831297</c:v>
                </c:pt>
                <c:pt idx="229">
                  <c:v>-12.228768643067822</c:v>
                </c:pt>
                <c:pt idx="230">
                  <c:v>-12.775501301545704</c:v>
                </c:pt>
                <c:pt idx="231">
                  <c:v>-13.311960737178286</c:v>
                </c:pt>
                <c:pt idx="232">
                  <c:v>-13.838356380759123</c:v>
                </c:pt>
                <c:pt idx="233">
                  <c:v>-14.354852032298167</c:v>
                </c:pt>
                <c:pt idx="234">
                  <c:v>-14.861586072542583</c:v>
                </c:pt>
                <c:pt idx="235">
                  <c:v>-15.358685682295389</c:v>
                </c:pt>
                <c:pt idx="236">
                  <c:v>-15.846276436615216</c:v>
                </c:pt>
                <c:pt idx="237">
                  <c:v>-16.324488405222656</c:v>
                </c:pt>
                <c:pt idx="238">
                  <c:v>-16.7934596754131</c:v>
                </c:pt>
                <c:pt idx="239">
                  <c:v>-17.253338024203757</c:v>
                </c:pt>
                <c:pt idx="240">
                  <c:v>-17.70428130437147</c:v>
                </c:pt>
                <c:pt idx="241">
                  <c:v>-18.146456974214086</c:v>
                </c:pt>
                <c:pt idx="242">
                  <c:v>-18.58004109140785</c:v>
                </c:pt>
                <c:pt idx="243">
                  <c:v>-19.005217004392655</c:v>
                </c:pt>
                <c:pt idx="244">
                  <c:v>-19.422173907041113</c:v>
                </c:pt>
                <c:pt idx="245">
                  <c:v>-19.831105370684146</c:v>
                </c:pt>
                <c:pt idx="246">
                  <c:v>-20.23220792882767</c:v>
                </c:pt>
                <c:pt idx="247">
                  <c:v>-20.625679761412684</c:v>
                </c:pt>
                <c:pt idx="248">
                  <c:v>-21.011719504960318</c:v>
                </c:pt>
                <c:pt idx="249">
                  <c:v>-21.390525200521662</c:v>
                </c:pt>
                <c:pt idx="250">
                  <c:v>-21.762293381505401</c:v>
                </c:pt>
                <c:pt idx="251">
                  <c:v>-22.127218296991003</c:v>
                </c:pt>
                <c:pt idx="252">
                  <c:v>-22.485491262126565</c:v>
                </c:pt>
                <c:pt idx="253">
                  <c:v>-22.837300124953806</c:v>
                </c:pt>
                <c:pt idx="254">
                  <c:v>-23.182828837967591</c:v>
                </c:pt>
                <c:pt idx="255">
                  <c:v>-23.522257122511341</c:v>
                </c:pt>
                <c:pt idx="256">
                  <c:v>-23.855760214445549</c:v>
                </c:pt>
                <c:pt idx="257">
                  <c:v>-24.183508680197395</c:v>
                </c:pt>
                <c:pt idx="258">
                  <c:v>-24.505668293160021</c:v>
                </c:pt>
                <c:pt idx="259">
                  <c:v>-24.82239996135764</c:v>
                </c:pt>
                <c:pt idx="260">
                  <c:v>-25.133859698260636</c:v>
                </c:pt>
                <c:pt idx="261">
                  <c:v>-25.440198629576859</c:v>
                </c:pt>
                <c:pt idx="262">
                  <c:v>-25.741563029735957</c:v>
                </c:pt>
                <c:pt idx="263">
                  <c:v>-26.03809438260491</c:v>
                </c:pt>
                <c:pt idx="264">
                  <c:v>-26.329929461719935</c:v>
                </c:pt>
                <c:pt idx="265">
                  <c:v>-26.61720042598942</c:v>
                </c:pt>
                <c:pt idx="266">
                  <c:v>-26.900034927416637</c:v>
                </c:pt>
                <c:pt idx="267">
                  <c:v>-27.178556227914473</c:v>
                </c:pt>
                <c:pt idx="268">
                  <c:v>-27.452883322741492</c:v>
                </c:pt>
                <c:pt idx="269">
                  <c:v>-27.723131068486467</c:v>
                </c:pt>
                <c:pt idx="270">
                  <c:v>-27.989410313872103</c:v>
                </c:pt>
                <c:pt idx="271">
                  <c:v>-28.251828031944605</c:v>
                </c:pt>
                <c:pt idx="272">
                  <c:v>-28.510487452469725</c:v>
                </c:pt>
                <c:pt idx="273">
                  <c:v>-28.765488193572303</c:v>
                </c:pt>
                <c:pt idx="274">
                  <c:v>-29.016926391841061</c:v>
                </c:pt>
                <c:pt idx="275">
                  <c:v>-29.264894830276798</c:v>
                </c:pt>
                <c:pt idx="276">
                  <c:v>-29.509483063594296</c:v>
                </c:pt>
                <c:pt idx="277">
                  <c:v>-29.750777540499861</c:v>
                </c:pt>
                <c:pt idx="278">
                  <c:v>-29.988861722659706</c:v>
                </c:pt>
                <c:pt idx="279">
                  <c:v>-30.223816200152566</c:v>
                </c:pt>
                <c:pt idx="280">
                  <c:v>-30.455718803265164</c:v>
                </c:pt>
                <c:pt idx="281">
                  <c:v>-30.684644710542607</c:v>
                </c:pt>
                <c:pt idx="282">
                  <c:v>-30.910666553050532</c:v>
                </c:pt>
                <c:pt idx="283">
                  <c:v>-31.1338545148419</c:v>
                </c:pt>
                <c:pt idx="284">
                  <c:v>-31.354276429650675</c:v>
                </c:pt>
                <c:pt idx="285">
                  <c:v>-31.571997873858617</c:v>
                </c:pt>
                <c:pt idx="286">
                  <c:v>-31.787082255799938</c:v>
                </c:pt>
                <c:pt idx="287">
                  <c:v>-31.999590901483508</c:v>
                </c:pt>
                <c:pt idx="288">
                  <c:v>-32.209583136823412</c:v>
                </c:pt>
                <c:pt idx="289">
                  <c:v>-32.417116366477309</c:v>
                </c:pt>
                <c:pt idx="290">
                  <c:v>-32.622246149398045</c:v>
                </c:pt>
                <c:pt idx="291">
                  <c:v>-32.825026271207946</c:v>
                </c:pt>
                <c:pt idx="292">
                  <c:v>-33.025508813507948</c:v>
                </c:pt>
                <c:pt idx="293">
                  <c:v>-33.223744220234501</c:v>
                </c:pt>
                <c:pt idx="294">
                  <c:v>-33.419781361177684</c:v>
                </c:pt>
                <c:pt idx="295">
                  <c:v>-33.613667592772643</c:v>
                </c:pt>
                <c:pt idx="296">
                  <c:v>-33.80544881627533</c:v>
                </c:pt>
                <c:pt idx="297">
                  <c:v>-33.995169533431159</c:v>
                </c:pt>
                <c:pt idx="298">
                  <c:v>-34.182872899742854</c:v>
                </c:pt>
                <c:pt idx="299">
                  <c:v>-34.368600775440719</c:v>
                </c:pt>
                <c:pt idx="300">
                  <c:v>-34.552393774255641</c:v>
                </c:pt>
                <c:pt idx="301">
                  <c:v>-34.734291310091706</c:v>
                </c:pt>
                <c:pt idx="302">
                  <c:v>-34.91433164169208</c:v>
                </c:pt>
                <c:pt idx="303">
                  <c:v>-35.09255191538805</c:v>
                </c:pt>
                <c:pt idx="304">
                  <c:v>-35.268988206018129</c:v>
                </c:pt>
                <c:pt idx="305">
                  <c:v>-35.443675556100139</c:v>
                </c:pt>
                <c:pt idx="306">
                  <c:v>-35.616648013336082</c:v>
                </c:pt>
                <c:pt idx="307">
                  <c:v>-35.787938666526152</c:v>
                </c:pt>
                <c:pt idx="308">
                  <c:v>-35.957579679964724</c:v>
                </c:pt>
                <c:pt idx="309">
                  <c:v>-36.125602326388389</c:v>
                </c:pt>
                <c:pt idx="310">
                  <c:v>-36.292037018542295</c:v>
                </c:pt>
                <c:pt idx="311">
                  <c:v>-36.456913339428837</c:v>
                </c:pt>
                <c:pt idx="312">
                  <c:v>-36.620260071298873</c:v>
                </c:pt>
                <c:pt idx="313">
                  <c:v>-36.782105223443693</c:v>
                </c:pt>
                <c:pt idx="314">
                  <c:v>-36.942476058842693</c:v>
                </c:pt>
                <c:pt idx="315">
                  <c:v>-37.101399119719204</c:v>
                </c:pt>
                <c:pt idx="316">
                  <c:v>-37.258900252054644</c:v>
                </c:pt>
                <c:pt idx="317">
                  <c:v>-37.41500462910841</c:v>
                </c:pt>
                <c:pt idx="318">
                  <c:v>-37.569736773989035</c:v>
                </c:pt>
                <c:pt idx="319">
                  <c:v>-37.723120581319634</c:v>
                </c:pt>
                <c:pt idx="320">
                  <c:v>-37.875179338038699</c:v>
                </c:pt>
                <c:pt idx="321">
                  <c:v>-38.025935743375342</c:v>
                </c:pt>
                <c:pt idx="322">
                  <c:v>-38.175411928036176</c:v>
                </c:pt>
                <c:pt idx="323">
                  <c:v>-38.323629472639269</c:v>
                </c:pt>
                <c:pt idx="324">
                  <c:v>-38.470609425428613</c:v>
                </c:pt>
                <c:pt idx="325">
                  <c:v>-38.616372319301455</c:v>
                </c:pt>
                <c:pt idx="326">
                  <c:v>-38.760938188178685</c:v>
                </c:pt>
                <c:pt idx="327">
                  <c:v>-38.904326582747551</c:v>
                </c:pt>
                <c:pt idx="328">
                  <c:v>-39.046556585604023</c:v>
                </c:pt>
                <c:pt idx="329">
                  <c:v>-39.187646825821417</c:v>
                </c:pt>
                <c:pt idx="330">
                  <c:v>-39.327615492969905</c:v>
                </c:pt>
                <c:pt idx="331">
                  <c:v>-39.466480350611135</c:v>
                </c:pt>
                <c:pt idx="332">
                  <c:v>-39.604258749290295</c:v>
                </c:pt>
                <c:pt idx="333">
                  <c:v>-39.740967639047376</c:v>
                </c:pt>
                <c:pt idx="334">
                  <c:v>-39.876623581468237</c:v>
                </c:pt>
                <c:pt idx="335">
                  <c:v>-40.011242761294838</c:v>
                </c:pt>
                <c:pt idx="336">
                  <c:v>-40.144840997613649</c:v>
                </c:pt>
                <c:pt idx="337">
                  <c:v>-40.277433754639638</c:v>
                </c:pt>
                <c:pt idx="338">
                  <c:v>-40.409036152113103</c:v>
                </c:pt>
                <c:pt idx="339">
                  <c:v>-40.539662975325221</c:v>
                </c:pt>
                <c:pt idx="340">
                  <c:v>-40.669328684787999</c:v>
                </c:pt>
                <c:pt idx="341">
                  <c:v>-40.798047425563013</c:v>
                </c:pt>
                <c:pt idx="342">
                  <c:v>-40.925833036263271</c:v>
                </c:pt>
                <c:pt idx="343">
                  <c:v>-41.052699057741144</c:v>
                </c:pt>
                <c:pt idx="344">
                  <c:v>-41.178658741475552</c:v>
                </c:pt>
                <c:pt idx="345">
                  <c:v>-41.303725057670221</c:v>
                </c:pt>
                <c:pt idx="346">
                  <c:v>-41.427910703074808</c:v>
                </c:pt>
                <c:pt idx="347">
                  <c:v>-41.551228108539959</c:v>
                </c:pt>
                <c:pt idx="348">
                  <c:v>-41.673689446316729</c:v>
                </c:pt>
                <c:pt idx="349">
                  <c:v>-41.795306637110762</c:v>
                </c:pt>
                <c:pt idx="350">
                  <c:v>-41.916091356900566</c:v>
                </c:pt>
                <c:pt idx="351">
                  <c:v>-42.036055043529316</c:v>
                </c:pt>
                <c:pt idx="352">
                  <c:v>-42.155208903079028</c:v>
                </c:pt>
                <c:pt idx="353">
                  <c:v>-42.273563916035279</c:v>
                </c:pt>
                <c:pt idx="354">
                  <c:v>-42.39113084325087</c:v>
                </c:pt>
                <c:pt idx="355">
                  <c:v>-42.507920231715886</c:v>
                </c:pt>
                <c:pt idx="356">
                  <c:v>-42.623942420141617</c:v>
                </c:pt>
                <c:pt idx="357">
                  <c:v>-42.739207544365442</c:v>
                </c:pt>
                <c:pt idx="358">
                  <c:v>-42.85372554258327</c:v>
                </c:pt>
                <c:pt idx="359">
                  <c:v>-42.967506160416235</c:v>
                </c:pt>
                <c:pt idx="360">
                  <c:v>-43.080558955817594</c:v>
                </c:pt>
                <c:pt idx="361">
                  <c:v>-43.192893303825876</c:v>
                </c:pt>
                <c:pt idx="362">
                  <c:v>-43.304518401169886</c:v>
                </c:pt>
                <c:pt idx="363">
                  <c:v>-43.415443270731167</c:v>
                </c:pt>
                <c:pt idx="364">
                  <c:v>-43.525676765868852</c:v>
                </c:pt>
                <c:pt idx="365">
                  <c:v>-43.635227574612088</c:v>
                </c:pt>
                <c:pt idx="366">
                  <c:v>-43.744104223724847</c:v>
                </c:pt>
                <c:pt idx="367">
                  <c:v>-43.852315082647493</c:v>
                </c:pt>
                <c:pt idx="368">
                  <c:v>-43.959868367319743</c:v>
                </c:pt>
                <c:pt idx="369">
                  <c:v>-44.066772143889096</c:v>
                </c:pt>
                <c:pt idx="370">
                  <c:v>-44.173034332308788</c:v>
                </c:pt>
                <c:pt idx="371">
                  <c:v>-44.278662709829305</c:v>
                </c:pt>
                <c:pt idx="372">
                  <c:v>-44.383664914386856</c:v>
                </c:pt>
                <c:pt idx="373">
                  <c:v>-44.48804844789278</c:v>
                </c:pt>
                <c:pt idx="374">
                  <c:v>-44.59182067942703</c:v>
                </c:pt>
                <c:pt idx="375">
                  <c:v>-44.694988848339179</c:v>
                </c:pt>
                <c:pt idx="376">
                  <c:v>-44.79756006725998</c:v>
                </c:pt>
                <c:pt idx="377">
                  <c:v>-44.899541325026746</c:v>
                </c:pt>
                <c:pt idx="378">
                  <c:v>-45.000939489525258</c:v>
                </c:pt>
                <c:pt idx="379">
                  <c:v>-45.101761310451103</c:v>
                </c:pt>
                <c:pt idx="380">
                  <c:v>-45.202013421993158</c:v>
                </c:pt>
                <c:pt idx="381">
                  <c:v>-45.301702345441811</c:v>
                </c:pt>
                <c:pt idx="382">
                  <c:v>-45.400834491724389</c:v>
                </c:pt>
                <c:pt idx="383">
                  <c:v>-45.499416163870201</c:v>
                </c:pt>
                <c:pt idx="384">
                  <c:v>-45.597453559407597</c:v>
                </c:pt>
                <c:pt idx="385">
                  <c:v>-45.694952772695075</c:v>
                </c:pt>
                <c:pt idx="386">
                  <c:v>-45.791919797188818</c:v>
                </c:pt>
                <c:pt idx="387">
                  <c:v>-45.888360527648551</c:v>
                </c:pt>
                <c:pt idx="388">
                  <c:v>-45.984280762283738</c:v>
                </c:pt>
                <c:pt idx="389">
                  <c:v>-46.079686204842062</c:v>
                </c:pt>
                <c:pt idx="390">
                  <c:v>-46.174582466642036</c:v>
                </c:pt>
                <c:pt idx="391">
                  <c:v>-46.268975068551484</c:v>
                </c:pt>
                <c:pt idx="392">
                  <c:v>-46.362869442913592</c:v>
                </c:pt>
                <c:pt idx="393">
                  <c:v>-46.456270935422253</c:v>
                </c:pt>
                <c:pt idx="394">
                  <c:v>-46.549184806948141</c:v>
                </c:pt>
                <c:pt idx="395">
                  <c:v>-46.641616235317258</c:v>
                </c:pt>
                <c:pt idx="396">
                  <c:v>-46.733570317043231</c:v>
                </c:pt>
                <c:pt idx="397">
                  <c:v>-46.825052069014887</c:v>
                </c:pt>
                <c:pt idx="398">
                  <c:v>-46.916066430140468</c:v>
                </c:pt>
                <c:pt idx="399">
                  <c:v>-47.006618262949743</c:v>
                </c:pt>
                <c:pt idx="400">
                  <c:v>-47.096712355155425</c:v>
                </c:pt>
                <c:pt idx="401">
                  <c:v>-47.186353421174971</c:v>
                </c:pt>
                <c:pt idx="402">
                  <c:v>-47.275546103614097</c:v>
                </c:pt>
                <c:pt idx="403">
                  <c:v>-47.364294974713005</c:v>
                </c:pt>
                <c:pt idx="404">
                  <c:v>-47.452604537756628</c:v>
                </c:pt>
                <c:pt idx="405">
                  <c:v>-47.540479228449712</c:v>
                </c:pt>
                <c:pt idx="406">
                  <c:v>-47.627923416258035</c:v>
                </c:pt>
                <c:pt idx="407">
                  <c:v>-47.714941405716537</c:v>
                </c:pt>
                <c:pt idx="408">
                  <c:v>-47.801537437705512</c:v>
                </c:pt>
                <c:pt idx="409">
                  <c:v>-47.887715690695607</c:v>
                </c:pt>
                <c:pt idx="410">
                  <c:v>-47.973480281962694</c:v>
                </c:pt>
                <c:pt idx="411">
                  <c:v>-48.05883526877335</c:v>
                </c:pt>
                <c:pt idx="412">
                  <c:v>-48.143784649542013</c:v>
                </c:pt>
                <c:pt idx="413">
                  <c:v>-48.228332364960195</c:v>
                </c:pt>
                <c:pt idx="414">
                  <c:v>-48.312482299099109</c:v>
                </c:pt>
                <c:pt idx="415">
                  <c:v>-48.396238280485981</c:v>
                </c:pt>
                <c:pt idx="416">
                  <c:v>-48.479604083155024</c:v>
                </c:pt>
                <c:pt idx="417">
                  <c:v>-48.562583427673786</c:v>
                </c:pt>
                <c:pt idx="418">
                  <c:v>-48.645179982145443</c:v>
                </c:pt>
                <c:pt idx="419">
                  <c:v>-48.727397363187819</c:v>
                </c:pt>
                <c:pt idx="420">
                  <c:v>-48.809239136889772</c:v>
                </c:pt>
                <c:pt idx="421">
                  <c:v>-48.890708819745427</c:v>
                </c:pt>
                <c:pt idx="422">
                  <c:v>-48.971809879567054</c:v>
                </c:pt>
                <c:pt idx="423">
                  <c:v>-49.052545736377084</c:v>
                </c:pt>
                <c:pt idx="424">
                  <c:v>-49.132919763279766</c:v>
                </c:pt>
                <c:pt idx="425">
                  <c:v>-49.212935287313229</c:v>
                </c:pt>
                <c:pt idx="426">
                  <c:v>-49.292595590282161</c:v>
                </c:pt>
                <c:pt idx="427">
                  <c:v>-49.371903909571913</c:v>
                </c:pt>
                <c:pt idx="428">
                  <c:v>-49.450863438944388</c:v>
                </c:pt>
                <c:pt idx="429">
                  <c:v>-49.529477329316208</c:v>
                </c:pt>
                <c:pt idx="430">
                  <c:v>-49.60774868951966</c:v>
                </c:pt>
                <c:pt idx="431">
                  <c:v>-49.685680587046832</c:v>
                </c:pt>
                <c:pt idx="432">
                  <c:v>-49.763276048777399</c:v>
                </c:pt>
                <c:pt idx="433">
                  <c:v>-49.840538061690623</c:v>
                </c:pt>
                <c:pt idx="434">
                  <c:v>-49.917469573561625</c:v>
                </c:pt>
                <c:pt idx="435">
                  <c:v>-49.99407349364273</c:v>
                </c:pt>
                <c:pt idx="436">
                  <c:v>-50.070352693330094</c:v>
                </c:pt>
                <c:pt idx="437">
                  <c:v>-50.146310006815924</c:v>
                </c:pt>
                <c:pt idx="438">
                  <c:v>-50.221948231726742</c:v>
                </c:pt>
                <c:pt idx="439">
                  <c:v>-50.297270129748163</c:v>
                </c:pt>
                <c:pt idx="440">
                  <c:v>-50.372278427236253</c:v>
                </c:pt>
                <c:pt idx="441">
                  <c:v>-50.446975815816089</c:v>
                </c:pt>
                <c:pt idx="442">
                  <c:v>-50.521364952967581</c:v>
                </c:pt>
                <c:pt idx="443">
                  <c:v>-50.595448462599215</c:v>
                </c:pt>
                <c:pt idx="444">
                  <c:v>-50.669228935609574</c:v>
                </c:pt>
                <c:pt idx="445">
                  <c:v>-50.742708930437388</c:v>
                </c:pt>
                <c:pt idx="446">
                  <c:v>-50.815890973600098</c:v>
                </c:pt>
                <c:pt idx="447">
                  <c:v>-50.888777560221321</c:v>
                </c:pt>
                <c:pt idx="448">
                  <c:v>-50.96137115454745</c:v>
                </c:pt>
                <c:pt idx="449">
                  <c:v>-51.033674190453809</c:v>
                </c:pt>
                <c:pt idx="450">
                  <c:v>-51.105689071940333</c:v>
                </c:pt>
                <c:pt idx="451">
                  <c:v>-51.177418173617291</c:v>
                </c:pt>
                <c:pt idx="452">
                  <c:v>-51.248863841181191</c:v>
                </c:pt>
                <c:pt idx="453">
                  <c:v>-51.320028391881024</c:v>
                </c:pt>
                <c:pt idx="454">
                  <c:v>-51.390914114975274</c:v>
                </c:pt>
                <c:pt idx="455">
                  <c:v>-51.461523272179697</c:v>
                </c:pt>
                <c:pt idx="456">
                  <c:v>-51.531858098106284</c:v>
                </c:pt>
                <c:pt idx="457">
                  <c:v>-51.601920800693392</c:v>
                </c:pt>
                <c:pt idx="458">
                  <c:v>-51.671713561627556</c:v>
                </c:pt>
                <c:pt idx="459">
                  <c:v>-51.741238536756896</c:v>
                </c:pt>
                <c:pt idx="460">
                  <c:v>-51.810497856496418</c:v>
                </c:pt>
                <c:pt idx="461">
                  <c:v>-51.879493626225461</c:v>
                </c:pt>
                <c:pt idx="462">
                  <c:v>-51.948227926677419</c:v>
                </c:pt>
                <c:pt idx="463">
                  <c:v>-52.01670281432186</c:v>
                </c:pt>
                <c:pt idx="464">
                  <c:v>-52.084920321739361</c:v>
                </c:pt>
                <c:pt idx="465">
                  <c:v>-52.152882457989037</c:v>
                </c:pt>
                <c:pt idx="466">
                  <c:v>-52.22059120896914</c:v>
                </c:pt>
                <c:pt idx="467">
                  <c:v>-52.288048537770692</c:v>
                </c:pt>
                <c:pt idx="468">
                  <c:v>-52.355256385024475</c:v>
                </c:pt>
                <c:pt idx="469">
                  <c:v>-52.422216669241386</c:v>
                </c:pt>
                <c:pt idx="470">
                  <c:v>-52.48893128714645</c:v>
                </c:pt>
                <c:pt idx="471">
                  <c:v>-52.555402114006462</c:v>
                </c:pt>
                <c:pt idx="472">
                  <c:v>-52.621631003951627</c:v>
                </c:pt>
                <c:pt idx="473">
                  <c:v>-52.687619790291038</c:v>
                </c:pt>
                <c:pt idx="474">
                  <c:v>-52.753370285822456</c:v>
                </c:pt>
                <c:pt idx="475">
                  <c:v>-52.818884283136242</c:v>
                </c:pt>
                <c:pt idx="476">
                  <c:v>-52.884163554913755</c:v>
                </c:pt>
                <c:pt idx="477">
                  <c:v>-52.949209854220236</c:v>
                </c:pt>
                <c:pt idx="478">
                  <c:v>-53.014024914792266</c:v>
                </c:pt>
                <c:pt idx="479">
                  <c:v>-53.078610451320138</c:v>
                </c:pt>
                <c:pt idx="480">
                  <c:v>-53.142968159724973</c:v>
                </c:pt>
                <c:pt idx="481">
                  <c:v>-53.207099717430815</c:v>
                </c:pt>
                <c:pt idx="482">
                  <c:v>-53.271006783631904</c:v>
                </c:pt>
                <c:pt idx="483">
                  <c:v>-53.334690999555036</c:v>
                </c:pt>
                <c:pt idx="484">
                  <c:v>-53.398153988717318</c:v>
                </c:pt>
                <c:pt idx="485">
                  <c:v>-53.461397357179266</c:v>
                </c:pt>
                <c:pt idx="486">
                  <c:v>-53.524422693793397</c:v>
                </c:pt>
                <c:pt idx="487">
                  <c:v>-53.587231570448481</c:v>
                </c:pt>
                <c:pt idx="488">
                  <c:v>-53.649825542309351</c:v>
                </c:pt>
                <c:pt idx="489">
                  <c:v>-53.71220614805263</c:v>
                </c:pt>
                <c:pt idx="490">
                  <c:v>-53.774374910098246</c:v>
                </c:pt>
                <c:pt idx="491">
                  <c:v>-53.836333334836894</c:v>
                </c:pt>
                <c:pt idx="492">
                  <c:v>-53.898082912853589</c:v>
                </c:pt>
                <c:pt idx="493">
                  <c:v>-53.959625119147283</c:v>
                </c:pt>
                <c:pt idx="494">
                  <c:v>-54.020961413346711</c:v>
                </c:pt>
                <c:pt idx="495">
                  <c:v>-54.082093239922521</c:v>
                </c:pt>
                <c:pt idx="496">
                  <c:v>-54.143022028395713</c:v>
                </c:pt>
                <c:pt idx="497">
                  <c:v>-54.203749193542585</c:v>
                </c:pt>
                <c:pt idx="498">
                  <c:v>-54.26427613559612</c:v>
                </c:pt>
                <c:pt idx="499">
                  <c:v>-54.324604240443961</c:v>
                </c:pt>
                <c:pt idx="500">
                  <c:v>-54.384734879823064</c:v>
                </c:pt>
                <c:pt idx="501">
                  <c:v>-54.444669411510979</c:v>
                </c:pt>
                <c:pt idx="502">
                  <c:v>-54.504409179514042</c:v>
                </c:pt>
                <c:pt idx="503">
                  <c:v>-54.563955514252257</c:v>
                </c:pt>
                <c:pt idx="504">
                  <c:v>-54.623309732741241</c:v>
                </c:pt>
                <c:pt idx="505">
                  <c:v>-54.682473138770995</c:v>
                </c:pt>
                <c:pt idx="506">
                  <c:v>-54.741447023081761</c:v>
                </c:pt>
                <c:pt idx="507">
                  <c:v>-54.800232663537031</c:v>
                </c:pt>
                <c:pt idx="508">
                  <c:v>-54.8588313252936</c:v>
                </c:pt>
                <c:pt idx="509">
                  <c:v>-54.917244260968879</c:v>
                </c:pt>
                <c:pt idx="510">
                  <c:v>-54.975472710805448</c:v>
                </c:pt>
                <c:pt idx="511">
                  <c:v>-55.033517902832891</c:v>
                </c:pt>
                <c:pt idx="512">
                  <c:v>-55.091381053027071</c:v>
                </c:pt>
                <c:pt idx="513">
                  <c:v>-55.149063365466731</c:v>
                </c:pt>
                <c:pt idx="514">
                  <c:v>-55.206566032487636</c:v>
                </c:pt>
                <c:pt idx="515">
                  <c:v>-55.263890234834179</c:v>
                </c:pt>
                <c:pt idx="516">
                  <c:v>-55.321037141808546</c:v>
                </c:pt>
                <c:pt idx="517">
                  <c:v>-55.378007911417512</c:v>
                </c:pt>
                <c:pt idx="518">
                  <c:v>-55.434803690516901</c:v>
                </c:pt>
                <c:pt idx="519">
                  <c:v>-55.491425614953741</c:v>
                </c:pt>
                <c:pt idx="520">
                  <c:v>-55.547874809706101</c:v>
                </c:pt>
                <c:pt idx="521">
                  <c:v>-55.604152389020811</c:v>
                </c:pt>
                <c:pt idx="522">
                  <c:v>-55.660259456548935</c:v>
                </c:pt>
                <c:pt idx="523">
                  <c:v>-55.716197105479139</c:v>
                </c:pt>
                <c:pt idx="524">
                  <c:v>-55.771966418668995</c:v>
                </c:pt>
                <c:pt idx="525">
                  <c:v>-55.827568468774174</c:v>
                </c:pt>
                <c:pt idx="526">
                  <c:v>-55.883004318375669</c:v>
                </c:pt>
                <c:pt idx="527">
                  <c:v>-55.93827502010506</c:v>
                </c:pt>
                <c:pt idx="528">
                  <c:v>-55.993381616767735</c:v>
                </c:pt>
                <c:pt idx="529">
                  <c:v>-56.048325141464368</c:v>
                </c:pt>
                <c:pt idx="530">
                  <c:v>-56.103106617710374</c:v>
                </c:pt>
                <c:pt idx="531">
                  <c:v>-56.15772705955365</c:v>
                </c:pt>
                <c:pt idx="532">
                  <c:v>-56.212187471690427</c:v>
                </c:pt>
                <c:pt idx="533">
                  <c:v>-56.266488849579417</c:v>
                </c:pt>
                <c:pt idx="534">
                  <c:v>-56.320632179554181</c:v>
                </c:pt>
                <c:pt idx="535">
                  <c:v>-56.374618438933823</c:v>
                </c:pt>
                <c:pt idx="536">
                  <c:v>-56.428448596131972</c:v>
                </c:pt>
                <c:pt idx="537">
                  <c:v>-56.482123610764233</c:v>
                </c:pt>
                <c:pt idx="538">
                  <c:v>-56.535644433753802</c:v>
                </c:pt>
                <c:pt idx="539">
                  <c:v>-56.589012007435798</c:v>
                </c:pt>
                <c:pt idx="540">
                  <c:v>-56.642227265659749</c:v>
                </c:pt>
                <c:pt idx="541">
                  <c:v>-56.695291133890713</c:v>
                </c:pt>
                <c:pt idx="542">
                  <c:v>-56.748204529308936</c:v>
                </c:pt>
                <c:pt idx="543">
                  <c:v>-56.800968360907831</c:v>
                </c:pt>
                <c:pt idx="544">
                  <c:v>-56.853583529590793</c:v>
                </c:pt>
                <c:pt idx="545">
                  <c:v>-56.906050928266311</c:v>
                </c:pt>
                <c:pt idx="546">
                  <c:v>-56.958371441941907</c:v>
                </c:pt>
                <c:pt idx="547">
                  <c:v>-57.010545947816539</c:v>
                </c:pt>
                <c:pt idx="548">
                  <c:v>-57.062575315371774</c:v>
                </c:pt>
                <c:pt idx="549">
                  <c:v>-57.114460406461561</c:v>
                </c:pt>
                <c:pt idx="550">
                  <c:v>-57.166202075400747</c:v>
                </c:pt>
                <c:pt idx="551">
                  <c:v>-57.217801169052265</c:v>
                </c:pt>
                <c:pt idx="552">
                  <c:v>-57.269258526913099</c:v>
                </c:pt>
                <c:pt idx="553">
                  <c:v>-57.320574981199059</c:v>
                </c:pt>
                <c:pt idx="554">
                  <c:v>-57.3717513569282</c:v>
                </c:pt>
                <c:pt idx="555">
                  <c:v>-57.422788472003219</c:v>
                </c:pt>
                <c:pt idx="556">
                  <c:v>-57.473687137292551</c:v>
                </c:pt>
                <c:pt idx="557">
                  <c:v>-57.52444815671037</c:v>
                </c:pt>
                <c:pt idx="558">
                  <c:v>-57.575072327295445</c:v>
                </c:pt>
                <c:pt idx="559">
                  <c:v>-57.62556043928889</c:v>
                </c:pt>
                <c:pt idx="560">
                  <c:v>-57.675913276210778</c:v>
                </c:pt>
                <c:pt idx="561">
                  <c:v>-57.726131614935746</c:v>
                </c:pt>
                <c:pt idx="562">
                  <c:v>-57.77621622576752</c:v>
                </c:pt>
                <c:pt idx="563">
                  <c:v>-57.826167872512279</c:v>
                </c:pt>
                <c:pt idx="564">
                  <c:v>-57.875987312551224</c:v>
                </c:pt>
                <c:pt idx="565">
                  <c:v>-57.925675296911969</c:v>
                </c:pt>
                <c:pt idx="566">
                  <c:v>-57.975232570338939</c:v>
                </c:pt>
                <c:pt idx="567">
                  <c:v>-58.024659871362928</c:v>
                </c:pt>
                <c:pt idx="568">
                  <c:v>-58.073957932369552</c:v>
                </c:pt>
                <c:pt idx="569">
                  <c:v>-58.123127479666856</c:v>
                </c:pt>
                <c:pt idx="570">
                  <c:v>-58.172169233551955</c:v>
                </c:pt>
                <c:pt idx="571">
                  <c:v>-58.221083908376741</c:v>
                </c:pt>
                <c:pt idx="572">
                  <c:v>-58.269872212612803</c:v>
                </c:pt>
                <c:pt idx="573">
                  <c:v>-58.318534848915284</c:v>
                </c:pt>
                <c:pt idx="574">
                  <c:v>-58.367072514186056</c:v>
                </c:pt>
                <c:pt idx="575">
                  <c:v>-58.415485899635925</c:v>
                </c:pt>
                <c:pt idx="576">
                  <c:v>-58.463775690846006</c:v>
                </c:pt>
                <c:pt idx="577">
                  <c:v>-58.511942567828363</c:v>
                </c:pt>
                <c:pt idx="578">
                  <c:v>-58.559987205085719</c:v>
                </c:pt>
                <c:pt idx="579">
                  <c:v>-58.607910271670427</c:v>
                </c:pt>
                <c:pt idx="580">
                  <c:v>-58.655712431242662</c:v>
                </c:pt>
                <c:pt idx="581">
                  <c:v>-58.703394342127815</c:v>
                </c:pt>
                <c:pt idx="582">
                  <c:v>-58.750956657373116</c:v>
                </c:pt>
                <c:pt idx="583">
                  <c:v>-58.798400024803556</c:v>
                </c:pt>
                <c:pt idx="584">
                  <c:v>-58.845725087077014</c:v>
                </c:pt>
                <c:pt idx="585">
                  <c:v>-58.892932481738697</c:v>
                </c:pt>
                <c:pt idx="586">
                  <c:v>-58.940022841274846</c:v>
                </c:pt>
                <c:pt idx="587">
                  <c:v>-58.986996793165758</c:v>
                </c:pt>
                <c:pt idx="588">
                  <c:v>-59.03385495993809</c:v>
                </c:pt>
                <c:pt idx="589">
                  <c:v>-59.080597959216462</c:v>
                </c:pt>
                <c:pt idx="590">
                  <c:v>-59.127226403774515</c:v>
                </c:pt>
                <c:pt idx="591">
                  <c:v>-59.173740901585099</c:v>
                </c:pt>
                <c:pt idx="592">
                  <c:v>-59.220142055870006</c:v>
                </c:pt>
                <c:pt idx="593">
                  <c:v>-59.266430465148936</c:v>
                </c:pt>
                <c:pt idx="594">
                  <c:v>-59.312606723287942</c:v>
                </c:pt>
                <c:pt idx="595">
                  <c:v>-59.358671419547107</c:v>
                </c:pt>
                <c:pt idx="596">
                  <c:v>-59.404625138627779</c:v>
                </c:pt>
                <c:pt idx="597">
                  <c:v>-59.45046846071903</c:v>
                </c:pt>
                <c:pt idx="598">
                  <c:v>-59.496201961543704</c:v>
                </c:pt>
                <c:pt idx="599">
                  <c:v>-59.54182621240372</c:v>
                </c:pt>
                <c:pt idx="600">
                  <c:v>-59.587341780224932</c:v>
                </c:pt>
                <c:pt idx="601">
                  <c:v>-59.632749227601295</c:v>
                </c:pt>
                <c:pt idx="602">
                  <c:v>-59.678049112838593</c:v>
                </c:pt>
                <c:pt idx="603">
                  <c:v>-59.723241989997533</c:v>
                </c:pt>
                <c:pt idx="604">
                  <c:v>-59.768328408936355</c:v>
                </c:pt>
                <c:pt idx="605">
                  <c:v>-59.813308915352863</c:v>
                </c:pt>
                <c:pt idx="606">
                  <c:v>-61.938256640342821</c:v>
                </c:pt>
                <c:pt idx="607">
                  <c:v>-63.854973354143851</c:v>
                </c:pt>
                <c:pt idx="608">
                  <c:v>-65.604206018997374</c:v>
                </c:pt>
                <c:pt idx="609">
                  <c:v>-67.215901505181279</c:v>
                </c:pt>
                <c:pt idx="610">
                  <c:v>-68.712676329948607</c:v>
                </c:pt>
                <c:pt idx="611">
                  <c:v>-70.111998801491623</c:v>
                </c:pt>
                <c:pt idx="612">
                  <c:v>-71.427617949760304</c:v>
                </c:pt>
                <c:pt idx="613">
                  <c:v>-72.670531397296457</c:v>
                </c:pt>
                <c:pt idx="614">
                  <c:v>-73.849659991956528</c:v>
                </c:pt>
                <c:pt idx="615">
                  <c:v>-74.97232972663052</c:v>
                </c:pt>
                <c:pt idx="616">
                  <c:v>-76.044623367161975</c:v>
                </c:pt>
                <c:pt idx="617">
                  <c:v>-77.071641782340336</c:v>
                </c:pt>
                <c:pt idx="618">
                  <c:v>-77.469976103902582</c:v>
                </c:pt>
                <c:pt idx="619">
                  <c:v>-77.862022152573857</c:v>
                </c:pt>
                <c:pt idx="620">
                  <c:v>-78.248011990792932</c:v>
                </c:pt>
                <c:pt idx="621">
                  <c:v>-78.62816390551761</c:v>
                </c:pt>
                <c:pt idx="622">
                  <c:v>-79.002683470517439</c:v>
                </c:pt>
                <c:pt idx="623">
                  <c:v>-79.371764511176792</c:v>
                </c:pt>
                <c:pt idx="624">
                  <c:v>-79.735589982160988</c:v>
                </c:pt>
                <c:pt idx="625">
                  <c:v>-80.094332767040996</c:v>
                </c:pt>
                <c:pt idx="626">
                  <c:v>-80.448156407887822</c:v>
                </c:pt>
                <c:pt idx="627">
                  <c:v>-80.797215771908938</c:v>
                </c:pt>
                <c:pt idx="628">
                  <c:v>-81.141657661384428</c:v>
                </c:pt>
                <c:pt idx="629">
                  <c:v>-81.481621372452508</c:v>
                </c:pt>
                <c:pt idx="630">
                  <c:v>-81.817239207675243</c:v>
                </c:pt>
                <c:pt idx="631">
                  <c:v>-82.148636946775923</c:v>
                </c:pt>
                <c:pt idx="632">
                  <c:v>-82.475934279464994</c:v>
                </c:pt>
                <c:pt idx="633">
                  <c:v>-82.799245203856145</c:v>
                </c:pt>
                <c:pt idx="634">
                  <c:v>-83.118678393607709</c:v>
                </c:pt>
                <c:pt idx="635">
                  <c:v>-83.434337536601092</c:v>
                </c:pt>
                <c:pt idx="636">
                  <c:v>-83.746321647683232</c:v>
                </c:pt>
                <c:pt idx="637">
                  <c:v>-84.054725357745582</c:v>
                </c:pt>
                <c:pt idx="638">
                  <c:v>-84.359639181189323</c:v>
                </c:pt>
                <c:pt idx="639">
                  <c:v>-84.661149763625218</c:v>
                </c:pt>
                <c:pt idx="640">
                  <c:v>-84.959340111479591</c:v>
                </c:pt>
                <c:pt idx="641">
                  <c:v>-85.254289805019027</c:v>
                </c:pt>
                <c:pt idx="642">
                  <c:v>-85.546075196164338</c:v>
                </c:pt>
                <c:pt idx="643">
                  <c:v>-85.834769592337267</c:v>
                </c:pt>
                <c:pt idx="644">
                  <c:v>-86.120443427469951</c:v>
                </c:pt>
                <c:pt idx="645">
                  <c:v>-86.403164421204579</c:v>
                </c:pt>
                <c:pt idx="646">
                  <c:v>-86.682997727218591</c:v>
                </c:pt>
                <c:pt idx="647">
                  <c:v>-86.960006071528426</c:v>
                </c:pt>
                <c:pt idx="648">
                  <c:v>-87.234249881549601</c:v>
                </c:pt>
                <c:pt idx="649">
                  <c:v>-87.505787406623924</c:v>
                </c:pt>
                <c:pt idx="650">
                  <c:v>-87.774674830663528</c:v>
                </c:pt>
                <c:pt idx="651">
                  <c:v>-88.040966377505981</c:v>
                </c:pt>
                <c:pt idx="652">
                  <c:v>-88.304714409525374</c:v>
                </c:pt>
                <c:pt idx="653">
                  <c:v>-88.565969519998248</c:v>
                </c:pt>
                <c:pt idx="654">
                  <c:v>-88.824780619682272</c:v>
                </c:pt>
                <c:pt idx="655">
                  <c:v>-89.081195018028723</c:v>
                </c:pt>
                <c:pt idx="656">
                  <c:v>-89.335258499414479</c:v>
                </c:pt>
                <c:pt idx="657">
                  <c:v>-89.587015394749599</c:v>
                </c:pt>
                <c:pt idx="658">
                  <c:v>-89.83650864878723</c:v>
                </c:pt>
                <c:pt idx="659">
                  <c:v>-90.083779883437273</c:v>
                </c:pt>
                <c:pt idx="660">
                  <c:v>-90.328869457361691</c:v>
                </c:pt>
                <c:pt idx="661">
                  <c:v>-90.571816522107227</c:v>
                </c:pt>
                <c:pt idx="662">
                  <c:v>-90.812659075012391</c:v>
                </c:pt>
                <c:pt idx="663">
                  <c:v>-91.051434009106785</c:v>
                </c:pt>
                <c:pt idx="664">
                  <c:v>-91.288177160204867</c:v>
                </c:pt>
                <c:pt idx="665">
                  <c:v>-91.522923351380499</c:v>
                </c:pt>
                <c:pt idx="666">
                  <c:v>-91.75570643499529</c:v>
                </c:pt>
                <c:pt idx="667">
                  <c:v>-91.986559332440493</c:v>
                </c:pt>
              </c:numCache>
            </c:numRef>
          </c:yVal>
          <c:smooth val="1"/>
          <c:extLst>
            <c:ext xmlns:c16="http://schemas.microsoft.com/office/drawing/2014/chart" uri="{C3380CC4-5D6E-409C-BE32-E72D297353CC}">
              <c16:uniqueId val="{00000000-BED3-43CF-9D4A-81AF6A44D307}"/>
            </c:ext>
          </c:extLst>
        </c:ser>
        <c:ser>
          <c:idx val="5"/>
          <c:order val="2"/>
          <c:tx>
            <c:v>LC Double Pole</c:v>
          </c:tx>
          <c:spPr>
            <a:ln w="28575">
              <a:solidFill>
                <a:schemeClr val="tx1"/>
              </a:solidFill>
            </a:ln>
          </c:spPr>
          <c:marker>
            <c:symbol val="x"/>
            <c:size val="8"/>
            <c:spPr>
              <a:noFill/>
              <a:ln w="22225">
                <a:solidFill>
                  <a:schemeClr val="tx1"/>
                </a:solidFill>
              </a:ln>
            </c:spPr>
          </c:marker>
          <c:dLbls>
            <c:dLbl>
              <c:idx val="0"/>
              <c:layout>
                <c:manualLayout>
                  <c:x val="5.9616632195422774E-3"/>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BED3-43CF-9D4A-81AF6A44D307}"/>
                </c:ext>
              </c:extLst>
            </c:dLbl>
            <c:spPr>
              <a:noFill/>
              <a:ln w="25400">
                <a:noFill/>
              </a:ln>
            </c:spPr>
            <c:txPr>
              <a:bodyPr rot="0"/>
              <a:lstStyle/>
              <a:p>
                <a:pPr algn="ctr" rtl="0">
                  <a:defRPr sz="1000" b="1" i="0" u="none" strike="noStrike" baseline="0">
                    <a:solidFill>
                      <a:srgbClr val="000000"/>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Calculations'!$B$683</c:f>
              <c:numCache>
                <c:formatCode>General</c:formatCode>
                <c:ptCount val="1"/>
                <c:pt idx="0">
                  <c:v>5.078513519499265</c:v>
                </c:pt>
              </c:numCache>
            </c:numRef>
          </c:xVal>
          <c:yVal>
            <c:numRef>
              <c:f>'Bode Plots Calculations'!$BF$683</c:f>
              <c:numCache>
                <c:formatCode>General</c:formatCode>
                <c:ptCount val="1"/>
                <c:pt idx="0">
                  <c:v>30.149769357575437</c:v>
                </c:pt>
              </c:numCache>
            </c:numRef>
          </c:yVal>
          <c:smooth val="1"/>
          <c:extLst>
            <c:ext xmlns:c16="http://schemas.microsoft.com/office/drawing/2014/chart" uri="{C3380CC4-5D6E-409C-BE32-E72D297353CC}">
              <c16:uniqueId val="{00000002-BED3-43CF-9D4A-81AF6A44D307}"/>
            </c:ext>
          </c:extLst>
        </c:ser>
        <c:ser>
          <c:idx val="6"/>
          <c:order val="3"/>
          <c:tx>
            <c:v>Fz1</c:v>
          </c:tx>
          <c:spPr>
            <a:ln w="28575">
              <a:noFill/>
            </a:ln>
          </c:spPr>
          <c:marker>
            <c:symbol val="circle"/>
            <c:size val="8"/>
            <c:spPr>
              <a:noFill/>
              <a:ln w="19050">
                <a:solidFill>
                  <a:srgbClr val="000000"/>
                </a:solidFill>
                <a:prstDash val="solid"/>
              </a:ln>
            </c:spPr>
          </c:marker>
          <c:dLbls>
            <c:dLbl>
              <c:idx val="0"/>
              <c:tx>
                <c:rich>
                  <a:bodyPr/>
                  <a:lstStyle/>
                  <a:p>
                    <a:r>
                      <a:rPr lang="en-US">
                        <a:solidFill>
                          <a:srgbClr val="0000FF"/>
                        </a:solidFill>
                      </a:rPr>
                      <a:t>F</a:t>
                    </a:r>
                    <a:r>
                      <a:rPr lang="en-US" baseline="-25000"/>
                      <a:t>Z1</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Calculations'!$B$684</c:f>
              <c:numCache>
                <c:formatCode>General</c:formatCode>
                <c:ptCount val="1"/>
                <c:pt idx="0">
                  <c:v>3.4419321642248355</c:v>
                </c:pt>
              </c:numCache>
            </c:numRef>
          </c:xVal>
          <c:yVal>
            <c:numRef>
              <c:f>'Bode Plots Calculations'!$BF$684</c:f>
              <c:numCache>
                <c:formatCode>General</c:formatCode>
                <c:ptCount val="1"/>
                <c:pt idx="0">
                  <c:v>24.944718255714147</c:v>
                </c:pt>
              </c:numCache>
            </c:numRef>
          </c:yVal>
          <c:smooth val="1"/>
          <c:extLst>
            <c:ext xmlns:c16="http://schemas.microsoft.com/office/drawing/2014/chart" uri="{C3380CC4-5D6E-409C-BE32-E72D297353CC}">
              <c16:uniqueId val="{00000004-BED3-43CF-9D4A-81AF6A44D307}"/>
            </c:ext>
          </c:extLst>
        </c:ser>
        <c:ser>
          <c:idx val="7"/>
          <c:order val="4"/>
          <c:tx>
            <c:v>Fz2</c:v>
          </c:tx>
          <c:spPr>
            <a:ln w="28575">
              <a:noFill/>
            </a:ln>
          </c:spPr>
          <c:marker>
            <c:symbol val="circle"/>
            <c:size val="8"/>
            <c:spPr>
              <a:noFill/>
              <a:ln w="19050" cap="rnd">
                <a:solidFill>
                  <a:srgbClr val="000000"/>
                </a:solidFill>
                <a:prstDash val="solid"/>
                <a:round/>
              </a:ln>
            </c:spPr>
          </c:marker>
          <c:dLbls>
            <c:dLbl>
              <c:idx val="0"/>
              <c:tx>
                <c:rich>
                  <a:bodyPr/>
                  <a:lstStyle/>
                  <a:p>
                    <a:r>
                      <a:rPr lang="en-US">
                        <a:solidFill>
                          <a:srgbClr val="0000FF"/>
                        </a:solidFill>
                      </a:rPr>
                      <a:t>F</a:t>
                    </a:r>
                    <a:r>
                      <a:rPr lang="en-US" baseline="-25000"/>
                      <a:t>Z2</a:t>
                    </a:r>
                  </a:p>
                </c:rich>
              </c:tx>
              <c:dLblPos val="b"/>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Calculations'!$B$685</c:f>
              <c:numCache>
                <c:formatCode>General</c:formatCode>
                <c:ptCount val="1"/>
                <c:pt idx="0">
                  <c:v>3.8977993552546133</c:v>
                </c:pt>
              </c:numCache>
            </c:numRef>
          </c:xVal>
          <c:yVal>
            <c:numRef>
              <c:f>'Bode Plots Calculations'!$BF$685</c:f>
              <c:numCache>
                <c:formatCode>General</c:formatCode>
                <c:ptCount val="1"/>
                <c:pt idx="0">
                  <c:v>26.58496663859956</c:v>
                </c:pt>
              </c:numCache>
            </c:numRef>
          </c:yVal>
          <c:smooth val="1"/>
          <c:extLst>
            <c:ext xmlns:c16="http://schemas.microsoft.com/office/drawing/2014/chart" uri="{C3380CC4-5D6E-409C-BE32-E72D297353CC}">
              <c16:uniqueId val="{00000006-BED3-43CF-9D4A-81AF6A44D307}"/>
            </c:ext>
          </c:extLst>
        </c:ser>
        <c:ser>
          <c:idx val="8"/>
          <c:order val="5"/>
          <c:tx>
            <c:v>Fp1</c:v>
          </c:tx>
          <c:spPr>
            <a:ln w="28575">
              <a:noFill/>
            </a:ln>
          </c:spPr>
          <c:marker>
            <c:symbol val="x"/>
            <c:size val="8"/>
            <c:spPr>
              <a:noFill/>
              <a:ln w="22225">
                <a:solidFill>
                  <a:srgbClr val="000000"/>
                </a:solidFill>
                <a:prstDash val="solid"/>
              </a:ln>
            </c:spPr>
          </c:marker>
          <c:dLbls>
            <c:dLbl>
              <c:idx val="0"/>
              <c:tx>
                <c:rich>
                  <a:bodyPr/>
                  <a:lstStyle/>
                  <a:p>
                    <a:r>
                      <a:rPr lang="en-US">
                        <a:solidFill>
                          <a:srgbClr val="0000FF"/>
                        </a:solidFill>
                      </a:rPr>
                      <a:t>F</a:t>
                    </a:r>
                    <a:r>
                      <a:rPr lang="en-US" baseline="-25000"/>
                      <a:t>P1</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Calculations'!$B$686</c:f>
              <c:numCache>
                <c:formatCode>General</c:formatCode>
                <c:ptCount val="1"/>
                <c:pt idx="0">
                  <c:v>129.18420720272434</c:v>
                </c:pt>
              </c:numCache>
            </c:numRef>
          </c:xVal>
          <c:yVal>
            <c:numRef>
              <c:f>'Bode Plots Calculations'!$BF$686</c:f>
              <c:numCache>
                <c:formatCode>General</c:formatCode>
                <c:ptCount val="1"/>
                <c:pt idx="0">
                  <c:v>-13.225124696100767</c:v>
                </c:pt>
              </c:numCache>
            </c:numRef>
          </c:yVal>
          <c:smooth val="1"/>
          <c:extLst>
            <c:ext xmlns:c16="http://schemas.microsoft.com/office/drawing/2014/chart" uri="{C3380CC4-5D6E-409C-BE32-E72D297353CC}">
              <c16:uniqueId val="{00000008-BED3-43CF-9D4A-81AF6A44D307}"/>
            </c:ext>
          </c:extLst>
        </c:ser>
        <c:ser>
          <c:idx val="9"/>
          <c:order val="6"/>
          <c:tx>
            <c:v>Fp2</c:v>
          </c:tx>
          <c:spPr>
            <a:ln w="28575">
              <a:solidFill>
                <a:schemeClr val="tx1"/>
              </a:solidFill>
            </a:ln>
          </c:spPr>
          <c:marker>
            <c:symbol val="x"/>
            <c:size val="8"/>
            <c:spPr>
              <a:noFill/>
              <a:ln w="22225">
                <a:solidFill>
                  <a:schemeClr val="tx1"/>
                </a:solidFill>
              </a:ln>
            </c:spPr>
          </c:marker>
          <c:dLbls>
            <c:dLbl>
              <c:idx val="0"/>
              <c:tx>
                <c:rich>
                  <a:bodyPr/>
                  <a:lstStyle/>
                  <a:p>
                    <a:r>
                      <a:rPr lang="en-US">
                        <a:solidFill>
                          <a:srgbClr val="0000FF"/>
                        </a:solidFill>
                      </a:rPr>
                      <a:t>F</a:t>
                    </a:r>
                    <a:r>
                      <a:rPr lang="en-US" baseline="-25000"/>
                      <a:t>P2</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Calculations'!$B$687</c:f>
              <c:numCache>
                <c:formatCode>General</c:formatCode>
                <c:ptCount val="1"/>
                <c:pt idx="0">
                  <c:v>159.47619027575067</c:v>
                </c:pt>
              </c:numCache>
            </c:numRef>
          </c:xVal>
          <c:yVal>
            <c:numRef>
              <c:f>'Bode Plots Calculations'!$BF$687</c:f>
              <c:numCache>
                <c:formatCode>General</c:formatCode>
                <c:ptCount val="1"/>
                <c:pt idx="0">
                  <c:v>-16.274825778087738</c:v>
                </c:pt>
              </c:numCache>
            </c:numRef>
          </c:yVal>
          <c:smooth val="1"/>
          <c:extLst>
            <c:ext xmlns:c16="http://schemas.microsoft.com/office/drawing/2014/chart" uri="{C3380CC4-5D6E-409C-BE32-E72D297353CC}">
              <c16:uniqueId val="{0000000A-BED3-43CF-9D4A-81AF6A44D307}"/>
            </c:ext>
          </c:extLst>
        </c:ser>
        <c:ser>
          <c:idx val="4"/>
          <c:order val="7"/>
          <c:tx>
            <c:v>F_ESR</c:v>
          </c:tx>
          <c:spPr>
            <a:ln w="28575">
              <a:noFill/>
            </a:ln>
          </c:spPr>
          <c:marker>
            <c:symbol val="circle"/>
            <c:size val="8"/>
            <c:spPr>
              <a:noFill/>
              <a:ln w="19050">
                <a:solidFill>
                  <a:srgbClr val="000000"/>
                </a:solidFill>
                <a:prstDash val="solid"/>
              </a:ln>
            </c:spPr>
          </c:marker>
          <c:dLbls>
            <c:dLbl>
              <c:idx val="0"/>
              <c:tx>
                <c:rich>
                  <a:bodyPr/>
                  <a:lstStyle/>
                  <a:p>
                    <a:r>
                      <a:rPr lang="en-US" b="1"/>
                      <a:t>F</a:t>
                    </a:r>
                    <a:r>
                      <a:rPr lang="en-US" baseline="-25000"/>
                      <a:t>ESR</a:t>
                    </a:r>
                  </a:p>
                </c:rich>
              </c:tx>
              <c:dLblPos val="l"/>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BED3-43CF-9D4A-81AF6A44D307}"/>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Calculations'!$B$682</c:f>
              <c:numCache>
                <c:formatCode>General</c:formatCode>
                <c:ptCount val="1"/>
                <c:pt idx="0">
                  <c:v>120.5719267225427</c:v>
                </c:pt>
              </c:numCache>
            </c:numRef>
          </c:xVal>
          <c:yVal>
            <c:numRef>
              <c:f>'Bode Plots Calculations'!$BF$682</c:f>
              <c:numCache>
                <c:formatCode>General</c:formatCode>
                <c:ptCount val="1"/>
                <c:pt idx="0">
                  <c:v>-12.291835374697939</c:v>
                </c:pt>
              </c:numCache>
            </c:numRef>
          </c:yVal>
          <c:smooth val="1"/>
          <c:extLst>
            <c:ext xmlns:c16="http://schemas.microsoft.com/office/drawing/2014/chart" uri="{C3380CC4-5D6E-409C-BE32-E72D297353CC}">
              <c16:uniqueId val="{0000000C-BED3-43CF-9D4A-81AF6A44D307}"/>
            </c:ext>
          </c:extLst>
        </c:ser>
        <c:dLbls>
          <c:showLegendKey val="0"/>
          <c:showVal val="0"/>
          <c:showCatName val="0"/>
          <c:showSerName val="0"/>
          <c:showPercent val="0"/>
          <c:showBubbleSize val="0"/>
        </c:dLbls>
        <c:axId val="315151872"/>
        <c:axId val="315545856"/>
      </c:scatterChart>
      <c:scatterChart>
        <c:scatterStyle val="lineMarker"/>
        <c:varyColors val="0"/>
        <c:ser>
          <c:idx val="3"/>
          <c:order val="1"/>
          <c:tx>
            <c:v>Loop Phase</c:v>
          </c:tx>
          <c:spPr>
            <a:ln w="34925">
              <a:solidFill>
                <a:srgbClr val="002060"/>
              </a:solidFill>
              <a:prstDash val="sysDash"/>
            </a:ln>
          </c:spPr>
          <c:marker>
            <c:symbol val="none"/>
          </c:marker>
          <c:xVal>
            <c:numRef>
              <c:f>'Bode Plots Calculations'!$B$9:$B$676</c:f>
              <c:numCache>
                <c:formatCode>General</c:formatCode>
                <c:ptCount val="668"/>
                <c:pt idx="0">
                  <c:v>1E-3</c:v>
                </c:pt>
                <c:pt idx="1">
                  <c:v>2E-3</c:v>
                </c:pt>
                <c:pt idx="2">
                  <c:v>3.0000000000000001E-3</c:v>
                </c:pt>
                <c:pt idx="3">
                  <c:v>4.0000000000000001E-3</c:v>
                </c:pt>
                <c:pt idx="4">
                  <c:v>5.0000000000000001E-3</c:v>
                </c:pt>
                <c:pt idx="5">
                  <c:v>6.0000000000000001E-3</c:v>
                </c:pt>
                <c:pt idx="6">
                  <c:v>7.0000000000000001E-3</c:v>
                </c:pt>
                <c:pt idx="7">
                  <c:v>8.0000000000000002E-3</c:v>
                </c:pt>
                <c:pt idx="8">
                  <c:v>8.9999999999999993E-3</c:v>
                </c:pt>
                <c:pt idx="9">
                  <c:v>0.01</c:v>
                </c:pt>
                <c:pt idx="10">
                  <c:v>0.02</c:v>
                </c:pt>
                <c:pt idx="11">
                  <c:v>0.03</c:v>
                </c:pt>
                <c:pt idx="12">
                  <c:v>0.04</c:v>
                </c:pt>
                <c:pt idx="13">
                  <c:v>0.05</c:v>
                </c:pt>
                <c:pt idx="14">
                  <c:v>0.06</c:v>
                </c:pt>
                <c:pt idx="15">
                  <c:v>7.0000000000000007E-2</c:v>
                </c:pt>
                <c:pt idx="16">
                  <c:v>0.08</c:v>
                </c:pt>
                <c:pt idx="17">
                  <c:v>0.09</c:v>
                </c:pt>
                <c:pt idx="18">
                  <c:v>0.1</c:v>
                </c:pt>
                <c:pt idx="19">
                  <c:v>0.2</c:v>
                </c:pt>
                <c:pt idx="20">
                  <c:v>0.3</c:v>
                </c:pt>
                <c:pt idx="21">
                  <c:v>0.4</c:v>
                </c:pt>
                <c:pt idx="22">
                  <c:v>0.5</c:v>
                </c:pt>
                <c:pt idx="23">
                  <c:v>0.6</c:v>
                </c:pt>
                <c:pt idx="24">
                  <c:v>0.7</c:v>
                </c:pt>
                <c:pt idx="25">
                  <c:v>0.8</c:v>
                </c:pt>
                <c:pt idx="26">
                  <c:v>0.9</c:v>
                </c:pt>
                <c:pt idx="27">
                  <c:v>1</c:v>
                </c:pt>
                <c:pt idx="28">
                  <c:v>1.5</c:v>
                </c:pt>
                <c:pt idx="29">
                  <c:v>2</c:v>
                </c:pt>
                <c:pt idx="30">
                  <c:v>2.5</c:v>
                </c:pt>
                <c:pt idx="31">
                  <c:v>3</c:v>
                </c:pt>
                <c:pt idx="32">
                  <c:v>3.5</c:v>
                </c:pt>
                <c:pt idx="33">
                  <c:v>4</c:v>
                </c:pt>
                <c:pt idx="34">
                  <c:v>4.5</c:v>
                </c:pt>
                <c:pt idx="35">
                  <c:v>5</c:v>
                </c:pt>
                <c:pt idx="36">
                  <c:v>5.5</c:v>
                </c:pt>
                <c:pt idx="37">
                  <c:v>6</c:v>
                </c:pt>
                <c:pt idx="38">
                  <c:v>6.5</c:v>
                </c:pt>
                <c:pt idx="39">
                  <c:v>7</c:v>
                </c:pt>
                <c:pt idx="40">
                  <c:v>7.5</c:v>
                </c:pt>
                <c:pt idx="41">
                  <c:v>8</c:v>
                </c:pt>
                <c:pt idx="42">
                  <c:v>8.5</c:v>
                </c:pt>
                <c:pt idx="43">
                  <c:v>9</c:v>
                </c:pt>
                <c:pt idx="44">
                  <c:v>9.5</c:v>
                </c:pt>
                <c:pt idx="45">
                  <c:v>10</c:v>
                </c:pt>
                <c:pt idx="46">
                  <c:v>10.5</c:v>
                </c:pt>
                <c:pt idx="47">
                  <c:v>11</c:v>
                </c:pt>
                <c:pt idx="48">
                  <c:v>11.5</c:v>
                </c:pt>
                <c:pt idx="49">
                  <c:v>12</c:v>
                </c:pt>
                <c:pt idx="50">
                  <c:v>12.5</c:v>
                </c:pt>
                <c:pt idx="51">
                  <c:v>13</c:v>
                </c:pt>
                <c:pt idx="52">
                  <c:v>13.5</c:v>
                </c:pt>
                <c:pt idx="53">
                  <c:v>14</c:v>
                </c:pt>
                <c:pt idx="54">
                  <c:v>14.5</c:v>
                </c:pt>
                <c:pt idx="55">
                  <c:v>15</c:v>
                </c:pt>
                <c:pt idx="56">
                  <c:v>15.5</c:v>
                </c:pt>
                <c:pt idx="57">
                  <c:v>16</c:v>
                </c:pt>
                <c:pt idx="58">
                  <c:v>16.5</c:v>
                </c:pt>
                <c:pt idx="59">
                  <c:v>17</c:v>
                </c:pt>
                <c:pt idx="60">
                  <c:v>17.5</c:v>
                </c:pt>
                <c:pt idx="61">
                  <c:v>18</c:v>
                </c:pt>
                <c:pt idx="62">
                  <c:v>18.5</c:v>
                </c:pt>
                <c:pt idx="63">
                  <c:v>19</c:v>
                </c:pt>
                <c:pt idx="64">
                  <c:v>19.5</c:v>
                </c:pt>
                <c:pt idx="65">
                  <c:v>20</c:v>
                </c:pt>
                <c:pt idx="66">
                  <c:v>20.5</c:v>
                </c:pt>
                <c:pt idx="67">
                  <c:v>21</c:v>
                </c:pt>
                <c:pt idx="68">
                  <c:v>21.5</c:v>
                </c:pt>
                <c:pt idx="69">
                  <c:v>22</c:v>
                </c:pt>
                <c:pt idx="70">
                  <c:v>22.5</c:v>
                </c:pt>
                <c:pt idx="71">
                  <c:v>23</c:v>
                </c:pt>
                <c:pt idx="72">
                  <c:v>23.5</c:v>
                </c:pt>
                <c:pt idx="73">
                  <c:v>24</c:v>
                </c:pt>
                <c:pt idx="74">
                  <c:v>24.5</c:v>
                </c:pt>
                <c:pt idx="75">
                  <c:v>25</c:v>
                </c:pt>
                <c:pt idx="76">
                  <c:v>25.5</c:v>
                </c:pt>
                <c:pt idx="77">
                  <c:v>26</c:v>
                </c:pt>
                <c:pt idx="78">
                  <c:v>26.5</c:v>
                </c:pt>
                <c:pt idx="79">
                  <c:v>27</c:v>
                </c:pt>
                <c:pt idx="80">
                  <c:v>27.5</c:v>
                </c:pt>
                <c:pt idx="81">
                  <c:v>28</c:v>
                </c:pt>
                <c:pt idx="82">
                  <c:v>28.5</c:v>
                </c:pt>
                <c:pt idx="83">
                  <c:v>29</c:v>
                </c:pt>
                <c:pt idx="84">
                  <c:v>29.5</c:v>
                </c:pt>
                <c:pt idx="85">
                  <c:v>30</c:v>
                </c:pt>
                <c:pt idx="86">
                  <c:v>30.5</c:v>
                </c:pt>
                <c:pt idx="87">
                  <c:v>31</c:v>
                </c:pt>
                <c:pt idx="88">
                  <c:v>31.5</c:v>
                </c:pt>
                <c:pt idx="89">
                  <c:v>32</c:v>
                </c:pt>
                <c:pt idx="90">
                  <c:v>32.5</c:v>
                </c:pt>
                <c:pt idx="91">
                  <c:v>33</c:v>
                </c:pt>
                <c:pt idx="92">
                  <c:v>33.5</c:v>
                </c:pt>
                <c:pt idx="93">
                  <c:v>34</c:v>
                </c:pt>
                <c:pt idx="94">
                  <c:v>34.5</c:v>
                </c:pt>
                <c:pt idx="95">
                  <c:v>35</c:v>
                </c:pt>
                <c:pt idx="96">
                  <c:v>35.5</c:v>
                </c:pt>
                <c:pt idx="97">
                  <c:v>36</c:v>
                </c:pt>
                <c:pt idx="98">
                  <c:v>36.5</c:v>
                </c:pt>
                <c:pt idx="99">
                  <c:v>37</c:v>
                </c:pt>
                <c:pt idx="100">
                  <c:v>37.5</c:v>
                </c:pt>
                <c:pt idx="101">
                  <c:v>38</c:v>
                </c:pt>
                <c:pt idx="102">
                  <c:v>38.5</c:v>
                </c:pt>
                <c:pt idx="103">
                  <c:v>39</c:v>
                </c:pt>
                <c:pt idx="104">
                  <c:v>39.5</c:v>
                </c:pt>
                <c:pt idx="105">
                  <c:v>40</c:v>
                </c:pt>
                <c:pt idx="106">
                  <c:v>40.5</c:v>
                </c:pt>
                <c:pt idx="107">
                  <c:v>41</c:v>
                </c:pt>
                <c:pt idx="108">
                  <c:v>41.5</c:v>
                </c:pt>
                <c:pt idx="109">
                  <c:v>42</c:v>
                </c:pt>
                <c:pt idx="110">
                  <c:v>42.5</c:v>
                </c:pt>
                <c:pt idx="111">
                  <c:v>43</c:v>
                </c:pt>
                <c:pt idx="112">
                  <c:v>43.5</c:v>
                </c:pt>
                <c:pt idx="113">
                  <c:v>44</c:v>
                </c:pt>
                <c:pt idx="114">
                  <c:v>44.5</c:v>
                </c:pt>
                <c:pt idx="115">
                  <c:v>45</c:v>
                </c:pt>
                <c:pt idx="116">
                  <c:v>45.5</c:v>
                </c:pt>
                <c:pt idx="117">
                  <c:v>46</c:v>
                </c:pt>
                <c:pt idx="118">
                  <c:v>46.5</c:v>
                </c:pt>
                <c:pt idx="119">
                  <c:v>47</c:v>
                </c:pt>
                <c:pt idx="120">
                  <c:v>47.5</c:v>
                </c:pt>
                <c:pt idx="121">
                  <c:v>48</c:v>
                </c:pt>
                <c:pt idx="122">
                  <c:v>48.5</c:v>
                </c:pt>
                <c:pt idx="123">
                  <c:v>49</c:v>
                </c:pt>
                <c:pt idx="124">
                  <c:v>49.5</c:v>
                </c:pt>
                <c:pt idx="125">
                  <c:v>50</c:v>
                </c:pt>
                <c:pt idx="126">
                  <c:v>50.5</c:v>
                </c:pt>
                <c:pt idx="127">
                  <c:v>51</c:v>
                </c:pt>
                <c:pt idx="128">
                  <c:v>51.5</c:v>
                </c:pt>
                <c:pt idx="129">
                  <c:v>52</c:v>
                </c:pt>
                <c:pt idx="130">
                  <c:v>52.5</c:v>
                </c:pt>
                <c:pt idx="131">
                  <c:v>53</c:v>
                </c:pt>
                <c:pt idx="132">
                  <c:v>53.5</c:v>
                </c:pt>
                <c:pt idx="133">
                  <c:v>54</c:v>
                </c:pt>
                <c:pt idx="134">
                  <c:v>54.5</c:v>
                </c:pt>
                <c:pt idx="135">
                  <c:v>55</c:v>
                </c:pt>
                <c:pt idx="136">
                  <c:v>55.5</c:v>
                </c:pt>
                <c:pt idx="137">
                  <c:v>56</c:v>
                </c:pt>
                <c:pt idx="138">
                  <c:v>56.5</c:v>
                </c:pt>
                <c:pt idx="139">
                  <c:v>57</c:v>
                </c:pt>
                <c:pt idx="140">
                  <c:v>57.5</c:v>
                </c:pt>
                <c:pt idx="141">
                  <c:v>58</c:v>
                </c:pt>
                <c:pt idx="142">
                  <c:v>58.5</c:v>
                </c:pt>
                <c:pt idx="143">
                  <c:v>59</c:v>
                </c:pt>
                <c:pt idx="144">
                  <c:v>59.5</c:v>
                </c:pt>
                <c:pt idx="145">
                  <c:v>60</c:v>
                </c:pt>
                <c:pt idx="146">
                  <c:v>60.5</c:v>
                </c:pt>
                <c:pt idx="147">
                  <c:v>61</c:v>
                </c:pt>
                <c:pt idx="148">
                  <c:v>61.5</c:v>
                </c:pt>
                <c:pt idx="149">
                  <c:v>62</c:v>
                </c:pt>
                <c:pt idx="150">
                  <c:v>62.5</c:v>
                </c:pt>
                <c:pt idx="151">
                  <c:v>63</c:v>
                </c:pt>
                <c:pt idx="152">
                  <c:v>63.5</c:v>
                </c:pt>
                <c:pt idx="153">
                  <c:v>64</c:v>
                </c:pt>
                <c:pt idx="154">
                  <c:v>64.5</c:v>
                </c:pt>
                <c:pt idx="155">
                  <c:v>65</c:v>
                </c:pt>
                <c:pt idx="156">
                  <c:v>65.5</c:v>
                </c:pt>
                <c:pt idx="157">
                  <c:v>66</c:v>
                </c:pt>
                <c:pt idx="158">
                  <c:v>66.5</c:v>
                </c:pt>
                <c:pt idx="159">
                  <c:v>67</c:v>
                </c:pt>
                <c:pt idx="160">
                  <c:v>67.5</c:v>
                </c:pt>
                <c:pt idx="161">
                  <c:v>68</c:v>
                </c:pt>
                <c:pt idx="162">
                  <c:v>68.5</c:v>
                </c:pt>
                <c:pt idx="163">
                  <c:v>69</c:v>
                </c:pt>
                <c:pt idx="164">
                  <c:v>69.5</c:v>
                </c:pt>
                <c:pt idx="165">
                  <c:v>70</c:v>
                </c:pt>
                <c:pt idx="166">
                  <c:v>70.5</c:v>
                </c:pt>
                <c:pt idx="167">
                  <c:v>71</c:v>
                </c:pt>
                <c:pt idx="168">
                  <c:v>71.5</c:v>
                </c:pt>
                <c:pt idx="169">
                  <c:v>72</c:v>
                </c:pt>
                <c:pt idx="170">
                  <c:v>72.5</c:v>
                </c:pt>
                <c:pt idx="171">
                  <c:v>73</c:v>
                </c:pt>
                <c:pt idx="172">
                  <c:v>73.5</c:v>
                </c:pt>
                <c:pt idx="173">
                  <c:v>74</c:v>
                </c:pt>
                <c:pt idx="174">
                  <c:v>74.5</c:v>
                </c:pt>
                <c:pt idx="175">
                  <c:v>75</c:v>
                </c:pt>
                <c:pt idx="176">
                  <c:v>75.5</c:v>
                </c:pt>
                <c:pt idx="177">
                  <c:v>76</c:v>
                </c:pt>
                <c:pt idx="178">
                  <c:v>76.5</c:v>
                </c:pt>
                <c:pt idx="179">
                  <c:v>77</c:v>
                </c:pt>
                <c:pt idx="180">
                  <c:v>77.5</c:v>
                </c:pt>
                <c:pt idx="181">
                  <c:v>78</c:v>
                </c:pt>
                <c:pt idx="182">
                  <c:v>78.5</c:v>
                </c:pt>
                <c:pt idx="183">
                  <c:v>79</c:v>
                </c:pt>
                <c:pt idx="184">
                  <c:v>79.5</c:v>
                </c:pt>
                <c:pt idx="185">
                  <c:v>80</c:v>
                </c:pt>
                <c:pt idx="186">
                  <c:v>80.5</c:v>
                </c:pt>
                <c:pt idx="187">
                  <c:v>81</c:v>
                </c:pt>
                <c:pt idx="188">
                  <c:v>81.5</c:v>
                </c:pt>
                <c:pt idx="189">
                  <c:v>82</c:v>
                </c:pt>
                <c:pt idx="190">
                  <c:v>82.5</c:v>
                </c:pt>
                <c:pt idx="191">
                  <c:v>83</c:v>
                </c:pt>
                <c:pt idx="192">
                  <c:v>83.5</c:v>
                </c:pt>
                <c:pt idx="193">
                  <c:v>84</c:v>
                </c:pt>
                <c:pt idx="194">
                  <c:v>84.5</c:v>
                </c:pt>
                <c:pt idx="195">
                  <c:v>85</c:v>
                </c:pt>
                <c:pt idx="196">
                  <c:v>85.5</c:v>
                </c:pt>
                <c:pt idx="197">
                  <c:v>86</c:v>
                </c:pt>
                <c:pt idx="198">
                  <c:v>86.5</c:v>
                </c:pt>
                <c:pt idx="199">
                  <c:v>87</c:v>
                </c:pt>
                <c:pt idx="200">
                  <c:v>87.5</c:v>
                </c:pt>
                <c:pt idx="201">
                  <c:v>88</c:v>
                </c:pt>
                <c:pt idx="202">
                  <c:v>88.5</c:v>
                </c:pt>
                <c:pt idx="203">
                  <c:v>89</c:v>
                </c:pt>
                <c:pt idx="204">
                  <c:v>89.5</c:v>
                </c:pt>
                <c:pt idx="205">
                  <c:v>90</c:v>
                </c:pt>
                <c:pt idx="206">
                  <c:v>90.5</c:v>
                </c:pt>
                <c:pt idx="207">
                  <c:v>91</c:v>
                </c:pt>
                <c:pt idx="208">
                  <c:v>91.5</c:v>
                </c:pt>
                <c:pt idx="209">
                  <c:v>92</c:v>
                </c:pt>
                <c:pt idx="210">
                  <c:v>92.5</c:v>
                </c:pt>
                <c:pt idx="211">
                  <c:v>93</c:v>
                </c:pt>
                <c:pt idx="212">
                  <c:v>93.5</c:v>
                </c:pt>
                <c:pt idx="213">
                  <c:v>94</c:v>
                </c:pt>
                <c:pt idx="214">
                  <c:v>94.5</c:v>
                </c:pt>
                <c:pt idx="215">
                  <c:v>95</c:v>
                </c:pt>
                <c:pt idx="216">
                  <c:v>95.5</c:v>
                </c:pt>
                <c:pt idx="217">
                  <c:v>96</c:v>
                </c:pt>
                <c:pt idx="218">
                  <c:v>96.5</c:v>
                </c:pt>
                <c:pt idx="219">
                  <c:v>97</c:v>
                </c:pt>
                <c:pt idx="220">
                  <c:v>97.5</c:v>
                </c:pt>
                <c:pt idx="221">
                  <c:v>98</c:v>
                </c:pt>
                <c:pt idx="222">
                  <c:v>98.5</c:v>
                </c:pt>
                <c:pt idx="223">
                  <c:v>99</c:v>
                </c:pt>
                <c:pt idx="224">
                  <c:v>99.5</c:v>
                </c:pt>
                <c:pt idx="225">
                  <c:v>100</c:v>
                </c:pt>
                <c:pt idx="226">
                  <c:v>105</c:v>
                </c:pt>
                <c:pt idx="227">
                  <c:v>110</c:v>
                </c:pt>
                <c:pt idx="228">
                  <c:v>115</c:v>
                </c:pt>
                <c:pt idx="229">
                  <c:v>120</c:v>
                </c:pt>
                <c:pt idx="230">
                  <c:v>125</c:v>
                </c:pt>
                <c:pt idx="231">
                  <c:v>130</c:v>
                </c:pt>
                <c:pt idx="232">
                  <c:v>135</c:v>
                </c:pt>
                <c:pt idx="233">
                  <c:v>140</c:v>
                </c:pt>
                <c:pt idx="234">
                  <c:v>145</c:v>
                </c:pt>
                <c:pt idx="235">
                  <c:v>150</c:v>
                </c:pt>
                <c:pt idx="236">
                  <c:v>155</c:v>
                </c:pt>
                <c:pt idx="237">
                  <c:v>160</c:v>
                </c:pt>
                <c:pt idx="238">
                  <c:v>165</c:v>
                </c:pt>
                <c:pt idx="239">
                  <c:v>170</c:v>
                </c:pt>
                <c:pt idx="240">
                  <c:v>175</c:v>
                </c:pt>
                <c:pt idx="241">
                  <c:v>180</c:v>
                </c:pt>
                <c:pt idx="242">
                  <c:v>185</c:v>
                </c:pt>
                <c:pt idx="243">
                  <c:v>190</c:v>
                </c:pt>
                <c:pt idx="244">
                  <c:v>195</c:v>
                </c:pt>
                <c:pt idx="245">
                  <c:v>200</c:v>
                </c:pt>
                <c:pt idx="246">
                  <c:v>205</c:v>
                </c:pt>
                <c:pt idx="247">
                  <c:v>210</c:v>
                </c:pt>
                <c:pt idx="248">
                  <c:v>215</c:v>
                </c:pt>
                <c:pt idx="249">
                  <c:v>220</c:v>
                </c:pt>
                <c:pt idx="250">
                  <c:v>225</c:v>
                </c:pt>
                <c:pt idx="251">
                  <c:v>230</c:v>
                </c:pt>
                <c:pt idx="252">
                  <c:v>235</c:v>
                </c:pt>
                <c:pt idx="253">
                  <c:v>240</c:v>
                </c:pt>
                <c:pt idx="254">
                  <c:v>245</c:v>
                </c:pt>
                <c:pt idx="255">
                  <c:v>250</c:v>
                </c:pt>
                <c:pt idx="256">
                  <c:v>255</c:v>
                </c:pt>
                <c:pt idx="257">
                  <c:v>260</c:v>
                </c:pt>
                <c:pt idx="258">
                  <c:v>265</c:v>
                </c:pt>
                <c:pt idx="259">
                  <c:v>270</c:v>
                </c:pt>
                <c:pt idx="260">
                  <c:v>275</c:v>
                </c:pt>
                <c:pt idx="261">
                  <c:v>280</c:v>
                </c:pt>
                <c:pt idx="262">
                  <c:v>285</c:v>
                </c:pt>
                <c:pt idx="263">
                  <c:v>290</c:v>
                </c:pt>
                <c:pt idx="264">
                  <c:v>295</c:v>
                </c:pt>
                <c:pt idx="265">
                  <c:v>300</c:v>
                </c:pt>
                <c:pt idx="266">
                  <c:v>305</c:v>
                </c:pt>
                <c:pt idx="267">
                  <c:v>310</c:v>
                </c:pt>
                <c:pt idx="268">
                  <c:v>315</c:v>
                </c:pt>
                <c:pt idx="269">
                  <c:v>320</c:v>
                </c:pt>
                <c:pt idx="270">
                  <c:v>325</c:v>
                </c:pt>
                <c:pt idx="271">
                  <c:v>330</c:v>
                </c:pt>
                <c:pt idx="272">
                  <c:v>335</c:v>
                </c:pt>
                <c:pt idx="273">
                  <c:v>340</c:v>
                </c:pt>
                <c:pt idx="274">
                  <c:v>345</c:v>
                </c:pt>
                <c:pt idx="275">
                  <c:v>350</c:v>
                </c:pt>
                <c:pt idx="276">
                  <c:v>355</c:v>
                </c:pt>
                <c:pt idx="277">
                  <c:v>360</c:v>
                </c:pt>
                <c:pt idx="278">
                  <c:v>365</c:v>
                </c:pt>
                <c:pt idx="279">
                  <c:v>370</c:v>
                </c:pt>
                <c:pt idx="280">
                  <c:v>375</c:v>
                </c:pt>
                <c:pt idx="281">
                  <c:v>380</c:v>
                </c:pt>
                <c:pt idx="282">
                  <c:v>385</c:v>
                </c:pt>
                <c:pt idx="283">
                  <c:v>390</c:v>
                </c:pt>
                <c:pt idx="284">
                  <c:v>395</c:v>
                </c:pt>
                <c:pt idx="285">
                  <c:v>400</c:v>
                </c:pt>
                <c:pt idx="286">
                  <c:v>405</c:v>
                </c:pt>
                <c:pt idx="287">
                  <c:v>410</c:v>
                </c:pt>
                <c:pt idx="288">
                  <c:v>415</c:v>
                </c:pt>
                <c:pt idx="289">
                  <c:v>420</c:v>
                </c:pt>
                <c:pt idx="290">
                  <c:v>425</c:v>
                </c:pt>
                <c:pt idx="291">
                  <c:v>430</c:v>
                </c:pt>
                <c:pt idx="292">
                  <c:v>435</c:v>
                </c:pt>
                <c:pt idx="293">
                  <c:v>440</c:v>
                </c:pt>
                <c:pt idx="294">
                  <c:v>445</c:v>
                </c:pt>
                <c:pt idx="295">
                  <c:v>450</c:v>
                </c:pt>
                <c:pt idx="296">
                  <c:v>455</c:v>
                </c:pt>
                <c:pt idx="297">
                  <c:v>460</c:v>
                </c:pt>
                <c:pt idx="298">
                  <c:v>465</c:v>
                </c:pt>
                <c:pt idx="299">
                  <c:v>470</c:v>
                </c:pt>
                <c:pt idx="300">
                  <c:v>475</c:v>
                </c:pt>
                <c:pt idx="301">
                  <c:v>480</c:v>
                </c:pt>
                <c:pt idx="302">
                  <c:v>485</c:v>
                </c:pt>
                <c:pt idx="303">
                  <c:v>490</c:v>
                </c:pt>
                <c:pt idx="304">
                  <c:v>495</c:v>
                </c:pt>
                <c:pt idx="305">
                  <c:v>500</c:v>
                </c:pt>
                <c:pt idx="306">
                  <c:v>505</c:v>
                </c:pt>
                <c:pt idx="307">
                  <c:v>510</c:v>
                </c:pt>
                <c:pt idx="308">
                  <c:v>515</c:v>
                </c:pt>
                <c:pt idx="309">
                  <c:v>520</c:v>
                </c:pt>
                <c:pt idx="310">
                  <c:v>525</c:v>
                </c:pt>
                <c:pt idx="311">
                  <c:v>530</c:v>
                </c:pt>
                <c:pt idx="312">
                  <c:v>535</c:v>
                </c:pt>
                <c:pt idx="313">
                  <c:v>540</c:v>
                </c:pt>
                <c:pt idx="314">
                  <c:v>545</c:v>
                </c:pt>
                <c:pt idx="315">
                  <c:v>550</c:v>
                </c:pt>
                <c:pt idx="316">
                  <c:v>555</c:v>
                </c:pt>
                <c:pt idx="317">
                  <c:v>560</c:v>
                </c:pt>
                <c:pt idx="318">
                  <c:v>565</c:v>
                </c:pt>
                <c:pt idx="319">
                  <c:v>570</c:v>
                </c:pt>
                <c:pt idx="320">
                  <c:v>575</c:v>
                </c:pt>
                <c:pt idx="321">
                  <c:v>580</c:v>
                </c:pt>
                <c:pt idx="322">
                  <c:v>585</c:v>
                </c:pt>
                <c:pt idx="323">
                  <c:v>590</c:v>
                </c:pt>
                <c:pt idx="324">
                  <c:v>595</c:v>
                </c:pt>
                <c:pt idx="325">
                  <c:v>600</c:v>
                </c:pt>
                <c:pt idx="326">
                  <c:v>605</c:v>
                </c:pt>
                <c:pt idx="327">
                  <c:v>610</c:v>
                </c:pt>
                <c:pt idx="328">
                  <c:v>615</c:v>
                </c:pt>
                <c:pt idx="329">
                  <c:v>620</c:v>
                </c:pt>
                <c:pt idx="330">
                  <c:v>625</c:v>
                </c:pt>
                <c:pt idx="331">
                  <c:v>630</c:v>
                </c:pt>
                <c:pt idx="332">
                  <c:v>635</c:v>
                </c:pt>
                <c:pt idx="333">
                  <c:v>640</c:v>
                </c:pt>
                <c:pt idx="334">
                  <c:v>645</c:v>
                </c:pt>
                <c:pt idx="335">
                  <c:v>650</c:v>
                </c:pt>
                <c:pt idx="336">
                  <c:v>655</c:v>
                </c:pt>
                <c:pt idx="337">
                  <c:v>660</c:v>
                </c:pt>
                <c:pt idx="338">
                  <c:v>665</c:v>
                </c:pt>
                <c:pt idx="339">
                  <c:v>670</c:v>
                </c:pt>
                <c:pt idx="340">
                  <c:v>675</c:v>
                </c:pt>
                <c:pt idx="341">
                  <c:v>680</c:v>
                </c:pt>
                <c:pt idx="342">
                  <c:v>685</c:v>
                </c:pt>
                <c:pt idx="343">
                  <c:v>690</c:v>
                </c:pt>
                <c:pt idx="344">
                  <c:v>695</c:v>
                </c:pt>
                <c:pt idx="345">
                  <c:v>700</c:v>
                </c:pt>
                <c:pt idx="346">
                  <c:v>705</c:v>
                </c:pt>
                <c:pt idx="347">
                  <c:v>710</c:v>
                </c:pt>
                <c:pt idx="348">
                  <c:v>715</c:v>
                </c:pt>
                <c:pt idx="349">
                  <c:v>720</c:v>
                </c:pt>
                <c:pt idx="350">
                  <c:v>725</c:v>
                </c:pt>
                <c:pt idx="351">
                  <c:v>730</c:v>
                </c:pt>
                <c:pt idx="352">
                  <c:v>735</c:v>
                </c:pt>
                <c:pt idx="353">
                  <c:v>740</c:v>
                </c:pt>
                <c:pt idx="354">
                  <c:v>745</c:v>
                </c:pt>
                <c:pt idx="355">
                  <c:v>750</c:v>
                </c:pt>
                <c:pt idx="356">
                  <c:v>755</c:v>
                </c:pt>
                <c:pt idx="357">
                  <c:v>760</c:v>
                </c:pt>
                <c:pt idx="358">
                  <c:v>765</c:v>
                </c:pt>
                <c:pt idx="359">
                  <c:v>770</c:v>
                </c:pt>
                <c:pt idx="360">
                  <c:v>775</c:v>
                </c:pt>
                <c:pt idx="361">
                  <c:v>780</c:v>
                </c:pt>
                <c:pt idx="362">
                  <c:v>785</c:v>
                </c:pt>
                <c:pt idx="363">
                  <c:v>790</c:v>
                </c:pt>
                <c:pt idx="364">
                  <c:v>795</c:v>
                </c:pt>
                <c:pt idx="365">
                  <c:v>800</c:v>
                </c:pt>
                <c:pt idx="366">
                  <c:v>805</c:v>
                </c:pt>
                <c:pt idx="367">
                  <c:v>810</c:v>
                </c:pt>
                <c:pt idx="368">
                  <c:v>815</c:v>
                </c:pt>
                <c:pt idx="369">
                  <c:v>820</c:v>
                </c:pt>
                <c:pt idx="370">
                  <c:v>825</c:v>
                </c:pt>
                <c:pt idx="371">
                  <c:v>830</c:v>
                </c:pt>
                <c:pt idx="372">
                  <c:v>835</c:v>
                </c:pt>
                <c:pt idx="373">
                  <c:v>840</c:v>
                </c:pt>
                <c:pt idx="374">
                  <c:v>845</c:v>
                </c:pt>
                <c:pt idx="375">
                  <c:v>850</c:v>
                </c:pt>
                <c:pt idx="376">
                  <c:v>855</c:v>
                </c:pt>
                <c:pt idx="377">
                  <c:v>860</c:v>
                </c:pt>
                <c:pt idx="378">
                  <c:v>865</c:v>
                </c:pt>
                <c:pt idx="379">
                  <c:v>870</c:v>
                </c:pt>
                <c:pt idx="380">
                  <c:v>875</c:v>
                </c:pt>
                <c:pt idx="381">
                  <c:v>880</c:v>
                </c:pt>
                <c:pt idx="382">
                  <c:v>885</c:v>
                </c:pt>
                <c:pt idx="383">
                  <c:v>890</c:v>
                </c:pt>
                <c:pt idx="384">
                  <c:v>895</c:v>
                </c:pt>
                <c:pt idx="385">
                  <c:v>900</c:v>
                </c:pt>
                <c:pt idx="386">
                  <c:v>905</c:v>
                </c:pt>
                <c:pt idx="387">
                  <c:v>910</c:v>
                </c:pt>
                <c:pt idx="388">
                  <c:v>915</c:v>
                </c:pt>
                <c:pt idx="389">
                  <c:v>920</c:v>
                </c:pt>
                <c:pt idx="390">
                  <c:v>925</c:v>
                </c:pt>
                <c:pt idx="391">
                  <c:v>930</c:v>
                </c:pt>
                <c:pt idx="392">
                  <c:v>935</c:v>
                </c:pt>
                <c:pt idx="393">
                  <c:v>940</c:v>
                </c:pt>
                <c:pt idx="394">
                  <c:v>945</c:v>
                </c:pt>
                <c:pt idx="395">
                  <c:v>950</c:v>
                </c:pt>
                <c:pt idx="396">
                  <c:v>955</c:v>
                </c:pt>
                <c:pt idx="397">
                  <c:v>960</c:v>
                </c:pt>
                <c:pt idx="398">
                  <c:v>965</c:v>
                </c:pt>
                <c:pt idx="399">
                  <c:v>970</c:v>
                </c:pt>
                <c:pt idx="400">
                  <c:v>975</c:v>
                </c:pt>
                <c:pt idx="401">
                  <c:v>980</c:v>
                </c:pt>
                <c:pt idx="402">
                  <c:v>985</c:v>
                </c:pt>
                <c:pt idx="403">
                  <c:v>990</c:v>
                </c:pt>
                <c:pt idx="404">
                  <c:v>995</c:v>
                </c:pt>
                <c:pt idx="405">
                  <c:v>1000</c:v>
                </c:pt>
                <c:pt idx="406">
                  <c:v>1005</c:v>
                </c:pt>
                <c:pt idx="407">
                  <c:v>1010</c:v>
                </c:pt>
                <c:pt idx="408">
                  <c:v>1015</c:v>
                </c:pt>
                <c:pt idx="409">
                  <c:v>1020</c:v>
                </c:pt>
                <c:pt idx="410">
                  <c:v>1025</c:v>
                </c:pt>
                <c:pt idx="411">
                  <c:v>1030</c:v>
                </c:pt>
                <c:pt idx="412">
                  <c:v>1035</c:v>
                </c:pt>
                <c:pt idx="413">
                  <c:v>1040</c:v>
                </c:pt>
                <c:pt idx="414">
                  <c:v>1045</c:v>
                </c:pt>
                <c:pt idx="415">
                  <c:v>1050</c:v>
                </c:pt>
                <c:pt idx="416">
                  <c:v>1055</c:v>
                </c:pt>
                <c:pt idx="417">
                  <c:v>1060</c:v>
                </c:pt>
                <c:pt idx="418">
                  <c:v>1065</c:v>
                </c:pt>
                <c:pt idx="419">
                  <c:v>1070</c:v>
                </c:pt>
                <c:pt idx="420">
                  <c:v>1075</c:v>
                </c:pt>
                <c:pt idx="421">
                  <c:v>1080</c:v>
                </c:pt>
                <c:pt idx="422">
                  <c:v>1085</c:v>
                </c:pt>
                <c:pt idx="423">
                  <c:v>1090</c:v>
                </c:pt>
                <c:pt idx="424">
                  <c:v>1095</c:v>
                </c:pt>
                <c:pt idx="425">
                  <c:v>1100</c:v>
                </c:pt>
                <c:pt idx="426">
                  <c:v>1105</c:v>
                </c:pt>
                <c:pt idx="427">
                  <c:v>1110</c:v>
                </c:pt>
                <c:pt idx="428">
                  <c:v>1115</c:v>
                </c:pt>
                <c:pt idx="429">
                  <c:v>1120</c:v>
                </c:pt>
                <c:pt idx="430">
                  <c:v>1125</c:v>
                </c:pt>
                <c:pt idx="431">
                  <c:v>1130</c:v>
                </c:pt>
                <c:pt idx="432">
                  <c:v>1135</c:v>
                </c:pt>
                <c:pt idx="433">
                  <c:v>1140</c:v>
                </c:pt>
                <c:pt idx="434">
                  <c:v>1145</c:v>
                </c:pt>
                <c:pt idx="435">
                  <c:v>1150</c:v>
                </c:pt>
                <c:pt idx="436">
                  <c:v>1155</c:v>
                </c:pt>
                <c:pt idx="437">
                  <c:v>1160</c:v>
                </c:pt>
                <c:pt idx="438">
                  <c:v>1165</c:v>
                </c:pt>
                <c:pt idx="439">
                  <c:v>1170</c:v>
                </c:pt>
                <c:pt idx="440">
                  <c:v>1175</c:v>
                </c:pt>
                <c:pt idx="441">
                  <c:v>1180</c:v>
                </c:pt>
                <c:pt idx="442">
                  <c:v>1185</c:v>
                </c:pt>
                <c:pt idx="443">
                  <c:v>1190</c:v>
                </c:pt>
                <c:pt idx="444">
                  <c:v>1195</c:v>
                </c:pt>
                <c:pt idx="445">
                  <c:v>1200</c:v>
                </c:pt>
                <c:pt idx="446">
                  <c:v>1205</c:v>
                </c:pt>
                <c:pt idx="447">
                  <c:v>1210</c:v>
                </c:pt>
                <c:pt idx="448">
                  <c:v>1215</c:v>
                </c:pt>
                <c:pt idx="449">
                  <c:v>1220</c:v>
                </c:pt>
                <c:pt idx="450">
                  <c:v>1225</c:v>
                </c:pt>
                <c:pt idx="451">
                  <c:v>1230</c:v>
                </c:pt>
                <c:pt idx="452">
                  <c:v>1235</c:v>
                </c:pt>
                <c:pt idx="453">
                  <c:v>1240</c:v>
                </c:pt>
                <c:pt idx="454">
                  <c:v>1245</c:v>
                </c:pt>
                <c:pt idx="455">
                  <c:v>1250</c:v>
                </c:pt>
                <c:pt idx="456">
                  <c:v>1255</c:v>
                </c:pt>
                <c:pt idx="457">
                  <c:v>1260</c:v>
                </c:pt>
                <c:pt idx="458">
                  <c:v>1265</c:v>
                </c:pt>
                <c:pt idx="459">
                  <c:v>1270</c:v>
                </c:pt>
                <c:pt idx="460">
                  <c:v>1275</c:v>
                </c:pt>
                <c:pt idx="461">
                  <c:v>1280</c:v>
                </c:pt>
                <c:pt idx="462">
                  <c:v>1285</c:v>
                </c:pt>
                <c:pt idx="463">
                  <c:v>1290</c:v>
                </c:pt>
                <c:pt idx="464">
                  <c:v>1295</c:v>
                </c:pt>
                <c:pt idx="465">
                  <c:v>1300</c:v>
                </c:pt>
                <c:pt idx="466">
                  <c:v>1305</c:v>
                </c:pt>
                <c:pt idx="467">
                  <c:v>1310</c:v>
                </c:pt>
                <c:pt idx="468">
                  <c:v>1315</c:v>
                </c:pt>
                <c:pt idx="469">
                  <c:v>1320</c:v>
                </c:pt>
                <c:pt idx="470">
                  <c:v>1325</c:v>
                </c:pt>
                <c:pt idx="471">
                  <c:v>1330</c:v>
                </c:pt>
                <c:pt idx="472">
                  <c:v>1335</c:v>
                </c:pt>
                <c:pt idx="473">
                  <c:v>1340</c:v>
                </c:pt>
                <c:pt idx="474">
                  <c:v>1345</c:v>
                </c:pt>
                <c:pt idx="475">
                  <c:v>1350</c:v>
                </c:pt>
                <c:pt idx="476">
                  <c:v>1355</c:v>
                </c:pt>
                <c:pt idx="477">
                  <c:v>1360</c:v>
                </c:pt>
                <c:pt idx="478">
                  <c:v>1365</c:v>
                </c:pt>
                <c:pt idx="479">
                  <c:v>1370</c:v>
                </c:pt>
                <c:pt idx="480">
                  <c:v>1375</c:v>
                </c:pt>
                <c:pt idx="481">
                  <c:v>1380</c:v>
                </c:pt>
                <c:pt idx="482">
                  <c:v>1385</c:v>
                </c:pt>
                <c:pt idx="483">
                  <c:v>1390</c:v>
                </c:pt>
                <c:pt idx="484">
                  <c:v>1395</c:v>
                </c:pt>
                <c:pt idx="485">
                  <c:v>1400</c:v>
                </c:pt>
                <c:pt idx="486">
                  <c:v>1405</c:v>
                </c:pt>
                <c:pt idx="487">
                  <c:v>1410</c:v>
                </c:pt>
                <c:pt idx="488">
                  <c:v>1415</c:v>
                </c:pt>
                <c:pt idx="489">
                  <c:v>1420</c:v>
                </c:pt>
                <c:pt idx="490">
                  <c:v>1425</c:v>
                </c:pt>
                <c:pt idx="491">
                  <c:v>1430</c:v>
                </c:pt>
                <c:pt idx="492">
                  <c:v>1435</c:v>
                </c:pt>
                <c:pt idx="493">
                  <c:v>1440</c:v>
                </c:pt>
                <c:pt idx="494">
                  <c:v>1445</c:v>
                </c:pt>
                <c:pt idx="495">
                  <c:v>1450</c:v>
                </c:pt>
                <c:pt idx="496">
                  <c:v>1455</c:v>
                </c:pt>
                <c:pt idx="497">
                  <c:v>1460</c:v>
                </c:pt>
                <c:pt idx="498">
                  <c:v>1465</c:v>
                </c:pt>
                <c:pt idx="499">
                  <c:v>1470</c:v>
                </c:pt>
                <c:pt idx="500">
                  <c:v>1475</c:v>
                </c:pt>
                <c:pt idx="501">
                  <c:v>1480</c:v>
                </c:pt>
                <c:pt idx="502">
                  <c:v>1485</c:v>
                </c:pt>
                <c:pt idx="503">
                  <c:v>1490</c:v>
                </c:pt>
                <c:pt idx="504">
                  <c:v>1495</c:v>
                </c:pt>
                <c:pt idx="505">
                  <c:v>1500</c:v>
                </c:pt>
                <c:pt idx="506">
                  <c:v>1505</c:v>
                </c:pt>
                <c:pt idx="507">
                  <c:v>1510</c:v>
                </c:pt>
                <c:pt idx="508">
                  <c:v>1515</c:v>
                </c:pt>
                <c:pt idx="509">
                  <c:v>1520</c:v>
                </c:pt>
                <c:pt idx="510">
                  <c:v>1525</c:v>
                </c:pt>
                <c:pt idx="511">
                  <c:v>1530</c:v>
                </c:pt>
                <c:pt idx="512">
                  <c:v>1535</c:v>
                </c:pt>
                <c:pt idx="513">
                  <c:v>1540</c:v>
                </c:pt>
                <c:pt idx="514">
                  <c:v>1545</c:v>
                </c:pt>
                <c:pt idx="515">
                  <c:v>1550</c:v>
                </c:pt>
                <c:pt idx="516">
                  <c:v>1555</c:v>
                </c:pt>
                <c:pt idx="517">
                  <c:v>1560</c:v>
                </c:pt>
                <c:pt idx="518">
                  <c:v>1565</c:v>
                </c:pt>
                <c:pt idx="519">
                  <c:v>1570</c:v>
                </c:pt>
                <c:pt idx="520">
                  <c:v>1575</c:v>
                </c:pt>
                <c:pt idx="521">
                  <c:v>1580</c:v>
                </c:pt>
                <c:pt idx="522">
                  <c:v>1585</c:v>
                </c:pt>
                <c:pt idx="523">
                  <c:v>1590</c:v>
                </c:pt>
                <c:pt idx="524">
                  <c:v>1595</c:v>
                </c:pt>
                <c:pt idx="525">
                  <c:v>1600</c:v>
                </c:pt>
                <c:pt idx="526">
                  <c:v>1605</c:v>
                </c:pt>
                <c:pt idx="527">
                  <c:v>1610</c:v>
                </c:pt>
                <c:pt idx="528">
                  <c:v>1615</c:v>
                </c:pt>
                <c:pt idx="529">
                  <c:v>1620</c:v>
                </c:pt>
                <c:pt idx="530">
                  <c:v>1625</c:v>
                </c:pt>
                <c:pt idx="531">
                  <c:v>1630</c:v>
                </c:pt>
                <c:pt idx="532">
                  <c:v>1635</c:v>
                </c:pt>
                <c:pt idx="533">
                  <c:v>1640</c:v>
                </c:pt>
                <c:pt idx="534">
                  <c:v>1645</c:v>
                </c:pt>
                <c:pt idx="535">
                  <c:v>1650</c:v>
                </c:pt>
                <c:pt idx="536">
                  <c:v>1655</c:v>
                </c:pt>
                <c:pt idx="537">
                  <c:v>1660</c:v>
                </c:pt>
                <c:pt idx="538">
                  <c:v>1665</c:v>
                </c:pt>
                <c:pt idx="539">
                  <c:v>1670</c:v>
                </c:pt>
                <c:pt idx="540">
                  <c:v>1675</c:v>
                </c:pt>
                <c:pt idx="541">
                  <c:v>1680</c:v>
                </c:pt>
                <c:pt idx="542">
                  <c:v>1685</c:v>
                </c:pt>
                <c:pt idx="543">
                  <c:v>1690</c:v>
                </c:pt>
                <c:pt idx="544">
                  <c:v>1695</c:v>
                </c:pt>
                <c:pt idx="545">
                  <c:v>1700</c:v>
                </c:pt>
                <c:pt idx="546">
                  <c:v>1705</c:v>
                </c:pt>
                <c:pt idx="547">
                  <c:v>1710</c:v>
                </c:pt>
                <c:pt idx="548">
                  <c:v>1715</c:v>
                </c:pt>
                <c:pt idx="549">
                  <c:v>1720</c:v>
                </c:pt>
                <c:pt idx="550">
                  <c:v>1725</c:v>
                </c:pt>
                <c:pt idx="551">
                  <c:v>1730</c:v>
                </c:pt>
                <c:pt idx="552">
                  <c:v>1735</c:v>
                </c:pt>
                <c:pt idx="553">
                  <c:v>1740</c:v>
                </c:pt>
                <c:pt idx="554">
                  <c:v>1745</c:v>
                </c:pt>
                <c:pt idx="555">
                  <c:v>1750</c:v>
                </c:pt>
                <c:pt idx="556">
                  <c:v>1755</c:v>
                </c:pt>
                <c:pt idx="557">
                  <c:v>1760</c:v>
                </c:pt>
                <c:pt idx="558">
                  <c:v>1765</c:v>
                </c:pt>
                <c:pt idx="559">
                  <c:v>1770</c:v>
                </c:pt>
                <c:pt idx="560">
                  <c:v>1775</c:v>
                </c:pt>
                <c:pt idx="561">
                  <c:v>1780</c:v>
                </c:pt>
                <c:pt idx="562">
                  <c:v>1785</c:v>
                </c:pt>
                <c:pt idx="563">
                  <c:v>1790</c:v>
                </c:pt>
                <c:pt idx="564">
                  <c:v>1795</c:v>
                </c:pt>
                <c:pt idx="565">
                  <c:v>1800</c:v>
                </c:pt>
                <c:pt idx="566">
                  <c:v>1805</c:v>
                </c:pt>
                <c:pt idx="567">
                  <c:v>1810</c:v>
                </c:pt>
                <c:pt idx="568">
                  <c:v>1815</c:v>
                </c:pt>
                <c:pt idx="569">
                  <c:v>1820</c:v>
                </c:pt>
                <c:pt idx="570">
                  <c:v>1825</c:v>
                </c:pt>
                <c:pt idx="571">
                  <c:v>1830</c:v>
                </c:pt>
                <c:pt idx="572">
                  <c:v>1835</c:v>
                </c:pt>
                <c:pt idx="573">
                  <c:v>1840</c:v>
                </c:pt>
                <c:pt idx="574">
                  <c:v>1845</c:v>
                </c:pt>
                <c:pt idx="575">
                  <c:v>1850</c:v>
                </c:pt>
                <c:pt idx="576">
                  <c:v>1855</c:v>
                </c:pt>
                <c:pt idx="577">
                  <c:v>1860</c:v>
                </c:pt>
                <c:pt idx="578">
                  <c:v>1865</c:v>
                </c:pt>
                <c:pt idx="579">
                  <c:v>1870</c:v>
                </c:pt>
                <c:pt idx="580">
                  <c:v>1875</c:v>
                </c:pt>
                <c:pt idx="581">
                  <c:v>1880</c:v>
                </c:pt>
                <c:pt idx="582">
                  <c:v>1885</c:v>
                </c:pt>
                <c:pt idx="583">
                  <c:v>1890</c:v>
                </c:pt>
                <c:pt idx="584">
                  <c:v>1895</c:v>
                </c:pt>
                <c:pt idx="585">
                  <c:v>1900</c:v>
                </c:pt>
                <c:pt idx="586">
                  <c:v>1905</c:v>
                </c:pt>
                <c:pt idx="587">
                  <c:v>1910</c:v>
                </c:pt>
                <c:pt idx="588">
                  <c:v>1915</c:v>
                </c:pt>
                <c:pt idx="589">
                  <c:v>1920</c:v>
                </c:pt>
                <c:pt idx="590">
                  <c:v>1925</c:v>
                </c:pt>
                <c:pt idx="591">
                  <c:v>1930</c:v>
                </c:pt>
                <c:pt idx="592">
                  <c:v>1935</c:v>
                </c:pt>
                <c:pt idx="593">
                  <c:v>1940</c:v>
                </c:pt>
                <c:pt idx="594">
                  <c:v>1945</c:v>
                </c:pt>
                <c:pt idx="595">
                  <c:v>1950</c:v>
                </c:pt>
                <c:pt idx="596">
                  <c:v>1955</c:v>
                </c:pt>
                <c:pt idx="597">
                  <c:v>1960</c:v>
                </c:pt>
                <c:pt idx="598">
                  <c:v>1965</c:v>
                </c:pt>
                <c:pt idx="599">
                  <c:v>1970</c:v>
                </c:pt>
                <c:pt idx="600">
                  <c:v>1975</c:v>
                </c:pt>
                <c:pt idx="601">
                  <c:v>1980</c:v>
                </c:pt>
                <c:pt idx="602">
                  <c:v>1985</c:v>
                </c:pt>
                <c:pt idx="603">
                  <c:v>1990</c:v>
                </c:pt>
                <c:pt idx="604">
                  <c:v>1995</c:v>
                </c:pt>
                <c:pt idx="605">
                  <c:v>2000</c:v>
                </c:pt>
                <c:pt idx="606">
                  <c:v>2250</c:v>
                </c:pt>
                <c:pt idx="607">
                  <c:v>2500</c:v>
                </c:pt>
                <c:pt idx="608">
                  <c:v>2750</c:v>
                </c:pt>
                <c:pt idx="609">
                  <c:v>3000</c:v>
                </c:pt>
                <c:pt idx="610">
                  <c:v>3250</c:v>
                </c:pt>
                <c:pt idx="611">
                  <c:v>3500</c:v>
                </c:pt>
                <c:pt idx="612">
                  <c:v>3750</c:v>
                </c:pt>
                <c:pt idx="613">
                  <c:v>4000</c:v>
                </c:pt>
                <c:pt idx="614">
                  <c:v>4250</c:v>
                </c:pt>
                <c:pt idx="615">
                  <c:v>4500</c:v>
                </c:pt>
                <c:pt idx="616">
                  <c:v>4750</c:v>
                </c:pt>
                <c:pt idx="617">
                  <c:v>5000</c:v>
                </c:pt>
                <c:pt idx="618">
                  <c:v>5100</c:v>
                </c:pt>
                <c:pt idx="619">
                  <c:v>5200</c:v>
                </c:pt>
                <c:pt idx="620">
                  <c:v>5300</c:v>
                </c:pt>
                <c:pt idx="621">
                  <c:v>5400</c:v>
                </c:pt>
                <c:pt idx="622">
                  <c:v>5500</c:v>
                </c:pt>
                <c:pt idx="623">
                  <c:v>5600</c:v>
                </c:pt>
                <c:pt idx="624">
                  <c:v>5700</c:v>
                </c:pt>
                <c:pt idx="625">
                  <c:v>5800</c:v>
                </c:pt>
                <c:pt idx="626">
                  <c:v>5900</c:v>
                </c:pt>
                <c:pt idx="627">
                  <c:v>6000</c:v>
                </c:pt>
                <c:pt idx="628">
                  <c:v>6100</c:v>
                </c:pt>
                <c:pt idx="629">
                  <c:v>6200</c:v>
                </c:pt>
                <c:pt idx="630">
                  <c:v>6300</c:v>
                </c:pt>
                <c:pt idx="631">
                  <c:v>6400</c:v>
                </c:pt>
                <c:pt idx="632">
                  <c:v>6500</c:v>
                </c:pt>
                <c:pt idx="633">
                  <c:v>6600</c:v>
                </c:pt>
                <c:pt idx="634">
                  <c:v>6700</c:v>
                </c:pt>
                <c:pt idx="635">
                  <c:v>6800</c:v>
                </c:pt>
                <c:pt idx="636">
                  <c:v>6900</c:v>
                </c:pt>
                <c:pt idx="637">
                  <c:v>7000</c:v>
                </c:pt>
                <c:pt idx="638">
                  <c:v>7100</c:v>
                </c:pt>
                <c:pt idx="639">
                  <c:v>7200</c:v>
                </c:pt>
                <c:pt idx="640">
                  <c:v>7300</c:v>
                </c:pt>
                <c:pt idx="641">
                  <c:v>7400</c:v>
                </c:pt>
                <c:pt idx="642">
                  <c:v>7500</c:v>
                </c:pt>
                <c:pt idx="643">
                  <c:v>7600</c:v>
                </c:pt>
                <c:pt idx="644">
                  <c:v>7700</c:v>
                </c:pt>
                <c:pt idx="645">
                  <c:v>7800</c:v>
                </c:pt>
                <c:pt idx="646">
                  <c:v>7900</c:v>
                </c:pt>
                <c:pt idx="647">
                  <c:v>8000</c:v>
                </c:pt>
                <c:pt idx="648">
                  <c:v>8100</c:v>
                </c:pt>
                <c:pt idx="649">
                  <c:v>8200</c:v>
                </c:pt>
                <c:pt idx="650">
                  <c:v>8300</c:v>
                </c:pt>
                <c:pt idx="651">
                  <c:v>8400</c:v>
                </c:pt>
                <c:pt idx="652">
                  <c:v>8500</c:v>
                </c:pt>
                <c:pt idx="653">
                  <c:v>8600</c:v>
                </c:pt>
                <c:pt idx="654">
                  <c:v>8700</c:v>
                </c:pt>
                <c:pt idx="655">
                  <c:v>8800</c:v>
                </c:pt>
                <c:pt idx="656">
                  <c:v>8900</c:v>
                </c:pt>
                <c:pt idx="657">
                  <c:v>9000</c:v>
                </c:pt>
                <c:pt idx="658">
                  <c:v>9100</c:v>
                </c:pt>
                <c:pt idx="659">
                  <c:v>9200</c:v>
                </c:pt>
                <c:pt idx="660">
                  <c:v>9300</c:v>
                </c:pt>
                <c:pt idx="661">
                  <c:v>9400</c:v>
                </c:pt>
                <c:pt idx="662">
                  <c:v>9500</c:v>
                </c:pt>
                <c:pt idx="663">
                  <c:v>9600</c:v>
                </c:pt>
                <c:pt idx="664">
                  <c:v>9700</c:v>
                </c:pt>
                <c:pt idx="665">
                  <c:v>9800</c:v>
                </c:pt>
                <c:pt idx="666">
                  <c:v>9900</c:v>
                </c:pt>
                <c:pt idx="667">
                  <c:v>10000</c:v>
                </c:pt>
              </c:numCache>
            </c:numRef>
          </c:xVal>
          <c:yVal>
            <c:numRef>
              <c:f>'Bode Plots Calculations'!$BG$9:$BG$676</c:f>
              <c:numCache>
                <c:formatCode>General</c:formatCode>
                <c:ptCount val="668"/>
                <c:pt idx="0">
                  <c:v>-50.984906575823402</c:v>
                </c:pt>
                <c:pt idx="1">
                  <c:v>-67.911643584270522</c:v>
                </c:pt>
                <c:pt idx="2">
                  <c:v>-74.819022959921867</c:v>
                </c:pt>
                <c:pt idx="3">
                  <c:v>-78.451572002867408</c:v>
                </c:pt>
                <c:pt idx="4">
                  <c:v>-80.668582338962921</c:v>
                </c:pt>
                <c:pt idx="5">
                  <c:v>-82.153949803512603</c:v>
                </c:pt>
                <c:pt idx="6">
                  <c:v>-83.213929625303365</c:v>
                </c:pt>
                <c:pt idx="7">
                  <c:v>-84.005312828725948</c:v>
                </c:pt>
                <c:pt idx="8">
                  <c:v>-84.616457342799222</c:v>
                </c:pt>
                <c:pt idx="9">
                  <c:v>-85.100873401429112</c:v>
                </c:pt>
                <c:pt idx="10">
                  <c:v>-87.139426691197343</c:v>
                </c:pt>
                <c:pt idx="11">
                  <c:v>-87.640017117731063</c:v>
                </c:pt>
                <c:pt idx="12">
                  <c:v>-87.754820379700774</c:v>
                </c:pt>
                <c:pt idx="13">
                  <c:v>-87.715194757368351</c:v>
                </c:pt>
                <c:pt idx="14">
                  <c:v>-87.598344795490078</c:v>
                </c:pt>
                <c:pt idx="15">
                  <c:v>-87.437376392374816</c:v>
                </c:pt>
                <c:pt idx="16">
                  <c:v>-87.248849289020399</c:v>
                </c:pt>
                <c:pt idx="17">
                  <c:v>-87.04196715624478</c:v>
                </c:pt>
                <c:pt idx="18">
                  <c:v>-86.822254948829467</c:v>
                </c:pt>
                <c:pt idx="19">
                  <c:v>-84.345742123172172</c:v>
                </c:pt>
                <c:pt idx="20">
                  <c:v>-81.725794335034195</c:v>
                </c:pt>
                <c:pt idx="21">
                  <c:v>-79.083829333202516</c:v>
                </c:pt>
                <c:pt idx="22">
                  <c:v>-76.448409715764754</c:v>
                </c:pt>
                <c:pt idx="23">
                  <c:v>-73.832501127007859</c:v>
                </c:pt>
                <c:pt idx="24">
                  <c:v>-71.24448717316676</c:v>
                </c:pt>
                <c:pt idx="25">
                  <c:v>-68.690907699053824</c:v>
                </c:pt>
                <c:pt idx="26">
                  <c:v>-66.177362008290231</c:v>
                </c:pt>
                <c:pt idx="27">
                  <c:v>-63.708865666774081</c:v>
                </c:pt>
                <c:pt idx="28">
                  <c:v>-52.192107332653748</c:v>
                </c:pt>
                <c:pt idx="29">
                  <c:v>-42.379389204095439</c:v>
                </c:pt>
                <c:pt idx="30">
                  <c:v>-34.668708871784247</c:v>
                </c:pt>
                <c:pt idx="31">
                  <c:v>-29.545692614583523</c:v>
                </c:pt>
                <c:pt idx="32">
                  <c:v>-27.890007392527668</c:v>
                </c:pt>
                <c:pt idx="33">
                  <c:v>-31.593151090842234</c:v>
                </c:pt>
                <c:pt idx="34">
                  <c:v>-44.446760557341456</c:v>
                </c:pt>
                <c:pt idx="35">
                  <c:v>-69.137337747936655</c:v>
                </c:pt>
                <c:pt idx="36">
                  <c:v>-94.646705766747203</c:v>
                </c:pt>
                <c:pt idx="37">
                  <c:v>-109.74313293812011</c:v>
                </c:pt>
                <c:pt idx="38">
                  <c:v>-117.04477478572909</c:v>
                </c:pt>
                <c:pt idx="39">
                  <c:v>-120.43885462761314</c:v>
                </c:pt>
                <c:pt idx="40">
                  <c:v>-121.90907201639719</c:v>
                </c:pt>
                <c:pt idx="41">
                  <c:v>-122.38770185348983</c:v>
                </c:pt>
                <c:pt idx="42">
                  <c:v>-122.33540521364566</c:v>
                </c:pt>
                <c:pt idx="43">
                  <c:v>-121.99432045776368</c:v>
                </c:pt>
                <c:pt idx="44">
                  <c:v>-121.49845880407499</c:v>
                </c:pt>
                <c:pt idx="45">
                  <c:v>-120.92490518698541</c:v>
                </c:pt>
                <c:pt idx="46">
                  <c:v>-120.31917840581355</c:v>
                </c:pt>
                <c:pt idx="47">
                  <c:v>-119.70854721297458</c:v>
                </c:pt>
                <c:pt idx="48">
                  <c:v>-119.10937601131661</c:v>
                </c:pt>
                <c:pt idx="49">
                  <c:v>-118.53134693137575</c:v>
                </c:pt>
                <c:pt idx="50">
                  <c:v>-117.97997043034752</c:v>
                </c:pt>
                <c:pt idx="51">
                  <c:v>-117.45812056522959</c:v>
                </c:pt>
                <c:pt idx="52">
                  <c:v>-116.96699557477736</c:v>
                </c:pt>
                <c:pt idx="53">
                  <c:v>-116.50673007703574</c:v>
                </c:pt>
                <c:pt idx="54">
                  <c:v>-116.0767909050691</c:v>
                </c:pt>
                <c:pt idx="55">
                  <c:v>-115.6762357857011</c:v>
                </c:pt>
                <c:pt idx="56">
                  <c:v>-115.30388354965665</c:v>
                </c:pt>
                <c:pt idx="57">
                  <c:v>-114.95842644402585</c:v>
                </c:pt>
                <c:pt idx="58">
                  <c:v>-114.638504100246</c:v>
                </c:pt>
                <c:pt idx="59">
                  <c:v>-114.34275186663946</c:v>
                </c:pt>
                <c:pt idx="60">
                  <c:v>-114.06983188203563</c:v>
                </c:pt>
                <c:pt idx="61">
                  <c:v>-113.8184524781056</c:v>
                </c:pt>
                <c:pt idx="62">
                  <c:v>-113.58737967587183</c:v>
                </c:pt>
                <c:pt idx="63">
                  <c:v>-113.37544333550017</c:v>
                </c:pt>
                <c:pt idx="64">
                  <c:v>-113.18153971044491</c:v>
                </c:pt>
                <c:pt idx="65">
                  <c:v>-113.00463161019098</c:v>
                </c:pt>
                <c:pt idx="66">
                  <c:v>-112.84374700245684</c:v>
                </c:pt>
                <c:pt idx="67">
                  <c:v>-112.69797662880208</c:v>
                </c:pt>
                <c:pt idx="68">
                  <c:v>-112.56647102965545</c:v>
                </c:pt>
                <c:pt idx="69">
                  <c:v>-112.44843725090892</c:v>
                </c:pt>
                <c:pt idx="70">
                  <c:v>-112.34313541765198</c:v>
                </c:pt>
                <c:pt idx="71">
                  <c:v>-112.24987529995617</c:v>
                </c:pt>
                <c:pt idx="72">
                  <c:v>-112.1680129530701</c:v>
                </c:pt>
                <c:pt idx="73">
                  <c:v>-112.09694748456197</c:v>
                </c:pt>
                <c:pt idx="74">
                  <c:v>-112.03611798010206</c:v>
                </c:pt>
                <c:pt idx="75">
                  <c:v>-111.98500060509045</c:v>
                </c:pt>
                <c:pt idx="76">
                  <c:v>-111.94310588935942</c:v>
                </c:pt>
                <c:pt idx="77">
                  <c:v>-111.90997619540356</c:v>
                </c:pt>
                <c:pt idx="78">
                  <c:v>-111.88518336609035</c:v>
                </c:pt>
                <c:pt idx="79">
                  <c:v>-111.86832654491251</c:v>
                </c:pt>
                <c:pt idx="80">
                  <c:v>-111.85903016008845</c:v>
                </c:pt>
                <c:pt idx="81">
                  <c:v>-111.85694206285892</c:v>
                </c:pt>
                <c:pt idx="82">
                  <c:v>-111.86173180992186</c:v>
                </c:pt>
                <c:pt idx="83">
                  <c:v>-111.87308907991928</c:v>
                </c:pt>
                <c:pt idx="84">
                  <c:v>-111.89072221411523</c:v>
                </c:pt>
                <c:pt idx="85">
                  <c:v>-111.91435687179074</c:v>
                </c:pt>
                <c:pt idx="86">
                  <c:v>-111.94373479136866</c:v>
                </c:pt>
                <c:pt idx="87">
                  <c:v>-111.9786126488239</c:v>
                </c:pt>
                <c:pt idx="88">
                  <c:v>-112.01876100549853</c:v>
                </c:pt>
                <c:pt idx="89">
                  <c:v>-112.06396333800949</c:v>
                </c:pt>
                <c:pt idx="90">
                  <c:v>-112.11401514348957</c:v>
                </c:pt>
                <c:pt idx="91">
                  <c:v>-112.16872311393527</c:v>
                </c:pt>
                <c:pt idx="92">
                  <c:v>-112.22790437394028</c:v>
                </c:pt>
                <c:pt idx="93">
                  <c:v>-112.29138577656509</c:v>
                </c:pt>
                <c:pt idx="94">
                  <c:v>-112.35900325253664</c:v>
                </c:pt>
                <c:pt idx="95">
                  <c:v>-112.43060120837931</c:v>
                </c:pt>
                <c:pt idx="96">
                  <c:v>-112.5060319694559</c:v>
                </c:pt>
                <c:pt idx="97">
                  <c:v>-112.58515526424446</c:v>
                </c:pt>
                <c:pt idx="98">
                  <c:v>-112.66783774649404</c:v>
                </c:pt>
                <c:pt idx="99">
                  <c:v>-112.75395255219337</c:v>
                </c:pt>
                <c:pt idx="100">
                  <c:v>-112.84337888855272</c:v>
                </c:pt>
                <c:pt idx="101">
                  <c:v>-112.93600165243991</c:v>
                </c:pt>
                <c:pt idx="102">
                  <c:v>-113.03171107593445</c:v>
                </c:pt>
                <c:pt idx="103">
                  <c:v>-113.13040239686272</c:v>
                </c:pt>
                <c:pt idx="104">
                  <c:v>-113.23197555236213</c:v>
                </c:pt>
                <c:pt idx="105">
                  <c:v>-113.33633489368786</c:v>
                </c:pt>
                <c:pt idx="106">
                  <c:v>-113.44338892062724</c:v>
                </c:pt>
                <c:pt idx="107">
                  <c:v>-113.55305003402613</c:v>
                </c:pt>
                <c:pt idx="108">
                  <c:v>-113.66523430505575</c:v>
                </c:pt>
                <c:pt idx="109">
                  <c:v>-113.77986125996428</c:v>
                </c:pt>
                <c:pt idx="110">
                  <c:v>-113.89685367916076</c:v>
                </c:pt>
                <c:pt idx="111">
                  <c:v>-114.01613740957359</c:v>
                </c:pt>
                <c:pt idx="112">
                  <c:v>-114.13764118931327</c:v>
                </c:pt>
                <c:pt idx="113">
                  <c:v>-114.26129648374729</c:v>
                </c:pt>
                <c:pt idx="114">
                  <c:v>-114.3870373321663</c:v>
                </c:pt>
                <c:pt idx="115">
                  <c:v>-114.51480020428794</c:v>
                </c:pt>
                <c:pt idx="116">
                  <c:v>-114.64452386590287</c:v>
                </c:pt>
                <c:pt idx="117">
                  <c:v>-114.77614925302285</c:v>
                </c:pt>
                <c:pt idx="118">
                  <c:v>-114.90961935394161</c:v>
                </c:pt>
                <c:pt idx="119">
                  <c:v>-115.04487909866306</c:v>
                </c:pt>
                <c:pt idx="120">
                  <c:v>-115.18187525519512</c:v>
                </c:pt>
                <c:pt idx="121">
                  <c:v>-115.32055633224454</c:v>
                </c:pt>
                <c:pt idx="122">
                  <c:v>-115.46087248788344</c:v>
                </c:pt>
                <c:pt idx="123">
                  <c:v>-115.60277544379059</c:v>
                </c:pt>
                <c:pt idx="124">
                  <c:v>-115.74621840470019</c:v>
                </c:pt>
                <c:pt idx="125">
                  <c:v>-115.89115598271691</c:v>
                </c:pt>
                <c:pt idx="126">
                  <c:v>-116.03754412618262</c:v>
                </c:pt>
                <c:pt idx="127">
                  <c:v>-116.1853400528006</c:v>
                </c:pt>
                <c:pt idx="128">
                  <c:v>-116.33450218674702</c:v>
                </c:pt>
                <c:pt idx="129">
                  <c:v>-116.4849900995159</c:v>
                </c:pt>
                <c:pt idx="130">
                  <c:v>-116.63676445426334</c:v>
                </c:pt>
                <c:pt idx="131">
                  <c:v>-116.78978695343326</c:v>
                </c:pt>
                <c:pt idx="132">
                  <c:v>-116.94402028946061</c:v>
                </c:pt>
                <c:pt idx="133">
                  <c:v>-117.09942809836284</c:v>
                </c:pt>
                <c:pt idx="134">
                  <c:v>-117.25597491604429</c:v>
                </c:pt>
                <c:pt idx="135">
                  <c:v>-117.41362613714766</c:v>
                </c:pt>
                <c:pt idx="136">
                  <c:v>-117.57234797629978</c:v>
                </c:pt>
                <c:pt idx="137">
                  <c:v>-117.73210743160838</c:v>
                </c:pt>
                <c:pt idx="138">
                  <c:v>-117.8928722502752</c:v>
                </c:pt>
                <c:pt idx="139">
                  <c:v>-118.05461089620097</c:v>
                </c:pt>
                <c:pt idx="140">
                  <c:v>-118.21729251946454</c:v>
                </c:pt>
                <c:pt idx="141">
                  <c:v>-118.38088692756646</c:v>
                </c:pt>
                <c:pt idx="142">
                  <c:v>-118.54536455833428</c:v>
                </c:pt>
                <c:pt idx="143">
                  <c:v>-118.71069645439327</c:v>
                </c:pt>
                <c:pt idx="144">
                  <c:v>-118.87685423911176</c:v>
                </c:pt>
                <c:pt idx="145">
                  <c:v>-119.04381009393707</c:v>
                </c:pt>
                <c:pt idx="146">
                  <c:v>-119.21153673704065</c:v>
                </c:pt>
                <c:pt idx="147">
                  <c:v>-119.38000740320028</c:v>
                </c:pt>
                <c:pt idx="148">
                  <c:v>-119.54919582484554</c:v>
                </c:pt>
                <c:pt idx="149">
                  <c:v>-119.71907621420344</c:v>
                </c:pt>
                <c:pt idx="150">
                  <c:v>-119.88962324647989</c:v>
                </c:pt>
                <c:pt idx="151">
                  <c:v>-120.06081204401865</c:v>
                </c:pt>
                <c:pt idx="152">
                  <c:v>-120.23261816138317</c:v>
                </c:pt>
                <c:pt idx="153">
                  <c:v>-120.40501757130832</c:v>
                </c:pt>
                <c:pt idx="154">
                  <c:v>-120.57798665147313</c:v>
                </c:pt>
                <c:pt idx="155">
                  <c:v>-120.75150217204784</c:v>
                </c:pt>
                <c:pt idx="156">
                  <c:v>-120.92554128397242</c:v>
                </c:pt>
                <c:pt idx="157">
                  <c:v>-121.10008150792328</c:v>
                </c:pt>
                <c:pt idx="158">
                  <c:v>-121.27510072393081</c:v>
                </c:pt>
                <c:pt idx="159">
                  <c:v>-121.45057716160981</c:v>
                </c:pt>
                <c:pt idx="160">
                  <c:v>-121.62648939096796</c:v>
                </c:pt>
                <c:pt idx="161">
                  <c:v>-121.80281631375932</c:v>
                </c:pt>
                <c:pt idx="162">
                  <c:v>-121.97953715535147</c:v>
                </c:pt>
                <c:pt idx="163">
                  <c:v>-122.15663145707641</c:v>
                </c:pt>
                <c:pt idx="164">
                  <c:v>-122.33407906903744</c:v>
                </c:pt>
                <c:pt idx="165">
                  <c:v>-122.51186014334499</c:v>
                </c:pt>
                <c:pt idx="166">
                  <c:v>-122.68995512775669</c:v>
                </c:pt>
                <c:pt idx="167">
                  <c:v>-122.86834475969697</c:v>
                </c:pt>
                <c:pt idx="168">
                  <c:v>-123.04701006063422</c:v>
                </c:pt>
                <c:pt idx="169">
                  <c:v>-123.22593233079347</c:v>
                </c:pt>
                <c:pt idx="170">
                  <c:v>-123.40509314418465</c:v>
                </c:pt>
                <c:pt idx="171">
                  <c:v>-123.58447434392674</c:v>
                </c:pt>
                <c:pt idx="172">
                  <c:v>-123.76405803784905</c:v>
                </c:pt>
                <c:pt idx="173">
                  <c:v>-123.94382659435327</c:v>
                </c:pt>
                <c:pt idx="174">
                  <c:v>-124.12376263851864</c:v>
                </c:pt>
                <c:pt idx="175">
                  <c:v>-124.30384904843513</c:v>
                </c:pt>
                <c:pt idx="176">
                  <c:v>-124.48406895174972</c:v>
                </c:pt>
                <c:pt idx="177">
                  <c:v>-124.66440572241129</c:v>
                </c:pt>
                <c:pt idx="178">
                  <c:v>-124.84484297760082</c:v>
                </c:pt>
                <c:pt idx="179">
                  <c:v>-125.02536457483488</c:v>
                </c:pt>
                <c:pt idx="180">
                  <c:v>-125.20595460922884</c:v>
                </c:pt>
                <c:pt idx="181">
                  <c:v>-125.38659741091006</c:v>
                </c:pt>
                <c:pt idx="182">
                  <c:v>-125.56727754256882</c:v>
                </c:pt>
                <c:pt idx="183">
                  <c:v>-125.74797979713746</c:v>
                </c:pt>
                <c:pt idx="184">
                  <c:v>-125.92868919558794</c:v>
                </c:pt>
                <c:pt idx="185">
                  <c:v>-126.10939098483799</c:v>
                </c:pt>
                <c:pt idx="186">
                  <c:v>-126.29007063575807</c:v>
                </c:pt>
                <c:pt idx="187">
                  <c:v>-126.47071384126994</c:v>
                </c:pt>
                <c:pt idx="188">
                  <c:v>-126.65130651452944</c:v>
                </c:pt>
                <c:pt idx="189">
                  <c:v>-126.83183478718645</c:v>
                </c:pt>
                <c:pt idx="190">
                  <c:v>-127.01228500771401</c:v>
                </c:pt>
                <c:pt idx="191">
                  <c:v>-127.19264373980087</c:v>
                </c:pt>
                <c:pt idx="192">
                  <c:v>-127.37289776080156</c:v>
                </c:pt>
                <c:pt idx="193">
                  <c:v>-127.5530340602363</c:v>
                </c:pt>
                <c:pt idx="194">
                  <c:v>-127.73303983833779</c:v>
                </c:pt>
                <c:pt idx="195">
                  <c:v>-127.91290250463733</c:v>
                </c:pt>
                <c:pt idx="196">
                  <c:v>-128.09260967658727</c:v>
                </c:pt>
                <c:pt idx="197">
                  <c:v>-128.27214917821331</c:v>
                </c:pt>
                <c:pt idx="198">
                  <c:v>-128.4515090387944</c:v>
                </c:pt>
                <c:pt idx="199">
                  <c:v>-128.63067749156448</c:v>
                </c:pt>
                <c:pt idx="200">
                  <c:v>-128.80964297243329</c:v>
                </c:pt>
                <c:pt idx="201">
                  <c:v>-128.98839411872225</c:v>
                </c:pt>
                <c:pt idx="202">
                  <c:v>-129.16691976791259</c:v>
                </c:pt>
                <c:pt idx="203">
                  <c:v>-129.34520895640199</c:v>
                </c:pt>
                <c:pt idx="204">
                  <c:v>-129.52325091826776</c:v>
                </c:pt>
                <c:pt idx="205">
                  <c:v>-129.70103508403301</c:v>
                </c:pt>
                <c:pt idx="206">
                  <c:v>-129.87855107943429</c:v>
                </c:pt>
                <c:pt idx="207">
                  <c:v>-130.05578872418783</c:v>
                </c:pt>
                <c:pt idx="208">
                  <c:v>-130.23273803075276</c:v>
                </c:pt>
                <c:pt idx="209">
                  <c:v>-130.40938920308864</c:v>
                </c:pt>
                <c:pt idx="210">
                  <c:v>-130.58573263540697</c:v>
                </c:pt>
                <c:pt idx="211">
                  <c:v>-130.76175891091401</c:v>
                </c:pt>
                <c:pt idx="212">
                  <c:v>-130.93745880054323</c:v>
                </c:pt>
                <c:pt idx="213">
                  <c:v>-131.1128232616781</c:v>
                </c:pt>
                <c:pt idx="214">
                  <c:v>-131.28784343686127</c:v>
                </c:pt>
                <c:pt idx="215">
                  <c:v>-131.46251065249183</c:v>
                </c:pt>
                <c:pt idx="216">
                  <c:v>-131.63681641750779</c:v>
                </c:pt>
                <c:pt idx="217">
                  <c:v>-131.81075242205407</c:v>
                </c:pt>
                <c:pt idx="218">
                  <c:v>-131.98431053613535</c:v>
                </c:pt>
                <c:pt idx="219">
                  <c:v>-132.15748280825284</c:v>
                </c:pt>
                <c:pt idx="220">
                  <c:v>-132.33026146402429</c:v>
                </c:pt>
                <c:pt idx="221">
                  <c:v>-132.50263890478851</c:v>
                </c:pt>
                <c:pt idx="222">
                  <c:v>-132.67460770619147</c:v>
                </c:pt>
                <c:pt idx="223">
                  <c:v>-132.84616061675644</c:v>
                </c:pt>
                <c:pt idx="224">
                  <c:v>-133.01729055643662</c:v>
                </c:pt>
                <c:pt idx="225">
                  <c:v>-133.18799061515062</c:v>
                </c:pt>
                <c:pt idx="226">
                  <c:v>-134.86994603977823</c:v>
                </c:pt>
                <c:pt idx="227">
                  <c:v>-136.50251513890103</c:v>
                </c:pt>
                <c:pt idx="228">
                  <c:v>-138.08134539206247</c:v>
                </c:pt>
                <c:pt idx="229">
                  <c:v>-139.60342384436299</c:v>
                </c:pt>
                <c:pt idx="230">
                  <c:v>-141.06690187058558</c:v>
                </c:pt>
                <c:pt idx="231">
                  <c:v>-142.47092121909355</c:v>
                </c:pt>
                <c:pt idx="232">
                  <c:v>-143.81544737120134</c:v>
                </c:pt>
                <c:pt idx="233">
                  <c:v>-145.1011148465731</c:v>
                </c:pt>
                <c:pt idx="234">
                  <c:v>-146.32908751243355</c:v>
                </c:pt>
                <c:pt idx="235">
                  <c:v>-147.50093549319936</c:v>
                </c:pt>
                <c:pt idx="236">
                  <c:v>-148.61852906994949</c:v>
                </c:pt>
                <c:pt idx="237">
                  <c:v>-149.68394905365344</c:v>
                </c:pt>
                <c:pt idx="238">
                  <c:v>-150.69941250144558</c:v>
                </c:pt>
                <c:pt idx="239">
                  <c:v>-151.66721227988035</c:v>
                </c:pt>
                <c:pt idx="240">
                  <c:v>-152.58966880983846</c:v>
                </c:pt>
                <c:pt idx="241">
                  <c:v>-153.46909230159125</c:v>
                </c:pt>
                <c:pt idx="242">
                  <c:v>-154.3077538589834</c:v>
                </c:pt>
                <c:pt idx="243">
                  <c:v>-155.10786396123663</c:v>
                </c:pt>
                <c:pt idx="244">
                  <c:v>-155.87155699120751</c:v>
                </c:pt>
                <c:pt idx="245">
                  <c:v>-156.6008806499373</c:v>
                </c:pt>
                <c:pt idx="246">
                  <c:v>-157.29778926562594</c:v>
                </c:pt>
                <c:pt idx="247">
                  <c:v>-157.96414016252993</c:v>
                </c:pt>
                <c:pt idx="248">
                  <c:v>-158.60169239727199</c:v>
                </c:pt>
                <c:pt idx="249">
                  <c:v>-159.21210729481115</c:v>
                </c:pt>
                <c:pt idx="250">
                  <c:v>-159.79695032373357</c:v>
                </c:pt>
                <c:pt idx="251">
                  <c:v>-160.35769394148383</c:v>
                </c:pt>
                <c:pt idx="252">
                  <c:v>-160.89572111616292</c:v>
                </c:pt>
                <c:pt idx="253">
                  <c:v>-161.41232929430609</c:v>
                </c:pt>
                <c:pt idx="254">
                  <c:v>-161.90873463540919</c:v>
                </c:pt>
                <c:pt idx="255">
                  <c:v>-162.386076375611</c:v>
                </c:pt>
                <c:pt idx="256">
                  <c:v>-162.84542121642755</c:v>
                </c:pt>
                <c:pt idx="257">
                  <c:v>-163.2877676611557</c:v>
                </c:pt>
                <c:pt idx="258">
                  <c:v>-163.71405024273039</c:v>
                </c:pt>
                <c:pt idx="259">
                  <c:v>-164.12514360345236</c:v>
                </c:pt>
                <c:pt idx="260">
                  <c:v>-164.52186639996492</c:v>
                </c:pt>
                <c:pt idx="261">
                  <c:v>-164.90498501687205</c:v>
                </c:pt>
                <c:pt idx="262">
                  <c:v>-165.27521708003601</c:v>
                </c:pt>
                <c:pt idx="263">
                  <c:v>-165.63323476636924</c:v>
                </c:pt>
                <c:pt idx="264">
                  <c:v>-165.97966791122059</c:v>
                </c:pt>
                <c:pt idx="265">
                  <c:v>-166.31510691757924</c:v>
                </c:pt>
                <c:pt idx="266">
                  <c:v>-166.6401054735305</c:v>
                </c:pt>
                <c:pt idx="267">
                  <c:v>-166.95518308590084</c:v>
                </c:pt>
                <c:pt idx="268">
                  <c:v>-167.26082743899045</c:v>
                </c:pt>
                <c:pt idx="269">
                  <c:v>-167.55749658783822</c:v>
                </c:pt>
                <c:pt idx="270">
                  <c:v>-167.84562099569601</c:v>
                </c:pt>
                <c:pt idx="271">
                  <c:v>-168.12560542539273</c:v>
                </c:pt>
                <c:pt idx="272">
                  <c:v>-168.39783069409938</c:v>
                </c:pt>
                <c:pt idx="273">
                  <c:v>-168.66265530071846</c:v>
                </c:pt>
                <c:pt idx="274">
                  <c:v>-168.92041693475278</c:v>
                </c:pt>
                <c:pt idx="275">
                  <c:v>-169.1714338750819</c:v>
                </c:pt>
                <c:pt idx="276">
                  <c:v>-169.41600628662118</c:v>
                </c:pt>
                <c:pt idx="277">
                  <c:v>-169.65441742236874</c:v>
                </c:pt>
                <c:pt idx="278">
                  <c:v>-169.88693473787308</c:v>
                </c:pt>
                <c:pt idx="279">
                  <c:v>-170.11381092468838</c:v>
                </c:pt>
                <c:pt idx="280">
                  <c:v>-170.33528486893465</c:v>
                </c:pt>
                <c:pt idx="281">
                  <c:v>-170.55158254064304</c:v>
                </c:pt>
                <c:pt idx="282">
                  <c:v>-170.76291781915498</c:v>
                </c:pt>
                <c:pt idx="283">
                  <c:v>-170.96949325945221</c:v>
                </c:pt>
                <c:pt idx="284">
                  <c:v>-171.17150080392477</c:v>
                </c:pt>
                <c:pt idx="285">
                  <c:v>-171.36912244374284</c:v>
                </c:pt>
                <c:pt idx="286">
                  <c:v>-171.56253083367289</c:v>
                </c:pt>
                <c:pt idx="287">
                  <c:v>-171.75188986388241</c:v>
                </c:pt>
                <c:pt idx="288">
                  <c:v>-171.93735519199782</c:v>
                </c:pt>
                <c:pt idx="289">
                  <c:v>-172.11907473842496</c:v>
                </c:pt>
                <c:pt idx="290">
                  <c:v>-172.29718914770234</c:v>
                </c:pt>
                <c:pt idx="291">
                  <c:v>-172.47183221844011</c:v>
                </c:pt>
                <c:pt idx="292">
                  <c:v>-172.64313130419364</c:v>
                </c:pt>
                <c:pt idx="293">
                  <c:v>-172.81120768743628</c:v>
                </c:pt>
                <c:pt idx="294">
                  <c:v>-172.97617692862369</c:v>
                </c:pt>
                <c:pt idx="295">
                  <c:v>-173.13814919218518</c:v>
                </c:pt>
                <c:pt idx="296">
                  <c:v>-173.29722955113255</c:v>
                </c:pt>
                <c:pt idx="297">
                  <c:v>-173.4535182718441</c:v>
                </c:pt>
                <c:pt idx="298">
                  <c:v>-173.6071110804595</c:v>
                </c:pt>
                <c:pt idx="299">
                  <c:v>-173.75809941220871</c:v>
                </c:pt>
                <c:pt idx="300">
                  <c:v>-173.90657064489511</c:v>
                </c:pt>
                <c:pt idx="301">
                  <c:v>-174.05260831765952</c:v>
                </c:pt>
                <c:pt idx="302">
                  <c:v>-174.19629233606278</c:v>
                </c:pt>
                <c:pt idx="303">
                  <c:v>-174.33769916444683</c:v>
                </c:pt>
                <c:pt idx="304">
                  <c:v>-174.47690200645988</c:v>
                </c:pt>
                <c:pt idx="305">
                  <c:v>-174.61397097456378</c:v>
                </c:pt>
                <c:pt idx="306">
                  <c:v>-174.74897324928082</c:v>
                </c:pt>
                <c:pt idx="307">
                  <c:v>-174.88197322887868</c:v>
                </c:pt>
                <c:pt idx="308">
                  <c:v>-175.01303267014154</c:v>
                </c:pt>
                <c:pt idx="309">
                  <c:v>-175.14221082082622</c:v>
                </c:pt>
                <c:pt idx="310">
                  <c:v>-175.2695645443583</c:v>
                </c:pt>
                <c:pt idx="311">
                  <c:v>-175.39514843728193</c:v>
                </c:pt>
                <c:pt idx="312">
                  <c:v>-175.51901493994066</c:v>
                </c:pt>
                <c:pt idx="313">
                  <c:v>-175.64121444083037</c:v>
                </c:pt>
                <c:pt idx="314">
                  <c:v>-175.76179537503509</c:v>
                </c:pt>
                <c:pt idx="315">
                  <c:v>-175.88080431712572</c:v>
                </c:pt>
                <c:pt idx="316">
                  <c:v>-175.99828606887604</c:v>
                </c:pt>
                <c:pt idx="317">
                  <c:v>-176.11428374212403</c:v>
                </c:pt>
                <c:pt idx="318">
                  <c:v>-176.22883883708354</c:v>
                </c:pt>
                <c:pt idx="319">
                  <c:v>-176.34199131639198</c:v>
                </c:pt>
                <c:pt idx="320">
                  <c:v>-176.45377967515665</c:v>
                </c:pt>
                <c:pt idx="321">
                  <c:v>-176.56424100724712</c:v>
                </c:pt>
                <c:pt idx="322">
                  <c:v>-176.67341106806276</c:v>
                </c:pt>
                <c:pt idx="323">
                  <c:v>-176.78132433398875</c:v>
                </c:pt>
                <c:pt idx="324">
                  <c:v>-176.88801405874057</c:v>
                </c:pt>
                <c:pt idx="325">
                  <c:v>-176.99351232678225</c:v>
                </c:pt>
                <c:pt idx="326">
                  <c:v>-177.0978501039927</c:v>
                </c:pt>
                <c:pt idx="327">
                  <c:v>-177.20105728574157</c:v>
                </c:pt>
                <c:pt idx="328">
                  <c:v>-177.3031627425259</c:v>
                </c:pt>
                <c:pt idx="329">
                  <c:v>-177.40419436331032</c:v>
                </c:pt>
                <c:pt idx="330">
                  <c:v>-177.50417909670159</c:v>
                </c:pt>
                <c:pt idx="331">
                  <c:v>-177.60314299008235</c:v>
                </c:pt>
                <c:pt idx="332">
                  <c:v>-177.70111122681962</c:v>
                </c:pt>
                <c:pt idx="333">
                  <c:v>-177.79810816165656</c:v>
                </c:pt>
                <c:pt idx="334">
                  <c:v>-177.89415735438939</c:v>
                </c:pt>
                <c:pt idx="335">
                  <c:v>-177.98928160192457</c:v>
                </c:pt>
                <c:pt idx="336">
                  <c:v>-178.08350296880562</c:v>
                </c:pt>
                <c:pt idx="337">
                  <c:v>-178.17684281629366</c:v>
                </c:pt>
                <c:pt idx="338">
                  <c:v>-178.26932183008017</c:v>
                </c:pt>
                <c:pt idx="339">
                  <c:v>-178.36096004670574</c:v>
                </c:pt>
                <c:pt idx="340">
                  <c:v>-178.45177687875446</c:v>
                </c:pt>
                <c:pt idx="341">
                  <c:v>-178.54179113888921</c:v>
                </c:pt>
                <c:pt idx="342">
                  <c:v>-178.63102106278876</c:v>
                </c:pt>
                <c:pt idx="343">
                  <c:v>-178.71948433104498</c:v>
                </c:pt>
                <c:pt idx="344">
                  <c:v>-178.8071980900738</c:v>
                </c:pt>
                <c:pt idx="345">
                  <c:v>-178.89417897209145</c:v>
                </c:pt>
                <c:pt idx="346">
                  <c:v>-178.98044311420395</c:v>
                </c:pt>
                <c:pt idx="347">
                  <c:v>-179.06600617665521</c:v>
                </c:pt>
                <c:pt idx="348">
                  <c:v>-179.15088336027611</c:v>
                </c:pt>
                <c:pt idx="349">
                  <c:v>-179.23508942317559</c:v>
                </c:pt>
                <c:pt idx="350">
                  <c:v>-179.31863869671099</c:v>
                </c:pt>
                <c:pt idx="351">
                  <c:v>-179.40154510077363</c:v>
                </c:pt>
                <c:pt idx="352">
                  <c:v>-179.48382215842426</c:v>
                </c:pt>
                <c:pt idx="353">
                  <c:v>-179.56548300990892</c:v>
                </c:pt>
                <c:pt idx="354">
                  <c:v>-179.6465404260864</c:v>
                </c:pt>
                <c:pt idx="355">
                  <c:v>-179.72700682129607</c:v>
                </c:pt>
                <c:pt idx="356">
                  <c:v>-179.80689426569162</c:v>
                </c:pt>
                <c:pt idx="357">
                  <c:v>-179.8862144970681</c:v>
                </c:pt>
                <c:pt idx="358">
                  <c:v>-179.96497893220459</c:v>
                </c:pt>
                <c:pt idx="359">
                  <c:v>-180.04319867774677</c:v>
                </c:pt>
                <c:pt idx="360">
                  <c:v>-180.12088454064997</c:v>
                </c:pt>
                <c:pt idx="361">
                  <c:v>-180.19804703820387</c:v>
                </c:pt>
                <c:pt idx="362">
                  <c:v>-180.27469640765773</c:v>
                </c:pt>
                <c:pt idx="363">
                  <c:v>-180.35084261546479</c:v>
                </c:pt>
                <c:pt idx="364">
                  <c:v>-180.42649536616344</c:v>
                </c:pt>
                <c:pt idx="365">
                  <c:v>-180.50166411091115</c:v>
                </c:pt>
                <c:pt idx="366">
                  <c:v>-180.57635805568711</c:v>
                </c:pt>
                <c:pt idx="367">
                  <c:v>-180.65058616917887</c:v>
                </c:pt>
                <c:pt idx="368">
                  <c:v>-180.72435719036619</c:v>
                </c:pt>
                <c:pt idx="369">
                  <c:v>-180.79767963581642</c:v>
                </c:pt>
                <c:pt idx="370">
                  <c:v>-180.87056180670342</c:v>
                </c:pt>
                <c:pt idx="371">
                  <c:v>-180.94301179556257</c:v>
                </c:pt>
                <c:pt idx="372">
                  <c:v>-181.01503749279325</c:v>
                </c:pt>
                <c:pt idx="373">
                  <c:v>-181.08664659291952</c:v>
                </c:pt>
                <c:pt idx="374">
                  <c:v>-181.15784660061976</c:v>
                </c:pt>
                <c:pt idx="375">
                  <c:v>-181.22864483653487</c:v>
                </c:pt>
                <c:pt idx="376">
                  <c:v>-181.29904844286443</c:v>
                </c:pt>
                <c:pt idx="377">
                  <c:v>-181.36906438876008</c:v>
                </c:pt>
                <c:pt idx="378">
                  <c:v>-181.43869947552409</c:v>
                </c:pt>
                <c:pt idx="379">
                  <c:v>-181.50796034162221</c:v>
                </c:pt>
                <c:pt idx="380">
                  <c:v>-181.57685346751711</c:v>
                </c:pt>
                <c:pt idx="381">
                  <c:v>-181.64538518033143</c:v>
                </c:pt>
                <c:pt idx="382">
                  <c:v>-181.71356165834572</c:v>
                </c:pt>
                <c:pt idx="383">
                  <c:v>-181.78138893533989</c:v>
                </c:pt>
                <c:pt idx="384">
                  <c:v>-181.84887290478264</c:v>
                </c:pt>
                <c:pt idx="385">
                  <c:v>-181.91601932387644</c:v>
                </c:pt>
                <c:pt idx="386">
                  <c:v>-181.98283381746319</c:v>
                </c:pt>
                <c:pt idx="387">
                  <c:v>-182.049321881796</c:v>
                </c:pt>
                <c:pt idx="388">
                  <c:v>-182.11548888818311</c:v>
                </c:pt>
                <c:pt idx="389">
                  <c:v>-182.18134008650796</c:v>
                </c:pt>
                <c:pt idx="390">
                  <c:v>-182.24688060863139</c:v>
                </c:pt>
                <c:pt idx="391">
                  <c:v>-182.3121154716795</c:v>
                </c:pt>
                <c:pt idx="392">
                  <c:v>-182.37704958122265</c:v>
                </c:pt>
                <c:pt idx="393">
                  <c:v>-182.44168773434865</c:v>
                </c:pt>
                <c:pt idx="394">
                  <c:v>-182.50603462263535</c:v>
                </c:pt>
                <c:pt idx="395">
                  <c:v>-182.57009483502586</c:v>
                </c:pt>
                <c:pt idx="396">
                  <c:v>-182.63387286060987</c:v>
                </c:pt>
                <c:pt idx="397">
                  <c:v>-182.69737309131523</c:v>
                </c:pt>
                <c:pt idx="398">
                  <c:v>-182.7605998245127</c:v>
                </c:pt>
                <c:pt idx="399">
                  <c:v>-182.8235572655374</c:v>
                </c:pt>
                <c:pt idx="400">
                  <c:v>-182.88624953012999</c:v>
                </c:pt>
                <c:pt idx="401">
                  <c:v>-182.9486806468</c:v>
                </c:pt>
                <c:pt idx="402">
                  <c:v>-183.01085455911553</c:v>
                </c:pt>
                <c:pt idx="403">
                  <c:v>-183.07277512792018</c:v>
                </c:pt>
                <c:pt idx="404">
                  <c:v>-183.13444613348165</c:v>
                </c:pt>
                <c:pt idx="405">
                  <c:v>-183.19587127757319</c:v>
                </c:pt>
                <c:pt idx="406">
                  <c:v>-183.25705418549083</c:v>
                </c:pt>
                <c:pt idx="407">
                  <c:v>-183.31799840800892</c:v>
                </c:pt>
                <c:pt idx="408">
                  <c:v>-183.37870742327544</c:v>
                </c:pt>
                <c:pt idx="409">
                  <c:v>-183.43918463865049</c:v>
                </c:pt>
                <c:pt idx="410">
                  <c:v>-183.4994333924881</c:v>
                </c:pt>
                <c:pt idx="411">
                  <c:v>-183.55945695586541</c:v>
                </c:pt>
                <c:pt idx="412">
                  <c:v>-183.61925853425944</c:v>
                </c:pt>
                <c:pt idx="413">
                  <c:v>-183.67884126917423</c:v>
                </c:pt>
                <c:pt idx="414">
                  <c:v>-183.73820823971951</c:v>
                </c:pt>
                <c:pt idx="415">
                  <c:v>-183.79736246414294</c:v>
                </c:pt>
                <c:pt idx="416">
                  <c:v>-183.85630690131748</c:v>
                </c:pt>
                <c:pt idx="417">
                  <c:v>-183.9150444521851</c:v>
                </c:pt>
                <c:pt idx="418">
                  <c:v>-183.9735779611585</c:v>
                </c:pt>
                <c:pt idx="419">
                  <c:v>-184.03191021748259</c:v>
                </c:pt>
                <c:pt idx="420">
                  <c:v>-184.09004395655634</c:v>
                </c:pt>
                <c:pt idx="421">
                  <c:v>-184.14798186121735</c:v>
                </c:pt>
                <c:pt idx="422">
                  <c:v>-184.20572656298899</c:v>
                </c:pt>
                <c:pt idx="423">
                  <c:v>-184.26328064329309</c:v>
                </c:pt>
                <c:pt idx="424">
                  <c:v>-184.32064663462739</c:v>
                </c:pt>
                <c:pt idx="425">
                  <c:v>-184.37782702171097</c:v>
                </c:pt>
                <c:pt idx="426">
                  <c:v>-184.43482424259656</c:v>
                </c:pt>
                <c:pt idx="427">
                  <c:v>-184.49164068975261</c:v>
                </c:pt>
                <c:pt idx="428">
                  <c:v>-184.54827871111527</c:v>
                </c:pt>
                <c:pt idx="429">
                  <c:v>-184.60474061111103</c:v>
                </c:pt>
                <c:pt idx="430">
                  <c:v>-184.66102865165149</c:v>
                </c:pt>
                <c:pt idx="431">
                  <c:v>-184.71714505310104</c:v>
                </c:pt>
                <c:pt idx="432">
                  <c:v>-184.77309199521804</c:v>
                </c:pt>
                <c:pt idx="433">
                  <c:v>-184.82887161807071</c:v>
                </c:pt>
                <c:pt idx="434">
                  <c:v>-184.88448602292777</c:v>
                </c:pt>
                <c:pt idx="435">
                  <c:v>-184.93993727312619</c:v>
                </c:pt>
                <c:pt idx="436">
                  <c:v>-184.99522739491454</c:v>
                </c:pt>
                <c:pt idx="437">
                  <c:v>-185.05035837827509</c:v>
                </c:pt>
                <c:pt idx="438">
                  <c:v>-185.10533217772314</c:v>
                </c:pt>
                <c:pt idx="439">
                  <c:v>-185.16015071308607</c:v>
                </c:pt>
                <c:pt idx="440">
                  <c:v>-185.21481587026122</c:v>
                </c:pt>
                <c:pt idx="441">
                  <c:v>-185.26932950195464</c:v>
                </c:pt>
                <c:pt idx="442">
                  <c:v>-185.32369342840011</c:v>
                </c:pt>
                <c:pt idx="443">
                  <c:v>-185.37790943805993</c:v>
                </c:pt>
                <c:pt idx="444">
                  <c:v>-185.43197928830725</c:v>
                </c:pt>
                <c:pt idx="445">
                  <c:v>-185.48590470609128</c:v>
                </c:pt>
                <c:pt idx="446">
                  <c:v>-185.53968738858484</c:v>
                </c:pt>
                <c:pt idx="447">
                  <c:v>-185.59332900381673</c:v>
                </c:pt>
                <c:pt idx="448">
                  <c:v>-185.64683119128617</c:v>
                </c:pt>
                <c:pt idx="449">
                  <c:v>-185.70019556256355</c:v>
                </c:pt>
                <c:pt idx="450">
                  <c:v>-185.75342370187494</c:v>
                </c:pt>
                <c:pt idx="451">
                  <c:v>-185.80651716667248</c:v>
                </c:pt>
                <c:pt idx="452">
                  <c:v>-185.85947748819029</c:v>
                </c:pt>
                <c:pt idx="453">
                  <c:v>-185.9123061719867</c:v>
                </c:pt>
                <c:pt idx="454">
                  <c:v>-185.96500469847322</c:v>
                </c:pt>
                <c:pt idx="455">
                  <c:v>-186.01757452343014</c:v>
                </c:pt>
                <c:pt idx="456">
                  <c:v>-186.07001707850989</c:v>
                </c:pt>
                <c:pt idx="457">
                  <c:v>-186.1223337717278</c:v>
                </c:pt>
                <c:pt idx="458">
                  <c:v>-186.17452598794111</c:v>
                </c:pt>
                <c:pt idx="459">
                  <c:v>-186.22659508931616</c:v>
                </c:pt>
                <c:pt idx="460">
                  <c:v>-186.27854241578478</c:v>
                </c:pt>
                <c:pt idx="461">
                  <c:v>-186.33036928548916</c:v>
                </c:pt>
                <c:pt idx="462">
                  <c:v>-186.38207699521635</c:v>
                </c:pt>
                <c:pt idx="463">
                  <c:v>-186.43366682082254</c:v>
                </c:pt>
                <c:pt idx="464">
                  <c:v>-186.48514001764704</c:v>
                </c:pt>
                <c:pt idx="465">
                  <c:v>-186.53649782091654</c:v>
                </c:pt>
                <c:pt idx="466">
                  <c:v>-186.58774144613989</c:v>
                </c:pt>
                <c:pt idx="467">
                  <c:v>-186.63887208949367</c:v>
                </c:pt>
                <c:pt idx="468">
                  <c:v>-186.68989092819857</c:v>
                </c:pt>
                <c:pt idx="469">
                  <c:v>-186.74079912088732</c:v>
                </c:pt>
                <c:pt idx="470">
                  <c:v>-186.7915978079638</c:v>
                </c:pt>
                <c:pt idx="471">
                  <c:v>-186.84228811195388</c:v>
                </c:pt>
                <c:pt idx="472">
                  <c:v>-186.89287113784857</c:v>
                </c:pt>
                <c:pt idx="473">
                  <c:v>-186.94334797343879</c:v>
                </c:pt>
                <c:pt idx="474">
                  <c:v>-186.9937196896428</c:v>
                </c:pt>
                <c:pt idx="475">
                  <c:v>-187.04398734082625</c:v>
                </c:pt>
                <c:pt idx="476">
                  <c:v>-187.09415196511472</c:v>
                </c:pt>
                <c:pt idx="477">
                  <c:v>-187.14421458469945</c:v>
                </c:pt>
                <c:pt idx="478">
                  <c:v>-187.19417620613604</c:v>
                </c:pt>
                <c:pt idx="479">
                  <c:v>-187.24403782063666</c:v>
                </c:pt>
                <c:pt idx="480">
                  <c:v>-187.29380040435544</c:v>
                </c:pt>
                <c:pt idx="481">
                  <c:v>-187.34346491866788</c:v>
                </c:pt>
                <c:pt idx="482">
                  <c:v>-187.39303231044377</c:v>
                </c:pt>
                <c:pt idx="483">
                  <c:v>-187.44250351231426</c:v>
                </c:pt>
                <c:pt idx="484">
                  <c:v>-187.49187944293308</c:v>
                </c:pt>
                <c:pt idx="485">
                  <c:v>-187.54116100723184</c:v>
                </c:pt>
                <c:pt idx="486">
                  <c:v>-187.59034909667</c:v>
                </c:pt>
                <c:pt idx="487">
                  <c:v>-187.63944458947947</c:v>
                </c:pt>
                <c:pt idx="488">
                  <c:v>-187.68844835090334</c:v>
                </c:pt>
                <c:pt idx="489">
                  <c:v>-187.73736123343033</c:v>
                </c:pt>
                <c:pt idx="490">
                  <c:v>-187.78618407702359</c:v>
                </c:pt>
                <c:pt idx="491">
                  <c:v>-187.83491770934455</c:v>
                </c:pt>
                <c:pt idx="492">
                  <c:v>-187.88356294597253</c:v>
                </c:pt>
                <c:pt idx="493">
                  <c:v>-187.93212059061929</c:v>
                </c:pt>
                <c:pt idx="494">
                  <c:v>-187.98059143533888</c:v>
                </c:pt>
                <c:pt idx="495">
                  <c:v>-188.02897626073363</c:v>
                </c:pt>
                <c:pt idx="496">
                  <c:v>-188.07727583615511</c:v>
                </c:pt>
                <c:pt idx="497">
                  <c:v>-188.12549091990155</c:v>
                </c:pt>
                <c:pt idx="498">
                  <c:v>-188.17362225941065</c:v>
                </c:pt>
                <c:pt idx="499">
                  <c:v>-188.22167059144851</c:v>
                </c:pt>
                <c:pt idx="500">
                  <c:v>-188.26963664229487</c:v>
                </c:pt>
                <c:pt idx="501">
                  <c:v>-188.3175211279241</c:v>
                </c:pt>
                <c:pt idx="502">
                  <c:v>-188.36532475418284</c:v>
                </c:pt>
                <c:pt idx="503">
                  <c:v>-188.41304821696383</c:v>
                </c:pt>
                <c:pt idx="504">
                  <c:v>-188.46069220237612</c:v>
                </c:pt>
                <c:pt idx="505">
                  <c:v>-188.50825738691211</c:v>
                </c:pt>
                <c:pt idx="506">
                  <c:v>-188.55574443761066</c:v>
                </c:pt>
                <c:pt idx="507">
                  <c:v>-188.60315401221752</c:v>
                </c:pt>
                <c:pt idx="508">
                  <c:v>-188.65048675934204</c:v>
                </c:pt>
                <c:pt idx="509">
                  <c:v>-188.69774331861106</c:v>
                </c:pt>
                <c:pt idx="510">
                  <c:v>-188.74492432081934</c:v>
                </c:pt>
                <c:pt idx="511">
                  <c:v>-188.79203038807748</c:v>
                </c:pt>
                <c:pt idx="512">
                  <c:v>-188.83906213395653</c:v>
                </c:pt>
                <c:pt idx="513">
                  <c:v>-188.88602016362975</c:v>
                </c:pt>
                <c:pt idx="514">
                  <c:v>-188.93290507401179</c:v>
                </c:pt>
                <c:pt idx="515">
                  <c:v>-188.97971745389486</c:v>
                </c:pt>
                <c:pt idx="516">
                  <c:v>-189.0264578840825</c:v>
                </c:pt>
                <c:pt idx="517">
                  <c:v>-189.07312693752053</c:v>
                </c:pt>
                <c:pt idx="518">
                  <c:v>-189.11972517942533</c:v>
                </c:pt>
                <c:pt idx="519">
                  <c:v>-189.16625316741013</c:v>
                </c:pt>
                <c:pt idx="520">
                  <c:v>-189.2127114516083</c:v>
                </c:pt>
                <c:pt idx="521">
                  <c:v>-189.25910057479453</c:v>
                </c:pt>
                <c:pt idx="522">
                  <c:v>-189.30542107250366</c:v>
                </c:pt>
                <c:pt idx="523">
                  <c:v>-189.35167347314706</c:v>
                </c:pt>
                <c:pt idx="524">
                  <c:v>-189.39785829812709</c:v>
                </c:pt>
                <c:pt idx="525">
                  <c:v>-189.44397606194929</c:v>
                </c:pt>
                <c:pt idx="526">
                  <c:v>-189.49002727233196</c:v>
                </c:pt>
                <c:pt idx="527">
                  <c:v>-189.5360124303144</c:v>
                </c:pt>
                <c:pt idx="528">
                  <c:v>-189.58193203036288</c:v>
                </c:pt>
                <c:pt idx="529">
                  <c:v>-189.62778656047399</c:v>
                </c:pt>
                <c:pt idx="530">
                  <c:v>-189.67357650227711</c:v>
                </c:pt>
                <c:pt idx="531">
                  <c:v>-189.719302331134</c:v>
                </c:pt>
                <c:pt idx="532">
                  <c:v>-189.76496451623731</c:v>
                </c:pt>
                <c:pt idx="533">
                  <c:v>-189.81056352070647</c:v>
                </c:pt>
                <c:pt idx="534">
                  <c:v>-189.85609980168269</c:v>
                </c:pt>
                <c:pt idx="535">
                  <c:v>-189.90157381042138</c:v>
                </c:pt>
                <c:pt idx="536">
                  <c:v>-189.94698599238342</c:v>
                </c:pt>
                <c:pt idx="537">
                  <c:v>-189.99233678732458</c:v>
                </c:pt>
                <c:pt idx="538">
                  <c:v>-190.03762662938314</c:v>
                </c:pt>
                <c:pt idx="539">
                  <c:v>-190.08285594716614</c:v>
                </c:pt>
                <c:pt idx="540">
                  <c:v>-190.12802516383414</c:v>
                </c:pt>
                <c:pt idx="541">
                  <c:v>-190.17313469718388</c:v>
                </c:pt>
                <c:pt idx="542">
                  <c:v>-190.21818495973037</c:v>
                </c:pt>
                <c:pt idx="543">
                  <c:v>-190.26317635878661</c:v>
                </c:pt>
                <c:pt idx="544">
                  <c:v>-190.30810929654231</c:v>
                </c:pt>
                <c:pt idx="545">
                  <c:v>-190.35298417014121</c:v>
                </c:pt>
                <c:pt idx="546">
                  <c:v>-190.39780137175697</c:v>
                </c:pt>
                <c:pt idx="547">
                  <c:v>-190.4425612886676</c:v>
                </c:pt>
                <c:pt idx="548">
                  <c:v>-190.48726430332871</c:v>
                </c:pt>
                <c:pt idx="549">
                  <c:v>-190.53191079344541</c:v>
                </c:pt>
                <c:pt idx="550">
                  <c:v>-190.57650113204284</c:v>
                </c:pt>
                <c:pt idx="551">
                  <c:v>-190.62103568753565</c:v>
                </c:pt>
                <c:pt idx="552">
                  <c:v>-190.66551482379623</c:v>
                </c:pt>
                <c:pt idx="553">
                  <c:v>-190.7099389002216</c:v>
                </c:pt>
                <c:pt idx="554">
                  <c:v>-190.75430827179918</c:v>
                </c:pt>
                <c:pt idx="555">
                  <c:v>-190.79862328917142</c:v>
                </c:pt>
                <c:pt idx="556">
                  <c:v>-190.84288429869963</c:v>
                </c:pt>
                <c:pt idx="557">
                  <c:v>-190.88709164252606</c:v>
                </c:pt>
                <c:pt idx="558">
                  <c:v>-190.93124565863542</c:v>
                </c:pt>
                <c:pt idx="559">
                  <c:v>-190.97534668091529</c:v>
                </c:pt>
                <c:pt idx="560">
                  <c:v>-191.01939503921531</c:v>
                </c:pt>
                <c:pt idx="561">
                  <c:v>-191.06339105940532</c:v>
                </c:pt>
                <c:pt idx="562">
                  <c:v>-191.10733506343291</c:v>
                </c:pt>
                <c:pt idx="563">
                  <c:v>-191.15122736937937</c:v>
                </c:pt>
                <c:pt idx="564">
                  <c:v>-191.19506829151541</c:v>
                </c:pt>
                <c:pt idx="565">
                  <c:v>-191.23885814035538</c:v>
                </c:pt>
                <c:pt idx="566">
                  <c:v>-191.28259722271065</c:v>
                </c:pt>
                <c:pt idx="567">
                  <c:v>-191.32628584174245</c:v>
                </c:pt>
                <c:pt idx="568">
                  <c:v>-191.36992429701334</c:v>
                </c:pt>
                <c:pt idx="569">
                  <c:v>-191.41351288453839</c:v>
                </c:pt>
                <c:pt idx="570">
                  <c:v>-191.45705189683477</c:v>
                </c:pt>
                <c:pt idx="571">
                  <c:v>-191.50054162297121</c:v>
                </c:pt>
                <c:pt idx="572">
                  <c:v>-191.54398234861637</c:v>
                </c:pt>
                <c:pt idx="573">
                  <c:v>-191.58737435608612</c:v>
                </c:pt>
                <c:pt idx="574">
                  <c:v>-191.63071792439061</c:v>
                </c:pt>
                <c:pt idx="575">
                  <c:v>-191.67401332928026</c:v>
                </c:pt>
                <c:pt idx="576">
                  <c:v>-191.71726084329077</c:v>
                </c:pt>
                <c:pt idx="577">
                  <c:v>-191.76046073578789</c:v>
                </c:pt>
                <c:pt idx="578">
                  <c:v>-191.80361327301105</c:v>
                </c:pt>
                <c:pt idx="579">
                  <c:v>-191.84671871811648</c:v>
                </c:pt>
                <c:pt idx="580">
                  <c:v>-191.88977733121968</c:v>
                </c:pt>
                <c:pt idx="581">
                  <c:v>-191.93278936943699</c:v>
                </c:pt>
                <c:pt idx="582">
                  <c:v>-191.97575508692671</c:v>
                </c:pt>
                <c:pt idx="583">
                  <c:v>-192.01867473492928</c:v>
                </c:pt>
                <c:pt idx="584">
                  <c:v>-192.06154856180731</c:v>
                </c:pt>
                <c:pt idx="585">
                  <c:v>-192.10437681308431</c:v>
                </c:pt>
                <c:pt idx="586">
                  <c:v>-192.14715973148353</c:v>
                </c:pt>
                <c:pt idx="587">
                  <c:v>-192.18989755696538</c:v>
                </c:pt>
                <c:pt idx="588">
                  <c:v>-192.23259052676499</c:v>
                </c:pt>
                <c:pt idx="589">
                  <c:v>-192.27523887542873</c:v>
                </c:pt>
                <c:pt idx="590">
                  <c:v>-192.31784283485038</c:v>
                </c:pt>
                <c:pt idx="591">
                  <c:v>-192.36040263430655</c:v>
                </c:pt>
                <c:pt idx="592">
                  <c:v>-192.40291850049172</c:v>
                </c:pt>
                <c:pt idx="593">
                  <c:v>-192.44539065755251</c:v>
                </c:pt>
                <c:pt idx="594">
                  <c:v>-192.48781932712171</c:v>
                </c:pt>
                <c:pt idx="595">
                  <c:v>-192.53020472835149</c:v>
                </c:pt>
                <c:pt idx="596">
                  <c:v>-192.57254707794635</c:v>
                </c:pt>
                <c:pt idx="597">
                  <c:v>-192.61484659019533</c:v>
                </c:pt>
                <c:pt idx="598">
                  <c:v>-192.65710347700391</c:v>
                </c:pt>
                <c:pt idx="599">
                  <c:v>-192.69931794792521</c:v>
                </c:pt>
                <c:pt idx="600">
                  <c:v>-192.74149021019093</c:v>
                </c:pt>
                <c:pt idx="601">
                  <c:v>-192.78362046874182</c:v>
                </c:pt>
                <c:pt idx="602">
                  <c:v>-192.82570892625733</c:v>
                </c:pt>
                <c:pt idx="603">
                  <c:v>-192.86775578318529</c:v>
                </c:pt>
                <c:pt idx="604">
                  <c:v>-192.90976123777091</c:v>
                </c:pt>
                <c:pt idx="605">
                  <c:v>-192.95172548608502</c:v>
                </c:pt>
                <c:pt idx="606">
                  <c:v>-195.00117561028813</c:v>
                </c:pt>
                <c:pt idx="607">
                  <c:v>-196.96618156376601</c:v>
                </c:pt>
                <c:pt idx="608">
                  <c:v>-198.85831011959814</c:v>
                </c:pt>
                <c:pt idx="609">
                  <c:v>-200.68483950855574</c:v>
                </c:pt>
                <c:pt idx="610">
                  <c:v>-202.45054829037235</c:v>
                </c:pt>
                <c:pt idx="611">
                  <c:v>-204.15872476584431</c:v>
                </c:pt>
                <c:pt idx="612">
                  <c:v>-205.81176093906237</c:v>
                </c:pt>
                <c:pt idx="613">
                  <c:v>-207.41151262368629</c:v>
                </c:pt>
                <c:pt idx="614">
                  <c:v>-208.95952191780131</c:v>
                </c:pt>
                <c:pt idx="615">
                  <c:v>-210.45715572546038</c:v>
                </c:pt>
                <c:pt idx="616">
                  <c:v>-211.90569162456407</c:v>
                </c:pt>
                <c:pt idx="617">
                  <c:v>-213.30637004153752</c:v>
                </c:pt>
                <c:pt idx="618">
                  <c:v>-213.88924503212996</c:v>
                </c:pt>
                <c:pt idx="619">
                  <c:v>-214.46356388374414</c:v>
                </c:pt>
                <c:pt idx="620">
                  <c:v>-215.02947097913452</c:v>
                </c:pt>
                <c:pt idx="621">
                  <c:v>-215.58710613277202</c:v>
                </c:pt>
                <c:pt idx="622">
                  <c:v>-216.13660509290557</c:v>
                </c:pt>
                <c:pt idx="623">
                  <c:v>-216.67809997184798</c:v>
                </c:pt>
                <c:pt idx="624">
                  <c:v>-217.21171961438722</c:v>
                </c:pt>
                <c:pt idx="625">
                  <c:v>-217.73758991284214</c:v>
                </c:pt>
                <c:pt idx="626">
                  <c:v>-218.25583407610554</c:v>
                </c:pt>
                <c:pt idx="627">
                  <c:v>-218.76657285901425</c:v>
                </c:pt>
                <c:pt idx="628">
                  <c:v>-219.26992475752508</c:v>
                </c:pt>
                <c:pt idx="629">
                  <c:v>-219.7660061744422</c:v>
                </c:pt>
                <c:pt idx="630">
                  <c:v>-220.25493155980294</c:v>
                </c:pt>
                <c:pt idx="631">
                  <c:v>-220.73681352948745</c:v>
                </c:pt>
                <c:pt idx="632">
                  <c:v>-221.2117629651419</c:v>
                </c:pt>
                <c:pt idx="633">
                  <c:v>-221.67988909809918</c:v>
                </c:pt>
                <c:pt idx="634">
                  <c:v>-222.14129957962612</c:v>
                </c:pt>
                <c:pt idx="635">
                  <c:v>-222.59610053951843</c:v>
                </c:pt>
                <c:pt idx="636">
                  <c:v>-223.0443966347986</c:v>
                </c:pt>
                <c:pt idx="637">
                  <c:v>-223.4862910900388</c:v>
                </c:pt>
                <c:pt idx="638">
                  <c:v>-223.92188573062822</c:v>
                </c:pt>
                <c:pt idx="639">
                  <c:v>-224.35128101012813</c:v>
                </c:pt>
                <c:pt idx="640">
                  <c:v>-224.77457603270327</c:v>
                </c:pt>
                <c:pt idx="641">
                  <c:v>-225.19186857148412</c:v>
                </c:pt>
                <c:pt idx="642">
                  <c:v>-225.60325508359651</c:v>
                </c:pt>
                <c:pt idx="643">
                  <c:v>-226.00883072249289</c:v>
                </c:pt>
                <c:pt idx="644">
                  <c:v>-226.40868934813014</c:v>
                </c:pt>
                <c:pt idx="645">
                  <c:v>-226.80292353545883</c:v>
                </c:pt>
                <c:pt idx="646">
                  <c:v>-227.19162458162327</c:v>
                </c:pt>
                <c:pt idx="647">
                  <c:v>-227.57488251220866</c:v>
                </c:pt>
                <c:pt idx="648">
                  <c:v>-227.95278608682295</c:v>
                </c:pt>
                <c:pt idx="649">
                  <c:v>-228.32542280425295</c:v>
                </c:pt>
                <c:pt idx="650">
                  <c:v>-228.69287890739585</c:v>
                </c:pt>
                <c:pt idx="651">
                  <c:v>-229.05523938813371</c:v>
                </c:pt>
                <c:pt idx="652">
                  <c:v>-229.41258799228692</c:v>
                </c:pt>
                <c:pt idx="653">
                  <c:v>-229.76500722475882</c:v>
                </c:pt>
                <c:pt idx="654">
                  <c:v>-230.11257835495914</c:v>
                </c:pt>
                <c:pt idx="655">
                  <c:v>-230.4553814225778</c:v>
                </c:pt>
                <c:pt idx="656">
                  <c:v>-230.79349524375928</c:v>
                </c:pt>
                <c:pt idx="657">
                  <c:v>-231.12699741772008</c:v>
                </c:pt>
                <c:pt idx="658">
                  <c:v>-231.45596433383207</c:v>
                </c:pt>
                <c:pt idx="659">
                  <c:v>-231.78047117919229</c:v>
                </c:pt>
                <c:pt idx="660">
                  <c:v>-232.10059194668364</c:v>
                </c:pt>
                <c:pt idx="661">
                  <c:v>-232.41639944352889</c:v>
                </c:pt>
                <c:pt idx="662">
                  <c:v>-232.72796530033173</c:v>
                </c:pt>
                <c:pt idx="663">
                  <c:v>-233.03535998059445</c:v>
                </c:pt>
                <c:pt idx="664">
                  <c:v>-233.33865279069727</c:v>
                </c:pt>
                <c:pt idx="665">
                  <c:v>-233.63791189032176</c:v>
                </c:pt>
                <c:pt idx="666">
                  <c:v>-233.93320430329686</c:v>
                </c:pt>
                <c:pt idx="667">
                  <c:v>-234.22459592884562</c:v>
                </c:pt>
              </c:numCache>
            </c:numRef>
          </c:yVal>
          <c:smooth val="0"/>
          <c:extLst>
            <c:ext xmlns:c16="http://schemas.microsoft.com/office/drawing/2014/chart" uri="{C3380CC4-5D6E-409C-BE32-E72D297353CC}">
              <c16:uniqueId val="{0000000D-BED3-43CF-9D4A-81AF6A44D307}"/>
            </c:ext>
          </c:extLst>
        </c:ser>
        <c:ser>
          <c:idx val="1"/>
          <c:order val="8"/>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E-BED3-43CF-9D4A-81AF6A44D307}"/>
              </c:ext>
            </c:extLst>
          </c:dPt>
          <c:xVal>
            <c:numRef>
              <c:f>'Bode Plots Calculations'!$B$690:$B$691</c:f>
              <c:numCache>
                <c:formatCode>General</c:formatCode>
                <c:ptCount val="2"/>
                <c:pt idx="0">
                  <c:v>37</c:v>
                </c:pt>
                <c:pt idx="1">
                  <c:v>37</c:v>
                </c:pt>
              </c:numCache>
            </c:numRef>
          </c:xVal>
          <c:yVal>
            <c:numRef>
              <c:f>'Bode Plots Calculations'!$BG$690:$BG$691</c:f>
              <c:numCache>
                <c:formatCode>General</c:formatCode>
                <c:ptCount val="2"/>
                <c:pt idx="0">
                  <c:v>-112.75395255219335</c:v>
                </c:pt>
                <c:pt idx="1">
                  <c:v>-90</c:v>
                </c:pt>
              </c:numCache>
            </c:numRef>
          </c:yVal>
          <c:smooth val="0"/>
          <c:extLst>
            <c:ext xmlns:c16="http://schemas.microsoft.com/office/drawing/2014/chart" uri="{C3380CC4-5D6E-409C-BE32-E72D297353CC}">
              <c16:uniqueId val="{0000000F-BED3-43CF-9D4A-81AF6A44D307}"/>
            </c:ext>
          </c:extLst>
        </c:ser>
        <c:ser>
          <c:idx val="0"/>
          <c:order val="9"/>
          <c:tx>
            <c:v>Fc2</c:v>
          </c:tx>
          <c:spPr>
            <a:ln w="25400">
              <a:solidFill>
                <a:schemeClr val="tx1">
                  <a:lumMod val="50000"/>
                  <a:lumOff val="50000"/>
                </a:schemeClr>
              </a:solidFill>
              <a:prstDash val="sysDash"/>
            </a:ln>
          </c:spPr>
          <c:marker>
            <c:symbol val="none"/>
          </c:marker>
          <c:xVal>
            <c:numRef>
              <c:f>'Bode Plots Calculations'!$B$688:$B$689</c:f>
              <c:numCache>
                <c:formatCode>General</c:formatCode>
                <c:ptCount val="2"/>
                <c:pt idx="0">
                  <c:v>37</c:v>
                </c:pt>
                <c:pt idx="1">
                  <c:v>1000</c:v>
                </c:pt>
              </c:numCache>
            </c:numRef>
          </c:xVal>
          <c:yVal>
            <c:numRef>
              <c:f>'Bode Plots Calculations'!$BG$688:$BG$689</c:f>
              <c:numCache>
                <c:formatCode>General</c:formatCode>
                <c:ptCount val="2"/>
                <c:pt idx="0">
                  <c:v>-112.75395255219335</c:v>
                </c:pt>
                <c:pt idx="1">
                  <c:v>-112.75395255219335</c:v>
                </c:pt>
              </c:numCache>
            </c:numRef>
          </c:yVal>
          <c:smooth val="0"/>
          <c:extLst>
            <c:ext xmlns:c16="http://schemas.microsoft.com/office/drawing/2014/chart" uri="{C3380CC4-5D6E-409C-BE32-E72D297353CC}">
              <c16:uniqueId val="{00000010-BED3-43CF-9D4A-81AF6A44D307}"/>
            </c:ext>
          </c:extLst>
        </c:ser>
        <c:dLbls>
          <c:showLegendKey val="0"/>
          <c:showVal val="0"/>
          <c:showCatName val="0"/>
          <c:showSerName val="0"/>
          <c:showPercent val="0"/>
          <c:showBubbleSize val="0"/>
        </c:dLbls>
        <c:axId val="330383744"/>
        <c:axId val="330385280"/>
      </c:scatterChart>
      <c:valAx>
        <c:axId val="315151872"/>
        <c:scaling>
          <c:logBase val="10"/>
          <c:orientation val="minMax"/>
          <c:max val="1000"/>
          <c:min val="1"/>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(kHz)</a:t>
                </a:r>
              </a:p>
            </c:rich>
          </c:tx>
          <c:layout>
            <c:manualLayout>
              <c:xMode val="edge"/>
              <c:yMode val="edge"/>
              <c:x val="0.43129335085799175"/>
              <c:y val="0.92232197841820085"/>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315545856"/>
        <c:crossesAt val="-80"/>
        <c:crossBetween val="midCat"/>
      </c:valAx>
      <c:valAx>
        <c:axId val="315545856"/>
        <c:scaling>
          <c:orientation val="minMax"/>
          <c:max val="40"/>
          <c:min val="-4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Gain (dB)</a:t>
                </a:r>
              </a:p>
            </c:rich>
          </c:tx>
          <c:layout>
            <c:manualLayout>
              <c:xMode val="edge"/>
              <c:yMode val="edge"/>
              <c:x val="2.0807805833455456E-2"/>
              <c:y val="0.3954268675117710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15151872"/>
        <c:crossesAt val="1"/>
        <c:crossBetween val="midCat"/>
        <c:majorUnit val="10"/>
      </c:valAx>
      <c:valAx>
        <c:axId val="330383744"/>
        <c:scaling>
          <c:logBase val="10"/>
          <c:orientation val="minMax"/>
        </c:scaling>
        <c:delete val="1"/>
        <c:axPos val="b"/>
        <c:numFmt formatCode="General" sourceLinked="1"/>
        <c:majorTickMark val="out"/>
        <c:minorTickMark val="none"/>
        <c:tickLblPos val="none"/>
        <c:crossAx val="330385280"/>
        <c:crosses val="autoZero"/>
        <c:crossBetween val="midCat"/>
      </c:valAx>
      <c:valAx>
        <c:axId val="330385280"/>
        <c:scaling>
          <c:orientation val="minMax"/>
          <c:max val="0"/>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Phase  (°)</a:t>
                </a:r>
              </a:p>
            </c:rich>
          </c:tx>
          <c:layout>
            <c:manualLayout>
              <c:xMode val="edge"/>
              <c:yMode val="edge"/>
              <c:x val="0.96352677492317973"/>
              <c:y val="0.39364244498015538"/>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330383744"/>
        <c:crosses val="max"/>
        <c:crossBetween val="midCat"/>
        <c:majorUnit val="45"/>
      </c:valAx>
      <c:spPr>
        <a:noFill/>
        <a:ln w="12700">
          <a:solidFill>
            <a:srgbClr val="808080"/>
          </a:solidFill>
          <a:prstDash val="solid"/>
        </a:ln>
      </c:spPr>
    </c:plotArea>
    <c:legend>
      <c:legendPos val="r"/>
      <c:legendEntry>
        <c:idx val="0"/>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Entry>
      <c:legendEntry>
        <c:idx val="8"/>
        <c:delete val="1"/>
      </c:legendEntry>
      <c:legendEntry>
        <c:idx val="9"/>
        <c:delete val="1"/>
      </c:legendEntry>
      <c:layout>
        <c:manualLayout>
          <c:xMode val="edge"/>
          <c:yMode val="edge"/>
          <c:x val="0.295216671637685"/>
          <c:y val="0"/>
          <c:w val="0.59720240253255119"/>
          <c:h val="9.9098873083628289E-2"/>
        </c:manualLayout>
      </c:layout>
      <c:overlay val="0"/>
      <c:spPr>
        <a:noFill/>
        <a:ln w="25400">
          <a:noFill/>
        </a:ln>
      </c:spPr>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22" r="0.75000000000000622" t="1" header="0.5" footer="0.5"/>
    <c:pageSetup orientation="landscape"/>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rgbClr val="000000"/>
                </a:solidFill>
                <a:latin typeface="Arial" pitchFamily="34" charset="0"/>
                <a:ea typeface="Calibri"/>
                <a:cs typeface="Arial" pitchFamily="34" charset="0"/>
              </a:defRPr>
            </a:pPr>
            <a:r>
              <a:rPr lang="en-US" sz="1800" b="1" i="0" baseline="0">
                <a:effectLst/>
                <a:sym typeface="Symbol"/>
              </a:rPr>
              <a:t></a:t>
            </a:r>
            <a:r>
              <a:rPr lang="en-US" sz="1800" b="1" i="0" baseline="0">
                <a:effectLst/>
              </a:rPr>
              <a:t>, V</a:t>
            </a:r>
            <a:r>
              <a:rPr lang="en-US" sz="1800" b="1" i="0" baseline="-25000">
                <a:effectLst/>
              </a:rPr>
              <a:t>IN</a:t>
            </a:r>
            <a:r>
              <a:rPr lang="en-US" sz="1800" b="1" i="0" baseline="0">
                <a:effectLst/>
              </a:rPr>
              <a:t> = V</a:t>
            </a:r>
            <a:r>
              <a:rPr lang="en-US" sz="1800" b="1" i="0" baseline="-25000">
                <a:effectLst/>
              </a:rPr>
              <a:t>IN(nom)</a:t>
            </a:r>
            <a:endParaRPr lang="en-US">
              <a:effectLst/>
            </a:endParaRPr>
          </a:p>
        </c:rich>
      </c:tx>
      <c:layout>
        <c:manualLayout>
          <c:xMode val="edge"/>
          <c:yMode val="edge"/>
          <c:x val="8.2586704916618195E-2"/>
          <c:y val="1.8363289746112718E-2"/>
        </c:manualLayout>
      </c:layout>
      <c:overlay val="0"/>
      <c:spPr>
        <a:noFill/>
        <a:ln w="25400">
          <a:noFill/>
        </a:ln>
      </c:spPr>
    </c:title>
    <c:autoTitleDeleted val="0"/>
    <c:plotArea>
      <c:layout>
        <c:manualLayout>
          <c:layoutTarget val="inner"/>
          <c:xMode val="edge"/>
          <c:yMode val="edge"/>
          <c:x val="7.6761884085804283E-2"/>
          <c:y val="0.12133523343001466"/>
          <c:w val="0.82579990228506128"/>
          <c:h val="0.7558980268938309"/>
        </c:manualLayout>
      </c:layout>
      <c:lineChart>
        <c:grouping val="standard"/>
        <c:varyColors val="0"/>
        <c:ser>
          <c:idx val="0"/>
          <c:order val="0"/>
          <c:tx>
            <c:v>Efficiency</c:v>
          </c:tx>
          <c:spPr>
            <a:ln w="38100">
              <a:solidFill>
                <a:srgbClr val="FF0000"/>
              </a:solidFill>
              <a:prstDash val="solid"/>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Calculations'!$AU$9:$AU$209</c:f>
              <c:numCache>
                <c:formatCode>General</c:formatCode>
                <c:ptCount val="201"/>
                <c:pt idx="0">
                  <c:v>0</c:v>
                </c:pt>
                <c:pt idx="1">
                  <c:v>14.869126686175493</c:v>
                </c:pt>
                <c:pt idx="2">
                  <c:v>25.86424919266403</c:v>
                </c:pt>
                <c:pt idx="3">
                  <c:v>34.324341751545973</c:v>
                </c:pt>
                <c:pt idx="4">
                  <c:v>40.906498392099863</c:v>
                </c:pt>
                <c:pt idx="5">
                  <c:v>46.206962562195706</c:v>
                </c:pt>
                <c:pt idx="6">
                  <c:v>50.575304218380722</c:v>
                </c:pt>
                <c:pt idx="7">
                  <c:v>54.237287609508911</c:v>
                </c:pt>
                <c:pt idx="8">
                  <c:v>57.351215247611151</c:v>
                </c:pt>
                <c:pt idx="9">
                  <c:v>60.031374573149698</c:v>
                </c:pt>
                <c:pt idx="10">
                  <c:v>62.362341369382499</c:v>
                </c:pt>
                <c:pt idx="11">
                  <c:v>64.408045816862341</c:v>
                </c:pt>
                <c:pt idx="12">
                  <c:v>66.217709842918467</c:v>
                </c:pt>
                <c:pt idx="13">
                  <c:v>67.829846926963427</c:v>
                </c:pt>
                <c:pt idx="14">
                  <c:v>69.275023972751029</c:v>
                </c:pt>
                <c:pt idx="15">
                  <c:v>70.577810315841504</c:v>
                </c:pt>
                <c:pt idx="16">
                  <c:v>71.758179928056578</c:v>
                </c:pt>
                <c:pt idx="17">
                  <c:v>72.832537800114451</c:v>
                </c:pt>
                <c:pt idx="18">
                  <c:v>73.814482994061663</c:v>
                </c:pt>
                <c:pt idx="19">
                  <c:v>74.71538395376723</c:v>
                </c:pt>
                <c:pt idx="20">
                  <c:v>75.544817841485539</c:v>
                </c:pt>
                <c:pt idx="21">
                  <c:v>76.310909973022575</c:v>
                </c:pt>
                <c:pt idx="22">
                  <c:v>77.02059888661023</c:v>
                </c:pt>
                <c:pt idx="23">
                  <c:v>77.679845384111658</c:v>
                </c:pt>
                <c:pt idx="24">
                  <c:v>78.293798890738998</c:v>
                </c:pt>
                <c:pt idx="25">
                  <c:v>78.866930965716477</c:v>
                </c:pt>
                <c:pt idx="26">
                  <c:v>79.403143290144357</c:v>
                </c:pt>
                <c:pt idx="27">
                  <c:v>79.905855648595889</c:v>
                </c:pt>
                <c:pt idx="28">
                  <c:v>80.378078099109658</c:v>
                </c:pt>
                <c:pt idx="29">
                  <c:v>80.822470550344661</c:v>
                </c:pt>
                <c:pt idx="30">
                  <c:v>81.241392236977973</c:v>
                </c:pt>
                <c:pt idx="31">
                  <c:v>81.678317731924665</c:v>
                </c:pt>
                <c:pt idx="32">
                  <c:v>82.1027705480534</c:v>
                </c:pt>
                <c:pt idx="33">
                  <c:v>82.505255670464521</c:v>
                </c:pt>
                <c:pt idx="34">
                  <c:v>82.887410781184741</c:v>
                </c:pt>
                <c:pt idx="35">
                  <c:v>83.250714714641788</c:v>
                </c:pt>
                <c:pt idx="36">
                  <c:v>83.596506260826573</c:v>
                </c:pt>
                <c:pt idx="37">
                  <c:v>83.926000359296154</c:v>
                </c:pt>
                <c:pt idx="38">
                  <c:v>84.240302096863502</c:v>
                </c:pt>
                <c:pt idx="39">
                  <c:v>84.540418848813005</c:v>
                </c:pt>
                <c:pt idx="40">
                  <c:v>84.827270844685103</c:v>
                </c:pt>
                <c:pt idx="41">
                  <c:v>85.101700392078243</c:v>
                </c:pt>
                <c:pt idx="42">
                  <c:v>85.364479953202405</c:v>
                </c:pt>
                <c:pt idx="43">
                  <c:v>85.616319237278802</c:v>
                </c:pt>
                <c:pt idx="44">
                  <c:v>85.857871445910803</c:v>
                </c:pt>
                <c:pt idx="45">
                  <c:v>86.089738787140774</c:v>
                </c:pt>
                <c:pt idx="46">
                  <c:v>86.312477356187628</c:v>
                </c:pt>
                <c:pt idx="47">
                  <c:v>86.526601466134863</c:v>
                </c:pt>
                <c:pt idx="48">
                  <c:v>86.732587499556345</c:v>
                </c:pt>
                <c:pt idx="49">
                  <c:v>86.930877341787166</c:v>
                </c:pt>
                <c:pt idx="50">
                  <c:v>87.121881447911548</c:v>
                </c:pt>
                <c:pt idx="51">
                  <c:v>87.305981588260636</c:v>
                </c:pt>
                <c:pt idx="52">
                  <c:v>87.483533311062317</c:v>
                </c:pt>
                <c:pt idx="53">
                  <c:v>87.65486815566446</c:v>
                </c:pt>
                <c:pt idx="54">
                  <c:v>87.820295645316421</c:v>
                </c:pt>
                <c:pt idx="55">
                  <c:v>87.980105084705855</c:v>
                </c:pt>
                <c:pt idx="56">
                  <c:v>88.134567184210255</c:v>
                </c:pt>
                <c:pt idx="57">
                  <c:v>88.283935530043593</c:v>
                </c:pt>
                <c:pt idx="58">
                  <c:v>88.428447917091063</c:v>
                </c:pt>
                <c:pt idx="59">
                  <c:v>88.568327559164473</c:v>
                </c:pt>
                <c:pt idx="60">
                  <c:v>88.7037841896326</c:v>
                </c:pt>
                <c:pt idx="61">
                  <c:v>88.835015063838554</c:v>
                </c:pt>
                <c:pt idx="62">
                  <c:v>88.962205873379332</c:v>
                </c:pt>
                <c:pt idx="63">
                  <c:v>89.085531581157753</c:v>
                </c:pt>
                <c:pt idx="64">
                  <c:v>89.205157185102635</c:v>
                </c:pt>
                <c:pt idx="65">
                  <c:v>89.321238417566335</c:v>
                </c:pt>
                <c:pt idx="66">
                  <c:v>89.43392238663246</c:v>
                </c:pt>
                <c:pt idx="67">
                  <c:v>89.543348164885643</c:v>
                </c:pt>
                <c:pt idx="68">
                  <c:v>89.649647330597404</c:v>
                </c:pt>
                <c:pt idx="69">
                  <c:v>89.752944465754979</c:v>
                </c:pt>
                <c:pt idx="70">
                  <c:v>89.853357614895543</c:v>
                </c:pt>
                <c:pt idx="71">
                  <c:v>89.95099870829803</c:v>
                </c:pt>
                <c:pt idx="72">
                  <c:v>90.045973952721482</c:v>
                </c:pt>
                <c:pt idx="73">
                  <c:v>90.1383841925567</c:v>
                </c:pt>
                <c:pt idx="74">
                  <c:v>90.228325243972321</c:v>
                </c:pt>
                <c:pt idx="75">
                  <c:v>90.315888204382503</c:v>
                </c:pt>
                <c:pt idx="76">
                  <c:v>90.401159739336364</c:v>
                </c:pt>
                <c:pt idx="77">
                  <c:v>90.484222348728309</c:v>
                </c:pt>
                <c:pt idx="78">
                  <c:v>90.565154614047188</c:v>
                </c:pt>
                <c:pt idx="79">
                  <c:v>90.644031428221723</c:v>
                </c:pt>
                <c:pt idx="80">
                  <c:v>90.720924209474774</c:v>
                </c:pt>
                <c:pt idx="81">
                  <c:v>90.795901100469479</c:v>
                </c:pt>
                <c:pt idx="82">
                  <c:v>90.869027153914004</c:v>
                </c:pt>
                <c:pt idx="83">
                  <c:v>90.940364505687356</c:v>
                </c:pt>
                <c:pt idx="84">
                  <c:v>91.009972536454001</c:v>
                </c:pt>
                <c:pt idx="85">
                  <c:v>91.077908022650504</c:v>
                </c:pt>
                <c:pt idx="86">
                  <c:v>91.144225277650904</c:v>
                </c:pt>
                <c:pt idx="87">
                  <c:v>91.208976283847846</c:v>
                </c:pt>
                <c:pt idx="88">
                  <c:v>91.272210816324616</c:v>
                </c:pt>
                <c:pt idx="89">
                  <c:v>91.333976558735799</c:v>
                </c:pt>
                <c:pt idx="90">
                  <c:v>91.394319211963463</c:v>
                </c:pt>
                <c:pt idx="91">
                  <c:v>91.453282596068817</c:v>
                </c:pt>
                <c:pt idx="92">
                  <c:v>91.510908746017321</c:v>
                </c:pt>
                <c:pt idx="93">
                  <c:v>91.567238001616019</c:v>
                </c:pt>
                <c:pt idx="94">
                  <c:v>91.622309092067681</c:v>
                </c:pt>
                <c:pt idx="95">
                  <c:v>91.676159215513692</c:v>
                </c:pt>
                <c:pt idx="96">
                  <c:v>91.728824113909042</c:v>
                </c:pt>
                <c:pt idx="97">
                  <c:v>91.780338143545606</c:v>
                </c:pt>
                <c:pt idx="98">
                  <c:v>91.830734341516134</c:v>
                </c:pt>
                <c:pt idx="99">
                  <c:v>91.880044488389117</c:v>
                </c:pt>
                <c:pt idx="100">
                  <c:v>91.928299167343681</c:v>
                </c:pt>
                <c:pt idx="101">
                  <c:v>91.975527819996202</c:v>
                </c:pt>
                <c:pt idx="102">
                  <c:v>92.021758799132073</c:v>
                </c:pt>
                <c:pt idx="103">
                  <c:v>92.067019418541321</c:v>
                </c:pt>
                <c:pt idx="104">
                  <c:v>92.111336000141662</c:v>
                </c:pt>
                <c:pt idx="105">
                  <c:v>92.154733918559941</c:v>
                </c:pt>
                <c:pt idx="106">
                  <c:v>92.197237643330297</c:v>
                </c:pt>
                <c:pt idx="107">
                  <c:v>92.238870778856466</c:v>
                </c:pt>
                <c:pt idx="108">
                  <c:v>92.279656102275226</c:v>
                </c:pt>
                <c:pt idx="109">
                  <c:v>92.31961559934841</c:v>
                </c:pt>
                <c:pt idx="110">
                  <c:v>92.358770498502253</c:v>
                </c:pt>
                <c:pt idx="111">
                  <c:v>92.39714130312467</c:v>
                </c:pt>
                <c:pt idx="112">
                  <c:v>92.434747822223613</c:v>
                </c:pt>
                <c:pt idx="113">
                  <c:v>92.471609199542854</c:v>
                </c:pt>
                <c:pt idx="114">
                  <c:v>92.507743941224604</c:v>
                </c:pt>
                <c:pt idx="115">
                  <c:v>92.543169942103304</c:v>
                </c:pt>
                <c:pt idx="116">
                  <c:v>92.577904510708819</c:v>
                </c:pt>
                <c:pt idx="117">
                  <c:v>92.611964393052176</c:v>
                </c:pt>
                <c:pt idx="118">
                  <c:v>92.64536579526272</c:v>
                </c:pt>
                <c:pt idx="119">
                  <c:v>92.678124405140679</c:v>
                </c:pt>
                <c:pt idx="120">
                  <c:v>92.71025541268537</c:v>
                </c:pt>
                <c:pt idx="121">
                  <c:v>92.74177352965539</c:v>
                </c:pt>
                <c:pt idx="122">
                  <c:v>92.772693008213551</c:v>
                </c:pt>
                <c:pt idx="123">
                  <c:v>92.803027658706341</c:v>
                </c:pt>
                <c:pt idx="124">
                  <c:v>92.832790866624123</c:v>
                </c:pt>
                <c:pt idx="125">
                  <c:v>92.86199560878606</c:v>
                </c:pt>
                <c:pt idx="126">
                  <c:v>92.890654468790629</c:v>
                </c:pt>
                <c:pt idx="127">
                  <c:v>92.91877965177035</c:v>
                </c:pt>
                <c:pt idx="128">
                  <c:v>92.946382998487024</c:v>
                </c:pt>
                <c:pt idx="129">
                  <c:v>92.973475998801661</c:v>
                </c:pt>
                <c:pt idx="130">
                  <c:v>93.00006980455106</c:v>
                </c:pt>
                <c:pt idx="131">
                  <c:v>93.026175241861566</c:v>
                </c:pt>
                <c:pt idx="132">
                  <c:v>93.051802822928266</c:v>
                </c:pt>
                <c:pt idx="133">
                  <c:v>93.076962757286594</c:v>
                </c:pt>
                <c:pt idx="134">
                  <c:v>93.101664962601689</c:v>
                </c:pt>
                <c:pt idx="135">
                  <c:v>93.125919074999473</c:v>
                </c:pt>
                <c:pt idx="136">
                  <c:v>93.149734458961731</c:v>
                </c:pt>
                <c:pt idx="137">
                  <c:v>93.17312021680695</c:v>
                </c:pt>
                <c:pt idx="138">
                  <c:v>93.196085197776526</c:v>
                </c:pt>
                <c:pt idx="139">
                  <c:v>93.218638006745763</c:v>
                </c:pt>
                <c:pt idx="140">
                  <c:v>93.240787012577329</c:v>
                </c:pt>
                <c:pt idx="141">
                  <c:v>93.262540356134494</c:v>
                </c:pt>
                <c:pt idx="142">
                  <c:v>93.283905957969722</c:v>
                </c:pt>
                <c:pt idx="143">
                  <c:v>93.304891525704335</c:v>
                </c:pt>
                <c:pt idx="144">
                  <c:v>93.325504561113576</c:v>
                </c:pt>
                <c:pt idx="145">
                  <c:v>93.345752366930142</c:v>
                </c:pt>
                <c:pt idx="146">
                  <c:v>93.365642053380114</c:v>
                </c:pt>
                <c:pt idx="147">
                  <c:v>93.385180544462415</c:v>
                </c:pt>
                <c:pt idx="148">
                  <c:v>93.404374583984506</c:v>
                </c:pt>
                <c:pt idx="149">
                  <c:v>93.423230741364321</c:v>
                </c:pt>
                <c:pt idx="150">
                  <c:v>93.44175541720972</c:v>
                </c:pt>
                <c:pt idx="151">
                  <c:v>93.459954848684816</c:v>
                </c:pt>
                <c:pt idx="152">
                  <c:v>93.477835114672985</c:v>
                </c:pt>
                <c:pt idx="153">
                  <c:v>93.495402140745085</c:v>
                </c:pt>
                <c:pt idx="154">
                  <c:v>93.512661703941944</c:v>
                </c:pt>
                <c:pt idx="155">
                  <c:v>93.529619437378557</c:v>
                </c:pt>
                <c:pt idx="156">
                  <c:v>93.546280834678214</c:v>
                </c:pt>
                <c:pt idx="157">
                  <c:v>93.562651254243519</c:v>
                </c:pt>
                <c:pt idx="158">
                  <c:v>93.578735923371482</c:v>
                </c:pt>
                <c:pt idx="159">
                  <c:v>93.594539942218972</c:v>
                </c:pt>
                <c:pt idx="160">
                  <c:v>93.610068287625268</c:v>
                </c:pt>
                <c:pt idx="161">
                  <c:v>93.625325816797329</c:v>
                </c:pt>
                <c:pt idx="162">
                  <c:v>93.640317270863548</c:v>
                </c:pt>
                <c:pt idx="163">
                  <c:v>93.655047278301723</c:v>
                </c:pt>
                <c:pt idx="164">
                  <c:v>93.669520358245947</c:v>
                </c:pt>
                <c:pt idx="165">
                  <c:v>93.683740923677803</c:v>
                </c:pt>
                <c:pt idx="166">
                  <c:v>93.697713284506349</c:v>
                </c:pt>
                <c:pt idx="167">
                  <c:v>93.711441650541204</c:v>
                </c:pt>
                <c:pt idx="168">
                  <c:v>93.724930134363632</c:v>
                </c:pt>
                <c:pt idx="169">
                  <c:v>93.738182754098929</c:v>
                </c:pt>
                <c:pt idx="170">
                  <c:v>93.75120343609467</c:v>
                </c:pt>
                <c:pt idx="171">
                  <c:v>93.763996017508134</c:v>
                </c:pt>
                <c:pt idx="172">
                  <c:v>93.776564248806622</c:v>
                </c:pt>
                <c:pt idx="173">
                  <c:v>93.788911796184223</c:v>
                </c:pt>
                <c:pt idx="174">
                  <c:v>93.801042243897882</c:v>
                </c:pt>
                <c:pt idx="175">
                  <c:v>93.812959096526257</c:v>
                </c:pt>
                <c:pt idx="176">
                  <c:v>93.824665781154224</c:v>
                </c:pt>
                <c:pt idx="177">
                  <c:v>93.836165649485707</c:v>
                </c:pt>
                <c:pt idx="178">
                  <c:v>93.847461979887768</c:v>
                </c:pt>
                <c:pt idx="179">
                  <c:v>93.858557979368527</c:v>
                </c:pt>
                <c:pt idx="180">
                  <c:v>93.869456785491195</c:v>
                </c:pt>
                <c:pt idx="181">
                  <c:v>93.880161468226959</c:v>
                </c:pt>
                <c:pt idx="182">
                  <c:v>93.890675031748572</c:v>
                </c:pt>
                <c:pt idx="183">
                  <c:v>93.901000416167207</c:v>
                </c:pt>
                <c:pt idx="184">
                  <c:v>93.911140499214568</c:v>
                </c:pt>
                <c:pt idx="185">
                  <c:v>93.921098097872019</c:v>
                </c:pt>
                <c:pt idx="186">
                  <c:v>93.930875969948957</c:v>
                </c:pt>
                <c:pt idx="187">
                  <c:v>93.9404768156123</c:v>
                </c:pt>
                <c:pt idx="188">
                  <c:v>93.949903278868462</c:v>
                </c:pt>
                <c:pt idx="189">
                  <c:v>93.959157948999916</c:v>
                </c:pt>
                <c:pt idx="190">
                  <c:v>93.968243361957775</c:v>
                </c:pt>
                <c:pt idx="191">
                  <c:v>93.977162001712173</c:v>
                </c:pt>
                <c:pt idx="192">
                  <c:v>93.985916301561318</c:v>
                </c:pt>
                <c:pt idx="193">
                  <c:v>93.99450864540168</c:v>
                </c:pt>
                <c:pt idx="194">
                  <c:v>94.002941368959682</c:v>
                </c:pt>
                <c:pt idx="195">
                  <c:v>94.011216760986798</c:v>
                </c:pt>
                <c:pt idx="196">
                  <c:v>94.019337064419233</c:v>
                </c:pt>
                <c:pt idx="197">
                  <c:v>94.027304477503208</c:v>
                </c:pt>
                <c:pt idx="198">
                  <c:v>94.035121154887349</c:v>
                </c:pt>
                <c:pt idx="199">
                  <c:v>94.042789208683033</c:v>
                </c:pt>
                <c:pt idx="200">
                  <c:v>94.050310709493829</c:v>
                </c:pt>
              </c:numCache>
            </c:numRef>
          </c:val>
          <c:smooth val="0"/>
          <c:extLst>
            <c:ext xmlns:c16="http://schemas.microsoft.com/office/drawing/2014/chart" uri="{C3380CC4-5D6E-409C-BE32-E72D297353CC}">
              <c16:uniqueId val="{00000000-7890-472B-AAE1-D1CB0E55BFDF}"/>
            </c:ext>
          </c:extLst>
        </c:ser>
        <c:dLbls>
          <c:showLegendKey val="0"/>
          <c:showVal val="0"/>
          <c:showCatName val="0"/>
          <c:showSerName val="0"/>
          <c:showPercent val="0"/>
          <c:showBubbleSize val="0"/>
        </c:dLbls>
        <c:marker val="1"/>
        <c:smooth val="0"/>
        <c:axId val="308580352"/>
        <c:axId val="308582272"/>
      </c:lineChart>
      <c:lineChart>
        <c:grouping val="standard"/>
        <c:varyColors val="0"/>
        <c:ser>
          <c:idx val="3"/>
          <c:order val="1"/>
          <c:tx>
            <c:v> Inductor Copper &amp; Core Loss</c:v>
          </c:tx>
          <c:spPr>
            <a:ln w="38100">
              <a:solidFill>
                <a:srgbClr val="800080"/>
              </a:solidFill>
              <a:prstDash val="dash"/>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Calculations'!$Q$9:$Q$209</c:f>
              <c:numCache>
                <c:formatCode>0.0000</c:formatCode>
                <c:ptCount val="201"/>
                <c:pt idx="0">
                  <c:v>0.20136386589493738</c:v>
                </c:pt>
                <c:pt idx="1">
                  <c:v>0.20136854340398558</c:v>
                </c:pt>
                <c:pt idx="2">
                  <c:v>0.20138222291198479</c:v>
                </c:pt>
                <c:pt idx="3">
                  <c:v>0.20140490447803727</c:v>
                </c:pt>
                <c:pt idx="4">
                  <c:v>0.20143658820013896</c:v>
                </c:pt>
                <c:pt idx="5">
                  <c:v>0.20147727421518066</c:v>
                </c:pt>
                <c:pt idx="6">
                  <c:v>0.20152696269894943</c:v>
                </c:pt>
                <c:pt idx="7">
                  <c:v>0.20158565386613053</c:v>
                </c:pt>
                <c:pt idx="8">
                  <c:v>0.2016533479703097</c:v>
                </c:pt>
                <c:pt idx="9">
                  <c:v>0.20173004530397601</c:v>
                </c:pt>
                <c:pt idx="10">
                  <c:v>0.20181574619852483</c:v>
                </c:pt>
                <c:pt idx="11">
                  <c:v>0.20191045102426161</c:v>
                </c:pt>
                <c:pt idx="12">
                  <c:v>0.20201416019040572</c:v>
                </c:pt>
                <c:pt idx="13">
                  <c:v>0.20212687414509495</c:v>
                </c:pt>
                <c:pt idx="14">
                  <c:v>0.20224859337539036</c:v>
                </c:pt>
                <c:pt idx="15">
                  <c:v>0.20237931840728154</c:v>
                </c:pt>
                <c:pt idx="16">
                  <c:v>0.20251904980569224</c:v>
                </c:pt>
                <c:pt idx="17">
                  <c:v>0.20266778817448652</c:v>
                </c:pt>
                <c:pt idx="18">
                  <c:v>0.20282553415647522</c:v>
                </c:pt>
                <c:pt idx="19">
                  <c:v>0.20299228843342304</c:v>
                </c:pt>
                <c:pt idx="20">
                  <c:v>0.20316805172605573</c:v>
                </c:pt>
                <c:pt idx="21">
                  <c:v>0.20335282479406802</c:v>
                </c:pt>
                <c:pt idx="22">
                  <c:v>0.20354660843613176</c:v>
                </c:pt>
                <c:pt idx="23">
                  <c:v>0.20374940348990458</c:v>
                </c:pt>
                <c:pt idx="24">
                  <c:v>0.20396121083203889</c:v>
                </c:pt>
                <c:pt idx="25">
                  <c:v>0.20418203137819141</c:v>
                </c:pt>
                <c:pt idx="26">
                  <c:v>0.20441186608303313</c:v>
                </c:pt>
                <c:pt idx="27">
                  <c:v>0.20465071594025949</c:v>
                </c:pt>
                <c:pt idx="28">
                  <c:v>0.20489858198260119</c:v>
                </c:pt>
                <c:pt idx="29">
                  <c:v>0.2051554652818354</c:v>
                </c:pt>
                <c:pt idx="30">
                  <c:v>0.20542136694879728</c:v>
                </c:pt>
                <c:pt idx="31">
                  <c:v>0.20569628813339202</c:v>
                </c:pt>
                <c:pt idx="32">
                  <c:v>0.20598023002460733</c:v>
                </c:pt>
                <c:pt idx="33">
                  <c:v>0.2062731938505262</c:v>
                </c:pt>
                <c:pt idx="34">
                  <c:v>0.20657518087834023</c:v>
                </c:pt>
                <c:pt idx="35">
                  <c:v>0.2068861924143634</c:v>
                </c:pt>
                <c:pt idx="36">
                  <c:v>0.20720622980404613</c:v>
                </c:pt>
                <c:pt idx="37">
                  <c:v>0.20753529443198984</c:v>
                </c:pt>
                <c:pt idx="38">
                  <c:v>0.20787338772196198</c:v>
                </c:pt>
                <c:pt idx="39">
                  <c:v>0.20822051113691142</c:v>
                </c:pt>
                <c:pt idx="40">
                  <c:v>0.20857666617898429</c:v>
                </c:pt>
                <c:pt idx="41">
                  <c:v>0.20894185438954016</c:v>
                </c:pt>
                <c:pt idx="42">
                  <c:v>0.20931607734916893</c:v>
                </c:pt>
                <c:pt idx="43">
                  <c:v>0.20969933667770771</c:v>
                </c:pt>
                <c:pt idx="44">
                  <c:v>0.21009163403425854</c:v>
                </c:pt>
                <c:pt idx="45">
                  <c:v>0.2104929711172063</c:v>
                </c:pt>
                <c:pt idx="46">
                  <c:v>0.21090334966423704</c:v>
                </c:pt>
                <c:pt idx="47">
                  <c:v>0.21132277145235695</c:v>
                </c:pt>
                <c:pt idx="48">
                  <c:v>0.21175123829791148</c:v>
                </c:pt>
                <c:pt idx="49">
                  <c:v>0.21218875205660509</c:v>
                </c:pt>
                <c:pt idx="50">
                  <c:v>0.21263531462352142</c:v>
                </c:pt>
                <c:pt idx="51">
                  <c:v>0.21309092793314366</c:v>
                </c:pt>
                <c:pt idx="52">
                  <c:v>0.21355559395937573</c:v>
                </c:pt>
                <c:pt idx="53">
                  <c:v>0.21402931471556358</c:v>
                </c:pt>
                <c:pt idx="54">
                  <c:v>0.21451209225451701</c:v>
                </c:pt>
                <c:pt idx="55">
                  <c:v>0.21500392866853194</c:v>
                </c:pt>
                <c:pt idx="56">
                  <c:v>0.21550482608941321</c:v>
                </c:pt>
                <c:pt idx="57">
                  <c:v>0.21601478668849761</c:v>
                </c:pt>
                <c:pt idx="58">
                  <c:v>0.21653381267667746</c:v>
                </c:pt>
                <c:pt idx="59">
                  <c:v>0.21706190630442462</c:v>
                </c:pt>
                <c:pt idx="60">
                  <c:v>0.21759906986181501</c:v>
                </c:pt>
                <c:pt idx="61">
                  <c:v>0.21814530567855328</c:v>
                </c:pt>
                <c:pt idx="62">
                  <c:v>0.21870061612399833</c:v>
                </c:pt>
                <c:pt idx="63">
                  <c:v>0.2192650036071889</c:v>
                </c:pt>
                <c:pt idx="64">
                  <c:v>0.21983847057686975</c:v>
                </c:pt>
                <c:pt idx="65">
                  <c:v>0.22042101952151844</c:v>
                </c:pt>
                <c:pt idx="66">
                  <c:v>0.22101265296937214</c:v>
                </c:pt>
                <c:pt idx="67">
                  <c:v>0.22161337348845531</c:v>
                </c:pt>
                <c:pt idx="68">
                  <c:v>0.22222318368660743</c:v>
                </c:pt>
                <c:pt idx="69">
                  <c:v>0.22284208621151164</c:v>
                </c:pt>
                <c:pt idx="70">
                  <c:v>0.22347008375072322</c:v>
                </c:pt>
                <c:pt idx="71">
                  <c:v>0.22410717903169908</c:v>
                </c:pt>
                <c:pt idx="72">
                  <c:v>0.22475337482182733</c:v>
                </c:pt>
                <c:pt idx="73">
                  <c:v>0.22540867392845745</c:v>
                </c:pt>
                <c:pt idx="74">
                  <c:v>0.22607307919893077</c:v>
                </c:pt>
                <c:pt idx="75">
                  <c:v>0.22674659352061161</c:v>
                </c:pt>
                <c:pt idx="76">
                  <c:v>0.2274292198209186</c:v>
                </c:pt>
                <c:pt idx="77">
                  <c:v>0.22812096106735669</c:v>
                </c:pt>
                <c:pt idx="78">
                  <c:v>0.22882182026754938</c:v>
                </c:pt>
                <c:pt idx="79">
                  <c:v>0.22953180046927163</c:v>
                </c:pt>
                <c:pt idx="80">
                  <c:v>0.23025090476048291</c:v>
                </c:pt>
                <c:pt idx="81">
                  <c:v>0.23097913626936106</c:v>
                </c:pt>
                <c:pt idx="82">
                  <c:v>0.23171649816433637</c:v>
                </c:pt>
                <c:pt idx="83">
                  <c:v>0.23246299365412601</c:v>
                </c:pt>
                <c:pt idx="84">
                  <c:v>0.23321862598776921</c:v>
                </c:pt>
                <c:pt idx="85">
                  <c:v>0.23398339845466271</c:v>
                </c:pt>
                <c:pt idx="86">
                  <c:v>0.23475731438459657</c:v>
                </c:pt>
                <c:pt idx="87">
                  <c:v>0.23554037714779061</c:v>
                </c:pt>
                <c:pt idx="88">
                  <c:v>0.2363325901549313</c:v>
                </c:pt>
                <c:pt idx="89">
                  <c:v>0.23713395685720884</c:v>
                </c:pt>
                <c:pt idx="90">
                  <c:v>0.23794448074635516</c:v>
                </c:pt>
                <c:pt idx="91">
                  <c:v>0.23876416535468181</c:v>
                </c:pt>
                <c:pt idx="92">
                  <c:v>0.23959301425511878</c:v>
                </c:pt>
                <c:pt idx="93">
                  <c:v>0.24043103106125349</c:v>
                </c:pt>
                <c:pt idx="94">
                  <c:v>0.24127821942737043</c:v>
                </c:pt>
                <c:pt idx="95">
                  <c:v>0.24213458304849106</c:v>
                </c:pt>
                <c:pt idx="96">
                  <c:v>0.24300012566041435</c:v>
                </c:pt>
                <c:pt idx="97">
                  <c:v>0.24387485103975759</c:v>
                </c:pt>
                <c:pt idx="98">
                  <c:v>0.24475876300399793</c:v>
                </c:pt>
                <c:pt idx="99">
                  <c:v>0.24565186541151401</c:v>
                </c:pt>
                <c:pt idx="100">
                  <c:v>0.24655416216162851</c:v>
                </c:pt>
                <c:pt idx="101">
                  <c:v>0.24746565719465063</c:v>
                </c:pt>
                <c:pt idx="102">
                  <c:v>0.24838635449191948</c:v>
                </c:pt>
                <c:pt idx="103">
                  <c:v>0.24931625807584779</c:v>
                </c:pt>
                <c:pt idx="104">
                  <c:v>0.25025537200996595</c:v>
                </c:pt>
                <c:pt idx="105">
                  <c:v>0.25120370039896667</c:v>
                </c:pt>
                <c:pt idx="106">
                  <c:v>0.25216124738875001</c:v>
                </c:pt>
                <c:pt idx="107">
                  <c:v>0.25312801716646915</c:v>
                </c:pt>
                <c:pt idx="108">
                  <c:v>0.25410401396057619</c:v>
                </c:pt>
                <c:pt idx="109">
                  <c:v>0.25508924204086852</c:v>
                </c:pt>
                <c:pt idx="110">
                  <c:v>0.25608370571853611</c:v>
                </c:pt>
                <c:pt idx="111">
                  <c:v>0.25708740934620877</c:v>
                </c:pt>
                <c:pt idx="112">
                  <c:v>0.25810035731800396</c:v>
                </c:pt>
                <c:pt idx="113">
                  <c:v>0.25912255406957529</c:v>
                </c:pt>
                <c:pt idx="114">
                  <c:v>0.26015400407816136</c:v>
                </c:pt>
                <c:pt idx="115">
                  <c:v>0.26119471186263504</c:v>
                </c:pt>
                <c:pt idx="116">
                  <c:v>0.26224468198355322</c:v>
                </c:pt>
                <c:pt idx="117">
                  <c:v>0.26330391904320721</c:v>
                </c:pt>
                <c:pt idx="118">
                  <c:v>0.26437242768567343</c:v>
                </c:pt>
                <c:pt idx="119">
                  <c:v>0.26545021259686452</c:v>
                </c:pt>
                <c:pt idx="120">
                  <c:v>0.2665372785045812</c:v>
                </c:pt>
                <c:pt idx="121">
                  <c:v>0.26763363017856473</c:v>
                </c:pt>
                <c:pt idx="122">
                  <c:v>0.26873927243054879</c:v>
                </c:pt>
                <c:pt idx="123">
                  <c:v>0.26985421011431343</c:v>
                </c:pt>
                <c:pt idx="124">
                  <c:v>0.27097844812573846</c:v>
                </c:pt>
                <c:pt idx="125">
                  <c:v>0.27211199140285747</c:v>
                </c:pt>
                <c:pt idx="126">
                  <c:v>0.27325484492591234</c:v>
                </c:pt>
                <c:pt idx="127">
                  <c:v>0.27440701371740883</c:v>
                </c:pt>
                <c:pt idx="128">
                  <c:v>0.27556850284217166</c:v>
                </c:pt>
                <c:pt idx="129">
                  <c:v>0.27673931740740088</c:v>
                </c:pt>
                <c:pt idx="130">
                  <c:v>0.27791946256272837</c:v>
                </c:pt>
                <c:pt idx="131">
                  <c:v>0.27910894350027482</c:v>
                </c:pt>
                <c:pt idx="132">
                  <c:v>0.28030776545470748</c:v>
                </c:pt>
                <c:pt idx="133">
                  <c:v>0.28151593370329803</c:v>
                </c:pt>
                <c:pt idx="134">
                  <c:v>0.28273345356598134</c:v>
                </c:pt>
                <c:pt idx="135">
                  <c:v>0.28396033040541424</c:v>
                </c:pt>
                <c:pt idx="136">
                  <c:v>0.28519656962703527</c:v>
                </c:pt>
                <c:pt idx="137">
                  <c:v>0.2864421766791248</c:v>
                </c:pt>
                <c:pt idx="138">
                  <c:v>0.2876971570528653</c:v>
                </c:pt>
                <c:pt idx="139">
                  <c:v>0.28896151628240274</c:v>
                </c:pt>
                <c:pt idx="140">
                  <c:v>0.29023525994490773</c:v>
                </c:pt>
                <c:pt idx="141">
                  <c:v>0.29151839366063814</c:v>
                </c:pt>
                <c:pt idx="142">
                  <c:v>0.29281092309300105</c:v>
                </c:pt>
                <c:pt idx="143">
                  <c:v>0.2941128539486163</c:v>
                </c:pt>
                <c:pt idx="144">
                  <c:v>0.29542419197737979</c:v>
                </c:pt>
                <c:pt idx="145">
                  <c:v>0.29674494297252774</c:v>
                </c:pt>
                <c:pt idx="146">
                  <c:v>0.29807511277070137</c:v>
                </c:pt>
                <c:pt idx="147">
                  <c:v>0.29941470725201158</c:v>
                </c:pt>
                <c:pt idx="148">
                  <c:v>0.30076373234010512</c:v>
                </c:pt>
                <c:pt idx="149">
                  <c:v>0.30212219400223056</c:v>
                </c:pt>
                <c:pt idx="150">
                  <c:v>0.30349009824930473</c:v>
                </c:pt>
                <c:pt idx="151">
                  <c:v>0.30486745113598024</c:v>
                </c:pt>
                <c:pt idx="152">
                  <c:v>0.30625425876071299</c:v>
                </c:pt>
                <c:pt idx="153">
                  <c:v>0.30765052726583031</c:v>
                </c:pt>
                <c:pt idx="154">
                  <c:v>0.30905626283760013</c:v>
                </c:pt>
                <c:pt idx="155">
                  <c:v>0.31047147170629963</c:v>
                </c:pt>
                <c:pt idx="156">
                  <c:v>0.31189616014628563</c:v>
                </c:pt>
                <c:pt idx="157">
                  <c:v>0.31333033447606468</c:v>
                </c:pt>
                <c:pt idx="158">
                  <c:v>0.31477400105836362</c:v>
                </c:pt>
                <c:pt idx="159">
                  <c:v>0.31622716630020165</c:v>
                </c:pt>
                <c:pt idx="160">
                  <c:v>0.31768983665296141</c:v>
                </c:pt>
                <c:pt idx="161">
                  <c:v>0.31916201861246207</c:v>
                </c:pt>
                <c:pt idx="162">
                  <c:v>0.3206437187190323</c:v>
                </c:pt>
                <c:pt idx="163">
                  <c:v>0.32213494355758332</c:v>
                </c:pt>
                <c:pt idx="164">
                  <c:v>0.32363569975768336</c:v>
                </c:pt>
                <c:pt idx="165">
                  <c:v>0.3251459939936322</c:v>
                </c:pt>
                <c:pt idx="166">
                  <c:v>0.32666583298453611</c:v>
                </c:pt>
                <c:pt idx="167">
                  <c:v>0.32819522349438368</c:v>
                </c:pt>
                <c:pt idx="168">
                  <c:v>0.32973417233212243</c:v>
                </c:pt>
                <c:pt idx="169">
                  <c:v>0.33128268635173463</c:v>
                </c:pt>
                <c:pt idx="170">
                  <c:v>0.33284077245231553</c:v>
                </c:pt>
                <c:pt idx="171">
                  <c:v>0.33440843757815086</c:v>
                </c:pt>
                <c:pt idx="172">
                  <c:v>0.33598568871879525</c:v>
                </c:pt>
                <c:pt idx="173">
                  <c:v>0.33757253290915118</c:v>
                </c:pt>
                <c:pt idx="174">
                  <c:v>0.33916897722954875</c:v>
                </c:pt>
                <c:pt idx="175">
                  <c:v>0.34077502880582544</c:v>
                </c:pt>
                <c:pt idx="176">
                  <c:v>0.34239069480940676</c:v>
                </c:pt>
                <c:pt idx="177">
                  <c:v>0.34401598245738785</c:v>
                </c:pt>
                <c:pt idx="178">
                  <c:v>0.34565089901261487</c:v>
                </c:pt>
                <c:pt idx="179">
                  <c:v>0.34729545178376736</c:v>
                </c:pt>
                <c:pt idx="180">
                  <c:v>0.34894964812544138</c:v>
                </c:pt>
                <c:pt idx="181">
                  <c:v>0.35061349543823245</c:v>
                </c:pt>
                <c:pt idx="182">
                  <c:v>0.35228700116882028</c:v>
                </c:pt>
                <c:pt idx="183">
                  <c:v>0.35397017281005283</c:v>
                </c:pt>
                <c:pt idx="184">
                  <c:v>0.35566301790103166</c:v>
                </c:pt>
                <c:pt idx="185">
                  <c:v>0.35736554402719756</c:v>
                </c:pt>
                <c:pt idx="186">
                  <c:v>0.35907775882041704</c:v>
                </c:pt>
                <c:pt idx="187">
                  <c:v>0.3607996699590692</c:v>
                </c:pt>
                <c:pt idx="188">
                  <c:v>0.36253128516813304</c:v>
                </c:pt>
                <c:pt idx="189">
                  <c:v>0.36427261221927554</c:v>
                </c:pt>
                <c:pt idx="190">
                  <c:v>0.36602365893094058</c:v>
                </c:pt>
                <c:pt idx="191">
                  <c:v>0.36778443316843767</c:v>
                </c:pt>
                <c:pt idx="192">
                  <c:v>0.3695549428440324</c:v>
                </c:pt>
                <c:pt idx="193">
                  <c:v>0.37133519591703612</c:v>
                </c:pt>
                <c:pt idx="194">
                  <c:v>0.37312520039389757</c:v>
                </c:pt>
                <c:pt idx="195">
                  <c:v>0.3749249643282937</c:v>
                </c:pt>
                <c:pt idx="196">
                  <c:v>0.37673449582122287</c:v>
                </c:pt>
                <c:pt idx="197">
                  <c:v>0.37855380302109687</c:v>
                </c:pt>
                <c:pt idx="198">
                  <c:v>0.38038289412383419</c:v>
                </c:pt>
                <c:pt idx="199">
                  <c:v>0.38222177737295465</c:v>
                </c:pt>
                <c:pt idx="200">
                  <c:v>0.38407046105967363</c:v>
                </c:pt>
              </c:numCache>
            </c:numRef>
          </c:val>
          <c:smooth val="0"/>
          <c:extLst>
            <c:ext xmlns:c16="http://schemas.microsoft.com/office/drawing/2014/chart" uri="{C3380CC4-5D6E-409C-BE32-E72D297353CC}">
              <c16:uniqueId val="{00000001-7890-472B-AAE1-D1CB0E55BFDF}"/>
            </c:ext>
          </c:extLst>
        </c:ser>
        <c:ser>
          <c:idx val="2"/>
          <c:order val="2"/>
          <c:tx>
            <c:v> High-Side MOSFET Loss</c:v>
          </c:tx>
          <c:spPr>
            <a:ln w="38100">
              <a:solidFill>
                <a:srgbClr val="808000"/>
              </a:solidFill>
              <a:prstDash val="sysDash"/>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Calculations'!$AC$9:$AC$209</c:f>
              <c:numCache>
                <c:formatCode>0.0000</c:formatCode>
                <c:ptCount val="201"/>
                <c:pt idx="0">
                  <c:v>3.9764993263699672E-2</c:v>
                </c:pt>
                <c:pt idx="1">
                  <c:v>4.0644021418050173E-2</c:v>
                </c:pt>
                <c:pt idx="2">
                  <c:v>4.1525364679928595E-2</c:v>
                </c:pt>
                <c:pt idx="3">
                  <c:v>4.2409024717459907E-2</c:v>
                </c:pt>
                <c:pt idx="4">
                  <c:v>4.7982636799794136E-2</c:v>
                </c:pt>
                <c:pt idx="5">
                  <c:v>5.4186399498423653E-2</c:v>
                </c:pt>
                <c:pt idx="6">
                  <c:v>6.0392513169108555E-2</c:v>
                </c:pt>
                <c:pt idx="7">
                  <c:v>6.6600986836069173E-2</c:v>
                </c:pt>
                <c:pt idx="8">
                  <c:v>7.2811829532345607E-2</c:v>
                </c:pt>
                <c:pt idx="9">
                  <c:v>7.9025050299841762E-2</c:v>
                </c:pt>
                <c:pt idx="10">
                  <c:v>8.5240658189369281E-2</c:v>
                </c:pt>
                <c:pt idx="11">
                  <c:v>9.1458662260691229E-2</c:v>
                </c:pt>
                <c:pt idx="12">
                  <c:v>9.7679071582566099E-2</c:v>
                </c:pt>
                <c:pt idx="13">
                  <c:v>0.10390189523279209</c:v>
                </c:pt>
                <c:pt idx="14">
                  <c:v>0.1101271422982511</c:v>
                </c:pt>
                <c:pt idx="15">
                  <c:v>0.11635482187495289</c:v>
                </c:pt>
                <c:pt idx="16">
                  <c:v>0.12258494306807971</c:v>
                </c:pt>
                <c:pt idx="17">
                  <c:v>0.12881751499203031</c:v>
                </c:pt>
                <c:pt idx="18">
                  <c:v>0.1350525467704646</c:v>
                </c:pt>
                <c:pt idx="19">
                  <c:v>0.14129004753634819</c:v>
                </c:pt>
                <c:pt idx="20">
                  <c:v>0.1475300264319972</c:v>
                </c:pt>
                <c:pt idx="21">
                  <c:v>0.15377249260912257</c:v>
                </c:pt>
                <c:pt idx="22">
                  <c:v>0.16001745522887537</c:v>
                </c:pt>
                <c:pt idx="23">
                  <c:v>0.16626492346189117</c:v>
                </c:pt>
                <c:pt idx="24">
                  <c:v>0.17251490648833553</c:v>
                </c:pt>
                <c:pt idx="25">
                  <c:v>0.17876741349794859</c:v>
                </c:pt>
                <c:pt idx="26">
                  <c:v>0.18502245369009074</c:v>
                </c:pt>
                <c:pt idx="27">
                  <c:v>0.19128003627378731</c:v>
                </c:pt>
                <c:pt idx="28">
                  <c:v>0.19754017046777422</c:v>
                </c:pt>
                <c:pt idx="29">
                  <c:v>0.20380286550054327</c:v>
                </c:pt>
                <c:pt idx="30">
                  <c:v>0.2100681306103877</c:v>
                </c:pt>
                <c:pt idx="31">
                  <c:v>0.21322266559300646</c:v>
                </c:pt>
                <c:pt idx="32">
                  <c:v>0.21554725811647388</c:v>
                </c:pt>
                <c:pt idx="33">
                  <c:v>0.21787432881239469</c:v>
                </c:pt>
                <c:pt idx="34">
                  <c:v>0.22020388148281525</c:v>
                </c:pt>
                <c:pt idx="35">
                  <c:v>0.2225359199377249</c:v>
                </c:pt>
                <c:pt idx="36">
                  <c:v>0.22487044799507661</c:v>
                </c:pt>
                <c:pt idx="37">
                  <c:v>0.22720746948080731</c:v>
                </c:pt>
                <c:pt idx="38">
                  <c:v>0.2295469882288585</c:v>
                </c:pt>
                <c:pt idx="39">
                  <c:v>0.23188900808119683</c:v>
                </c:pt>
                <c:pt idx="40">
                  <c:v>0.23423353288783508</c:v>
                </c:pt>
                <c:pt idx="41">
                  <c:v>0.23658056650685225</c:v>
                </c:pt>
                <c:pt idx="42">
                  <c:v>0.23893011280441534</c:v>
                </c:pt>
                <c:pt idx="43">
                  <c:v>0.24128217565479931</c:v>
                </c:pt>
                <c:pt idx="44">
                  <c:v>0.2436367589404087</c:v>
                </c:pt>
                <c:pt idx="45">
                  <c:v>0.24599386655179817</c:v>
                </c:pt>
                <c:pt idx="46">
                  <c:v>0.24835350238769405</c:v>
                </c:pt>
                <c:pt idx="47">
                  <c:v>0.25071567035501496</c:v>
                </c:pt>
                <c:pt idx="48">
                  <c:v>0.25308037436889358</c:v>
                </c:pt>
                <c:pt idx="49">
                  <c:v>0.25544761835269753</c:v>
                </c:pt>
                <c:pt idx="50">
                  <c:v>0.25781740623805088</c:v>
                </c:pt>
                <c:pt idx="51">
                  <c:v>0.26018974196485556</c:v>
                </c:pt>
                <c:pt idx="52">
                  <c:v>0.26256462948131287</c:v>
                </c:pt>
                <c:pt idx="53">
                  <c:v>0.26494207274394493</c:v>
                </c:pt>
                <c:pt idx="54">
                  <c:v>0.26732207571761646</c:v>
                </c:pt>
                <c:pt idx="55">
                  <c:v>0.26970464237555625</c:v>
                </c:pt>
                <c:pt idx="56">
                  <c:v>0.27208977669937923</c:v>
                </c:pt>
                <c:pt idx="57">
                  <c:v>0.27447748267910799</c:v>
                </c:pt>
                <c:pt idx="58">
                  <c:v>0.27686776431319482</c:v>
                </c:pt>
                <c:pt idx="59">
                  <c:v>0.27926062560854387</c:v>
                </c:pt>
                <c:pt idx="60">
                  <c:v>0.2816560705805326</c:v>
                </c:pt>
                <c:pt idx="61">
                  <c:v>0.28405410325303465</c:v>
                </c:pt>
                <c:pt idx="62">
                  <c:v>0.28645472765844132</c:v>
                </c:pt>
                <c:pt idx="63">
                  <c:v>0.28885794783768431</c:v>
                </c:pt>
                <c:pt idx="64">
                  <c:v>0.29126376784025787</c:v>
                </c:pt>
                <c:pt idx="65">
                  <c:v>0.29367219172424108</c:v>
                </c:pt>
                <c:pt idx="66">
                  <c:v>0.29608322355632039</c:v>
                </c:pt>
                <c:pt idx="67">
                  <c:v>0.29849686741181219</c:v>
                </c:pt>
                <c:pt idx="68">
                  <c:v>0.30091312737468551</c:v>
                </c:pt>
                <c:pt idx="69">
                  <c:v>0.30333200753758427</c:v>
                </c:pt>
                <c:pt idx="70">
                  <c:v>0.30575351200185058</c:v>
                </c:pt>
                <c:pt idx="71">
                  <c:v>0.30817764487754723</c:v>
                </c:pt>
                <c:pt idx="72">
                  <c:v>0.31060441028348063</c:v>
                </c:pt>
                <c:pt idx="73">
                  <c:v>0.31303381234722355</c:v>
                </c:pt>
                <c:pt idx="74">
                  <c:v>0.31546585520513881</c:v>
                </c:pt>
                <c:pt idx="75">
                  <c:v>0.31790054300240184</c:v>
                </c:pt>
                <c:pt idx="76">
                  <c:v>0.32033787989302376</c:v>
                </c:pt>
                <c:pt idx="77">
                  <c:v>0.32277787003987507</c:v>
                </c:pt>
                <c:pt idx="78">
                  <c:v>0.32522051761470872</c:v>
                </c:pt>
                <c:pt idx="79">
                  <c:v>0.32766582679818379</c:v>
                </c:pt>
                <c:pt idx="80">
                  <c:v>0.33011380177988842</c:v>
                </c:pt>
                <c:pt idx="81">
                  <c:v>0.33256444675836383</c:v>
                </c:pt>
                <c:pt idx="82">
                  <c:v>0.33501776594112798</c:v>
                </c:pt>
                <c:pt idx="83">
                  <c:v>0.33747376354469888</c:v>
                </c:pt>
                <c:pt idx="84">
                  <c:v>0.33993244379461895</c:v>
                </c:pt>
                <c:pt idx="85">
                  <c:v>0.34239381092547805</c:v>
                </c:pt>
                <c:pt idx="86">
                  <c:v>0.3448578691809383</c:v>
                </c:pt>
                <c:pt idx="87">
                  <c:v>0.34732462281375759</c:v>
                </c:pt>
                <c:pt idx="88">
                  <c:v>0.3497940760858137</c:v>
                </c:pt>
                <c:pt idx="89">
                  <c:v>0.35226623326812884</c:v>
                </c:pt>
                <c:pt idx="90">
                  <c:v>0.3547410986408932</c:v>
                </c:pt>
                <c:pt idx="91">
                  <c:v>0.35721867649348976</c:v>
                </c:pt>
                <c:pt idx="92">
                  <c:v>0.35969897112451882</c:v>
                </c:pt>
                <c:pt idx="93">
                  <c:v>0.36218198684182207</c:v>
                </c:pt>
                <c:pt idx="94">
                  <c:v>0.36466772796250752</c:v>
                </c:pt>
                <c:pt idx="95">
                  <c:v>0.36715619881297362</c:v>
                </c:pt>
                <c:pt idx="96">
                  <c:v>0.36964740372893456</c:v>
                </c:pt>
                <c:pt idx="97">
                  <c:v>0.37214134705544494</c:v>
                </c:pt>
                <c:pt idx="98">
                  <c:v>0.37463803314692423</c:v>
                </c:pt>
                <c:pt idx="99">
                  <c:v>0.37713746636718198</c:v>
                </c:pt>
                <c:pt idx="100">
                  <c:v>0.37963965108944331</c:v>
                </c:pt>
                <c:pt idx="101">
                  <c:v>0.3821445916963731</c:v>
                </c:pt>
                <c:pt idx="102">
                  <c:v>0.38465229258010214</c:v>
                </c:pt>
                <c:pt idx="103">
                  <c:v>0.3871627581422516</c:v>
                </c:pt>
                <c:pt idx="104">
                  <c:v>0.38967599279395893</c:v>
                </c:pt>
                <c:pt idx="105">
                  <c:v>0.39219200095590318</c:v>
                </c:pt>
                <c:pt idx="106">
                  <c:v>0.3947107870583304</c:v>
                </c:pt>
                <c:pt idx="107">
                  <c:v>0.39723235554107916</c:v>
                </c:pt>
                <c:pt idx="108">
                  <c:v>0.39975671085360681</c:v>
                </c:pt>
                <c:pt idx="109">
                  <c:v>0.40228385745501449</c:v>
                </c:pt>
                <c:pt idx="110">
                  <c:v>0.40481379981407362</c:v>
                </c:pt>
                <c:pt idx="111">
                  <c:v>0.40734654240925122</c:v>
                </c:pt>
                <c:pt idx="112">
                  <c:v>0.40988208972873669</c:v>
                </c:pt>
                <c:pt idx="113">
                  <c:v>0.41242044627046709</c:v>
                </c:pt>
                <c:pt idx="114">
                  <c:v>0.4149616165421543</c:v>
                </c:pt>
                <c:pt idx="115">
                  <c:v>0.41750560506131018</c:v>
                </c:pt>
                <c:pt idx="116">
                  <c:v>0.42005241635527396</c:v>
                </c:pt>
                <c:pt idx="117">
                  <c:v>0.42260205496123826</c:v>
                </c:pt>
                <c:pt idx="118">
                  <c:v>0.42515452542627524</c:v>
                </c:pt>
                <c:pt idx="119">
                  <c:v>0.42770983230736387</c:v>
                </c:pt>
                <c:pt idx="120">
                  <c:v>0.43026798017141638</c:v>
                </c:pt>
                <c:pt idx="121">
                  <c:v>0.4328289735953052</c:v>
                </c:pt>
                <c:pt idx="122">
                  <c:v>0.43539281716588935</c:v>
                </c:pt>
                <c:pt idx="123">
                  <c:v>0.43795951548004214</c:v>
                </c:pt>
                <c:pt idx="124">
                  <c:v>0.44052907314467754</c:v>
                </c:pt>
                <c:pt idx="125">
                  <c:v>0.44310149477677802</c:v>
                </c:pt>
                <c:pt idx="126">
                  <c:v>0.44567678500342101</c:v>
                </c:pt>
                <c:pt idx="127">
                  <c:v>0.44825494846180702</c:v>
                </c:pt>
                <c:pt idx="128">
                  <c:v>0.45083598979928657</c:v>
                </c:pt>
                <c:pt idx="129">
                  <c:v>0.4534199136733878</c:v>
                </c:pt>
                <c:pt idx="130">
                  <c:v>0.45600672475184389</c:v>
                </c:pt>
                <c:pt idx="131">
                  <c:v>0.45859642771262138</c:v>
                </c:pt>
                <c:pt idx="132">
                  <c:v>0.46118902724394711</c:v>
                </c:pt>
                <c:pt idx="133">
                  <c:v>0.46378452804433667</c:v>
                </c:pt>
                <c:pt idx="134">
                  <c:v>0.46638293482262239</c:v>
                </c:pt>
                <c:pt idx="135">
                  <c:v>0.46898425229798069</c:v>
                </c:pt>
                <c:pt idx="136">
                  <c:v>0.47158848519996122</c:v>
                </c:pt>
                <c:pt idx="137">
                  <c:v>0.47419563826851435</c:v>
                </c:pt>
                <c:pt idx="138">
                  <c:v>0.47680571625401985</c:v>
                </c:pt>
                <c:pt idx="139">
                  <c:v>0.47941872391731533</c:v>
                </c:pt>
                <c:pt idx="140">
                  <c:v>0.48203466602972433</c:v>
                </c:pt>
                <c:pt idx="141">
                  <c:v>0.48465354737308569</c:v>
                </c:pt>
                <c:pt idx="142">
                  <c:v>0.48727537273978172</c:v>
                </c:pt>
                <c:pt idx="143">
                  <c:v>0.48990014693276696</c:v>
                </c:pt>
                <c:pt idx="144">
                  <c:v>0.49252787476559734</c:v>
                </c:pt>
                <c:pt idx="145">
                  <c:v>0.49515856106245887</c:v>
                </c:pt>
                <c:pt idx="146">
                  <c:v>0.4977922106581974</c:v>
                </c:pt>
                <c:pt idx="147">
                  <c:v>0.50042882839834701</c:v>
                </c:pt>
                <c:pt idx="148">
                  <c:v>0.50306841913915945</c:v>
                </c:pt>
                <c:pt idx="149">
                  <c:v>0.50571098774763434</c:v>
                </c:pt>
                <c:pt idx="150">
                  <c:v>0.50835653910154721</c:v>
                </c:pt>
                <c:pt idx="151">
                  <c:v>0.51100507808948037</c:v>
                </c:pt>
                <c:pt idx="152">
                  <c:v>0.51365660961085191</c:v>
                </c:pt>
                <c:pt idx="153">
                  <c:v>0.51631113857594557</c:v>
                </c:pt>
                <c:pt idx="154">
                  <c:v>0.51896866990594104</c:v>
                </c:pt>
                <c:pt idx="155">
                  <c:v>0.52162920853294292</c:v>
                </c:pt>
                <c:pt idx="156">
                  <c:v>0.52429275940001208</c:v>
                </c:pt>
                <c:pt idx="157">
                  <c:v>0.526959327461195</c:v>
                </c:pt>
                <c:pt idx="158">
                  <c:v>0.52962891768155385</c:v>
                </c:pt>
                <c:pt idx="159">
                  <c:v>0.53230153503719779</c:v>
                </c:pt>
                <c:pt idx="160">
                  <c:v>0.53497718451531251</c:v>
                </c:pt>
                <c:pt idx="161">
                  <c:v>0.53765587111419111</c:v>
                </c:pt>
                <c:pt idx="162">
                  <c:v>0.54033759984326546</c:v>
                </c:pt>
                <c:pt idx="163">
                  <c:v>0.54302237572313539</c:v>
                </c:pt>
                <c:pt idx="164">
                  <c:v>0.54571020378560153</c:v>
                </c:pt>
                <c:pt idx="165">
                  <c:v>0.54840108907369478</c:v>
                </c:pt>
                <c:pt idx="166">
                  <c:v>0.55109503664170811</c:v>
                </c:pt>
                <c:pt idx="167">
                  <c:v>0.55379205155522693</c:v>
                </c:pt>
                <c:pt idx="168">
                  <c:v>0.556492138891162</c:v>
                </c:pt>
                <c:pt idx="169">
                  <c:v>0.55919530373777937</c:v>
                </c:pt>
                <c:pt idx="170">
                  <c:v>0.56190155119473217</c:v>
                </c:pt>
                <c:pt idx="171">
                  <c:v>0.56461088637309298</c:v>
                </c:pt>
                <c:pt idx="172">
                  <c:v>0.56732331439538419</c:v>
                </c:pt>
                <c:pt idx="173">
                  <c:v>0.57003884039561126</c:v>
                </c:pt>
                <c:pt idx="174">
                  <c:v>0.57275746951929385</c:v>
                </c:pt>
                <c:pt idx="175">
                  <c:v>0.57547920692349774</c:v>
                </c:pt>
                <c:pt idx="176">
                  <c:v>0.57820405777686779</c:v>
                </c:pt>
                <c:pt idx="177">
                  <c:v>0.58093202725965887</c:v>
                </c:pt>
                <c:pt idx="178">
                  <c:v>0.58366312056376979</c:v>
                </c:pt>
                <c:pt idx="179">
                  <c:v>0.58639734289277445</c:v>
                </c:pt>
                <c:pt idx="180">
                  <c:v>0.58913469946195518</c:v>
                </c:pt>
                <c:pt idx="181">
                  <c:v>0.59187519549833534</c:v>
                </c:pt>
                <c:pt idx="182">
                  <c:v>0.59461883624071132</c:v>
                </c:pt>
                <c:pt idx="183">
                  <c:v>0.59736562693968698</c:v>
                </c:pt>
                <c:pt idx="184">
                  <c:v>0.60011557285770512</c:v>
                </c:pt>
                <c:pt idx="185">
                  <c:v>0.60286867926908172</c:v>
                </c:pt>
                <c:pt idx="186">
                  <c:v>0.60562495146003847</c:v>
                </c:pt>
                <c:pt idx="187">
                  <c:v>0.60838439472873662</c:v>
                </c:pt>
                <c:pt idx="188">
                  <c:v>0.61114701438530994</c:v>
                </c:pt>
                <c:pt idx="189">
                  <c:v>0.61391281575189904</c:v>
                </c:pt>
                <c:pt idx="190">
                  <c:v>0.61668180416268426</c:v>
                </c:pt>
                <c:pt idx="191">
                  <c:v>0.61945398496392023</c:v>
                </c:pt>
                <c:pt idx="192">
                  <c:v>0.62222936351396896</c:v>
                </c:pt>
                <c:pt idx="193">
                  <c:v>0.62500794518333469</c:v>
                </c:pt>
                <c:pt idx="194">
                  <c:v>0.62778973535469751</c:v>
                </c:pt>
                <c:pt idx="195">
                  <c:v>0.63057473942294762</c:v>
                </c:pt>
                <c:pt idx="196">
                  <c:v>0.63336296279522075</c:v>
                </c:pt>
                <c:pt idx="197">
                  <c:v>0.63615441089093083</c:v>
                </c:pt>
                <c:pt idx="198">
                  <c:v>0.63894908914180615</c:v>
                </c:pt>
                <c:pt idx="199">
                  <c:v>0.64174700299192322</c:v>
                </c:pt>
                <c:pt idx="200">
                  <c:v>0.64454815789774256</c:v>
                </c:pt>
              </c:numCache>
            </c:numRef>
          </c:val>
          <c:smooth val="0"/>
          <c:extLst>
            <c:ext xmlns:c16="http://schemas.microsoft.com/office/drawing/2014/chart" uri="{C3380CC4-5D6E-409C-BE32-E72D297353CC}">
              <c16:uniqueId val="{00000002-7890-472B-AAE1-D1CB0E55BFDF}"/>
            </c:ext>
          </c:extLst>
        </c:ser>
        <c:ser>
          <c:idx val="1"/>
          <c:order val="3"/>
          <c:tx>
            <c:v> Low-Side MOSFET Loss</c:v>
          </c:tx>
          <c:spPr>
            <a:ln w="38100">
              <a:solidFill>
                <a:srgbClr val="002060"/>
              </a:solidFill>
              <a:prstDash val="sysDot"/>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Calculations'!$AG$9:$AG$209</c:f>
              <c:numCache>
                <c:formatCode>0.0000</c:formatCode>
                <c:ptCount val="201"/>
                <c:pt idx="0">
                  <c:v>7.8035618078333129E-3</c:v>
                </c:pt>
                <c:pt idx="1">
                  <c:v>8.0244439151637582E-3</c:v>
                </c:pt>
                <c:pt idx="2">
                  <c:v>8.2538472207503225E-3</c:v>
                </c:pt>
                <c:pt idx="3">
                  <c:v>8.4917725150906367E-3</c:v>
                </c:pt>
                <c:pt idx="4">
                  <c:v>8.7382206755998622E-3</c:v>
                </c:pt>
                <c:pt idx="5">
                  <c:v>8.9931926666198519E-3</c:v>
                </c:pt>
                <c:pt idx="6">
                  <c:v>9.2566895394306167E-3</c:v>
                </c:pt>
                <c:pt idx="7">
                  <c:v>9.528712432263893E-3</c:v>
                </c:pt>
                <c:pt idx="8">
                  <c:v>9.809262570319003E-3</c:v>
                </c:pt>
                <c:pt idx="9">
                  <c:v>1.0098341265780948E-2</c:v>
                </c:pt>
                <c:pt idx="10">
                  <c:v>1.0395949917840638E-2</c:v>
                </c:pt>
                <c:pt idx="11">
                  <c:v>1.0702090012717437E-2</c:v>
                </c:pt>
                <c:pt idx="12">
                  <c:v>1.1016763123683857E-2</c:v>
                </c:pt>
                <c:pt idx="13">
                  <c:v>1.1339970911092496E-2</c:v>
                </c:pt>
                <c:pt idx="14">
                  <c:v>1.1671715122405205E-2</c:v>
                </c:pt>
                <c:pt idx="15">
                  <c:v>1.2011997592224483E-2</c:v>
                </c:pt>
                <c:pt idx="16">
                  <c:v>1.2360820242327064E-2</c:v>
                </c:pt>
                <c:pt idx="17">
                  <c:v>1.2718185081699774E-2</c:v>
                </c:pt>
                <c:pt idx="18">
                  <c:v>1.308409420657757E-2</c:v>
                </c:pt>
                <c:pt idx="19">
                  <c:v>1.3458549800483836E-2</c:v>
                </c:pt>
                <c:pt idx="20">
                  <c:v>1.3841554134272901E-2</c:v>
                </c:pt>
                <c:pt idx="21">
                  <c:v>1.4233109566174787E-2</c:v>
                </c:pt>
                <c:pt idx="22">
                  <c:v>1.4633218541842196E-2</c:v>
                </c:pt>
                <c:pt idx="23">
                  <c:v>1.5041883594399718E-2</c:v>
                </c:pt>
                <c:pt idx="24">
                  <c:v>1.5459107344495291E-2</c:v>
                </c:pt>
                <c:pt idx="25">
                  <c:v>1.5884892500353905E-2</c:v>
                </c:pt>
                <c:pt idx="26">
                  <c:v>1.6319241857833511E-2</c:v>
                </c:pt>
                <c:pt idx="27">
                  <c:v>1.6762158300483231E-2</c:v>
                </c:pt>
                <c:pt idx="28">
                  <c:v>1.7213644799603758E-2</c:v>
                </c:pt>
                <c:pt idx="29">
                  <c:v>1.7673704414310046E-2</c:v>
                </c:pt>
                <c:pt idx="30">
                  <c:v>1.8142340291596244E-2</c:v>
                </c:pt>
                <c:pt idx="31">
                  <c:v>1.8789836983995924E-2</c:v>
                </c:pt>
                <c:pt idx="32">
                  <c:v>1.9491466575135386E-2</c:v>
                </c:pt>
                <c:pt idx="33">
                  <c:v>2.0201706571142172E-2</c:v>
                </c:pt>
                <c:pt idx="34">
                  <c:v>2.0920561576193337E-2</c:v>
                </c:pt>
                <c:pt idx="35">
                  <c:v>2.1648036283132804E-2</c:v>
                </c:pt>
                <c:pt idx="36">
                  <c:v>2.2384135473568781E-2</c:v>
                </c:pt>
                <c:pt idx="37">
                  <c:v>2.3128864017973389E-2</c:v>
                </c:pt>
                <c:pt idx="38">
                  <c:v>2.3882226875784712E-2</c:v>
                </c:pt>
                <c:pt idx="39">
                  <c:v>2.4644229095510988E-2</c:v>
                </c:pt>
                <c:pt idx="40">
                  <c:v>2.5414875814837284E-2</c:v>
                </c:pt>
                <c:pt idx="41">
                  <c:v>2.6194172260734255E-2</c:v>
                </c:pt>
                <c:pt idx="42">
                  <c:v>2.6982123749569469E-2</c:v>
                </c:pt>
                <c:pt idx="43">
                  <c:v>2.7778735687220817E-2</c:v>
                </c:pt>
                <c:pt idx="44">
                  <c:v>2.8584013569192414E-2</c:v>
                </c:pt>
                <c:pt idx="45">
                  <c:v>2.9397962980732703E-2</c:v>
                </c:pt>
                <c:pt idx="46">
                  <c:v>3.0220589596954985E-2</c:v>
                </c:pt>
                <c:pt idx="47">
                  <c:v>3.1051899182960228E-2</c:v>
                </c:pt>
                <c:pt idx="48">
                  <c:v>3.1891897593962257E-2</c:v>
                </c:pt>
                <c:pt idx="49">
                  <c:v>3.2740590775415239E-2</c:v>
                </c:pt>
                <c:pt idx="50">
                  <c:v>3.3597984763143553E-2</c:v>
                </c:pt>
                <c:pt idx="51">
                  <c:v>3.4464085683474061E-2</c:v>
                </c:pt>
                <c:pt idx="52">
                  <c:v>3.5338899753370658E-2</c:v>
                </c:pt>
                <c:pt idx="53">
                  <c:v>3.6222433280571238E-2</c:v>
                </c:pt>
                <c:pt idx="54">
                  <c:v>3.7114692663727071E-2</c:v>
                </c:pt>
                <c:pt idx="55">
                  <c:v>3.801568439254447E-2</c:v>
                </c:pt>
                <c:pt idx="56">
                  <c:v>3.892541504792895E-2</c:v>
                </c:pt>
                <c:pt idx="57">
                  <c:v>3.9843891302131715E-2</c:v>
                </c:pt>
                <c:pt idx="58">
                  <c:v>4.0771119918898542E-2</c:v>
                </c:pt>
                <c:pt idx="59">
                  <c:v>4.1707107753621166E-2</c:v>
                </c:pt>
                <c:pt idx="60">
                  <c:v>4.2651861753490915E-2</c:v>
                </c:pt>
                <c:pt idx="61">
                  <c:v>4.3605388957654971E-2</c:v>
                </c:pt>
                <c:pt idx="62">
                  <c:v>4.4567696497374854E-2</c:v>
                </c:pt>
                <c:pt idx="63">
                  <c:v>4.553879159618749E-2</c:v>
                </c:pt>
                <c:pt idx="64">
                  <c:v>4.6518681570068693E-2</c:v>
                </c:pt>
                <c:pt idx="65">
                  <c:v>4.7507373827599036E-2</c:v>
                </c:pt>
                <c:pt idx="66">
                  <c:v>4.8504875870132219E-2</c:v>
                </c:pt>
                <c:pt idx="67">
                  <c:v>4.9511195291966001E-2</c:v>
                </c:pt>
                <c:pt idx="68">
                  <c:v>5.0526339780515322E-2</c:v>
                </c:pt>
                <c:pt idx="69">
                  <c:v>5.155031711648831E-2</c:v>
                </c:pt>
                <c:pt idx="70">
                  <c:v>5.2583135174064405E-2</c:v>
                </c:pt>
                <c:pt idx="71">
                  <c:v>5.3624801921075216E-2</c:v>
                </c:pt>
                <c:pt idx="72">
                  <c:v>5.4675325419187772E-2</c:v>
                </c:pt>
                <c:pt idx="73">
                  <c:v>5.5734713824090308E-2</c:v>
                </c:pt>
                <c:pt idx="74">
                  <c:v>5.6802975385680625E-2</c:v>
                </c:pt>
                <c:pt idx="75">
                  <c:v>5.7880118448256947E-2</c:v>
                </c:pt>
                <c:pt idx="76">
                  <c:v>5.8966151450711254E-2</c:v>
                </c:pt>
                <c:pt idx="77">
                  <c:v>6.006108292672524E-2</c:v>
                </c:pt>
                <c:pt idx="78">
                  <c:v>6.1164921504968862E-2</c:v>
                </c:pt>
                <c:pt idx="79">
                  <c:v>6.2277675909301354E-2</c:v>
                </c:pt>
                <c:pt idx="80">
                  <c:v>6.3399354958974877E-2</c:v>
                </c:pt>
                <c:pt idx="81">
                  <c:v>6.4529967568840732E-2</c:v>
                </c:pt>
                <c:pt idx="82">
                  <c:v>6.5669522749558187E-2</c:v>
                </c:pt>
                <c:pt idx="83">
                  <c:v>6.6818029607805945E-2</c:v>
                </c:pt>
                <c:pt idx="84">
                  <c:v>6.7975497346496147E-2</c:v>
                </c:pt>
                <c:pt idx="85">
                  <c:v>6.9141935264990934E-2</c:v>
                </c:pt>
                <c:pt idx="86">
                  <c:v>7.0317352759321966E-2</c:v>
                </c:pt>
                <c:pt idx="87">
                  <c:v>7.1501759322412151E-2</c:v>
                </c:pt>
                <c:pt idx="88">
                  <c:v>7.2695164544300389E-2</c:v>
                </c:pt>
                <c:pt idx="89">
                  <c:v>7.3897578112368675E-2</c:v>
                </c:pt>
                <c:pt idx="90">
                  <c:v>7.5109009811572244E-2</c:v>
                </c:pt>
                <c:pt idx="91">
                  <c:v>7.632946952467197E-2</c:v>
                </c:pt>
                <c:pt idx="92">
                  <c:v>7.7558967232469925E-2</c:v>
                </c:pt>
                <c:pt idx="93">
                  <c:v>7.8797513014047152E-2</c:v>
                </c:pt>
                <c:pt idx="94">
                  <c:v>8.0045117047004608E-2</c:v>
                </c:pt>
                <c:pt idx="95">
                  <c:v>8.1301789607706509E-2</c:v>
                </c:pt>
                <c:pt idx="96">
                  <c:v>8.2567541071526737E-2</c:v>
                </c:pt>
                <c:pt idx="97">
                  <c:v>8.3842381913097536E-2</c:v>
                </c:pt>
                <c:pt idx="98">
                  <c:v>8.512632270656148E-2</c:v>
                </c:pt>
                <c:pt idx="99">
                  <c:v>8.6419374125825954E-2</c:v>
                </c:pt>
                <c:pt idx="100">
                  <c:v>8.7721546944820386E-2</c:v>
                </c:pt>
                <c:pt idx="101">
                  <c:v>8.9032852037756349E-2</c:v>
                </c:pt>
                <c:pt idx="102">
                  <c:v>9.0353300379390641E-2</c:v>
                </c:pt>
                <c:pt idx="103">
                  <c:v>9.1682903045290781E-2</c:v>
                </c:pt>
                <c:pt idx="104">
                  <c:v>9.3021671212103862E-2</c:v>
                </c:pt>
                <c:pt idx="105">
                  <c:v>9.4369616157827768E-2</c:v>
                </c:pt>
                <c:pt idx="106">
                  <c:v>9.5726749262085589E-2</c:v>
                </c:pt>
                <c:pt idx="107">
                  <c:v>9.7093082006402862E-2</c:v>
                </c:pt>
                <c:pt idx="108">
                  <c:v>9.8468625974487481E-2</c:v>
                </c:pt>
                <c:pt idx="109">
                  <c:v>9.9853392852512796E-2</c:v>
                </c:pt>
                <c:pt idx="110">
                  <c:v>0.10124739442940348</c:v>
                </c:pt>
                <c:pt idx="111">
                  <c:v>0.10265064259712436</c:v>
                </c:pt>
                <c:pt idx="112">
                  <c:v>0.10406314935097209</c:v>
                </c:pt>
                <c:pt idx="113">
                  <c:v>0.10548492678987013</c:v>
                </c:pt>
                <c:pt idx="114">
                  <c:v>0.10691598711666619</c:v>
                </c:pt>
                <c:pt idx="115">
                  <c:v>0.108356342638433</c:v>
                </c:pt>
                <c:pt idx="116">
                  <c:v>0.10980600576677214</c:v>
                </c:pt>
                <c:pt idx="117">
                  <c:v>0.11126498901812062</c:v>
                </c:pt>
                <c:pt idx="118">
                  <c:v>0.11273330501406052</c:v>
                </c:pt>
                <c:pt idx="119">
                  <c:v>0.11421096648163205</c:v>
                </c:pt>
                <c:pt idx="120">
                  <c:v>0.11569798625364924</c:v>
                </c:pt>
                <c:pt idx="121">
                  <c:v>0.11719437726901898</c:v>
                </c:pt>
                <c:pt idx="122">
                  <c:v>0.11870015257306279</c:v>
                </c:pt>
                <c:pt idx="123">
                  <c:v>0.12021532531784228</c:v>
                </c:pt>
                <c:pt idx="124">
                  <c:v>0.12173990876248725</c:v>
                </c:pt>
                <c:pt idx="125">
                  <c:v>0.12327391627352706</c:v>
                </c:pt>
                <c:pt idx="126">
                  <c:v>0.12481736132522528</c:v>
                </c:pt>
                <c:pt idx="127">
                  <c:v>0.12637025749991732</c:v>
                </c:pt>
                <c:pt idx="128">
                  <c:v>0.12793261848835147</c:v>
                </c:pt>
                <c:pt idx="129">
                  <c:v>0.12950445809003289</c:v>
                </c:pt>
                <c:pt idx="130">
                  <c:v>0.13108579021357117</c:v>
                </c:pt>
                <c:pt idx="131">
                  <c:v>0.13267662887703058</c:v>
                </c:pt>
                <c:pt idx="132">
                  <c:v>0.13427698820828429</c:v>
                </c:pt>
                <c:pt idx="133">
                  <c:v>0.13588688244537134</c:v>
                </c:pt>
                <c:pt idx="134">
                  <c:v>0.13750632593685694</c:v>
                </c:pt>
                <c:pt idx="135">
                  <c:v>0.13913533314219637</c:v>
                </c:pt>
                <c:pt idx="136">
                  <c:v>0.14077391863210198</c:v>
                </c:pt>
                <c:pt idx="137">
                  <c:v>0.14242209708891362</c:v>
                </c:pt>
                <c:pt idx="138">
                  <c:v>0.14407988330697238</c:v>
                </c:pt>
                <c:pt idx="139">
                  <c:v>0.14574729219299784</c:v>
                </c:pt>
                <c:pt idx="140">
                  <c:v>0.14742433876646827</c:v>
                </c:pt>
                <c:pt idx="141">
                  <c:v>0.14911103816000534</c:v>
                </c:pt>
                <c:pt idx="142">
                  <c:v>0.15080740561976064</c:v>
                </c:pt>
                <c:pt idx="143">
                  <c:v>0.1525134565058073</c:v>
                </c:pt>
                <c:pt idx="144">
                  <c:v>0.15422920629253412</c:v>
                </c:pt>
                <c:pt idx="145">
                  <c:v>0.15595467056904305</c:v>
                </c:pt>
                <c:pt idx="146">
                  <c:v>0.1576898650395514</c:v>
                </c:pt>
                <c:pt idx="147">
                  <c:v>0.15943480552379588</c:v>
                </c:pt>
                <c:pt idx="148">
                  <c:v>0.16118950795744169</c:v>
                </c:pt>
                <c:pt idx="149">
                  <c:v>0.16295398839249442</c:v>
                </c:pt>
                <c:pt idx="150">
                  <c:v>0.16472826299771565</c:v>
                </c:pt>
                <c:pt idx="151">
                  <c:v>0.16651234805904222</c:v>
                </c:pt>
                <c:pt idx="152">
                  <c:v>0.16830625998000948</c:v>
                </c:pt>
                <c:pt idx="153">
                  <c:v>0.17011001528217734</c:v>
                </c:pt>
                <c:pt idx="154">
                  <c:v>0.17192363060556126</c:v>
                </c:pt>
                <c:pt idx="155">
                  <c:v>0.17374712270906559</c:v>
                </c:pt>
                <c:pt idx="156">
                  <c:v>0.17558050847092171</c:v>
                </c:pt>
                <c:pt idx="157">
                  <c:v>0.17742380488912954</c:v>
                </c:pt>
                <c:pt idx="158">
                  <c:v>0.1792770290819026</c:v>
                </c:pt>
                <c:pt idx="159">
                  <c:v>0.18114019828811723</c:v>
                </c:pt>
                <c:pt idx="160">
                  <c:v>0.18301332986776531</c:v>
                </c:pt>
                <c:pt idx="161">
                  <c:v>0.18489644130241126</c:v>
                </c:pt>
                <c:pt idx="162">
                  <c:v>0.18678955019565247</c:v>
                </c:pt>
                <c:pt idx="163">
                  <c:v>0.18869267427358397</c:v>
                </c:pt>
                <c:pt idx="164">
                  <c:v>0.19060583138526654</c:v>
                </c:pt>
                <c:pt idx="165">
                  <c:v>0.19252903950319952</c:v>
                </c:pt>
                <c:pt idx="166">
                  <c:v>0.1944623167237968</c:v>
                </c:pt>
                <c:pt idx="167">
                  <c:v>0.1964056812678672</c:v>
                </c:pt>
                <c:pt idx="168">
                  <c:v>0.19835915148109898</c:v>
                </c:pt>
                <c:pt idx="169">
                  <c:v>0.20032274583454796</c:v>
                </c:pt>
                <c:pt idx="170">
                  <c:v>0.20229648292513028</c:v>
                </c:pt>
                <c:pt idx="171">
                  <c:v>0.20428038147611885</c:v>
                </c:pt>
                <c:pt idx="172">
                  <c:v>0.20627446033764379</c:v>
                </c:pt>
                <c:pt idx="173">
                  <c:v>0.2082787384871975</c:v>
                </c:pt>
                <c:pt idx="174">
                  <c:v>0.2102932350301436</c:v>
                </c:pt>
                <c:pt idx="175">
                  <c:v>0.21231796920022999</c:v>
                </c:pt>
                <c:pt idx="176">
                  <c:v>0.2143529603601064</c:v>
                </c:pt>
                <c:pt idx="177">
                  <c:v>0.21639822800184591</c:v>
                </c:pt>
                <c:pt idx="178">
                  <c:v>0.21845379174747104</c:v>
                </c:pt>
                <c:pt idx="179">
                  <c:v>0.22051967134948408</c:v>
                </c:pt>
                <c:pt idx="180">
                  <c:v>0.22259588669140129</c:v>
                </c:pt>
                <c:pt idx="181">
                  <c:v>0.22468245778829218</c:v>
                </c:pt>
                <c:pt idx="182">
                  <c:v>0.22677940478732289</c:v>
                </c:pt>
                <c:pt idx="183">
                  <c:v>0.22888674796830372</c:v>
                </c:pt>
                <c:pt idx="184">
                  <c:v>0.23100450774424169</c:v>
                </c:pt>
                <c:pt idx="185">
                  <c:v>0.23313270466189678</c:v>
                </c:pt>
                <c:pt idx="186">
                  <c:v>0.23527135940234345</c:v>
                </c:pt>
                <c:pt idx="187">
                  <c:v>0.23742049278153662</c:v>
                </c:pt>
                <c:pt idx="188">
                  <c:v>0.23958012575088153</c:v>
                </c:pt>
                <c:pt idx="189">
                  <c:v>0.24175027939780891</c:v>
                </c:pt>
                <c:pt idx="190">
                  <c:v>0.24393097494635468</c:v>
                </c:pt>
                <c:pt idx="191">
                  <c:v>0.24612223375774384</c:v>
                </c:pt>
                <c:pt idx="192">
                  <c:v>0.2483240773309798</c:v>
                </c:pt>
                <c:pt idx="193">
                  <c:v>0.25053652730343762</c:v>
                </c:pt>
                <c:pt idx="194">
                  <c:v>0.25275960545146298</c:v>
                </c:pt>
                <c:pt idx="195">
                  <c:v>0.25499333369097454</c:v>
                </c:pt>
                <c:pt idx="196">
                  <c:v>0.25723773407807321</c:v>
                </c:pt>
                <c:pt idx="197">
                  <c:v>0.25949282880965402</c:v>
                </c:pt>
                <c:pt idx="198">
                  <c:v>0.26175864022402417</c:v>
                </c:pt>
                <c:pt idx="199">
                  <c:v>0.26403519080152599</c:v>
                </c:pt>
                <c:pt idx="200">
                  <c:v>0.26632250316516476</c:v>
                </c:pt>
              </c:numCache>
            </c:numRef>
          </c:val>
          <c:smooth val="0"/>
          <c:extLst>
            <c:ext xmlns:c16="http://schemas.microsoft.com/office/drawing/2014/chart" uri="{C3380CC4-5D6E-409C-BE32-E72D297353CC}">
              <c16:uniqueId val="{00000003-7890-472B-AAE1-D1CB0E55BFDF}"/>
            </c:ext>
          </c:extLst>
        </c:ser>
        <c:dLbls>
          <c:showLegendKey val="0"/>
          <c:showVal val="0"/>
          <c:showCatName val="0"/>
          <c:showSerName val="0"/>
          <c:showPercent val="0"/>
          <c:showBubbleSize val="0"/>
        </c:dLbls>
        <c:marker val="1"/>
        <c:smooth val="0"/>
        <c:axId val="308586368"/>
        <c:axId val="308584448"/>
      </c:lineChart>
      <c:catAx>
        <c:axId val="308580352"/>
        <c:scaling>
          <c:orientation val="minMax"/>
        </c:scaling>
        <c:delete val="0"/>
        <c:axPos val="b"/>
        <c:majorGridlines>
          <c:spPr>
            <a:ln w="15875">
              <a:solidFill>
                <a:srgbClr val="969696"/>
              </a:solidFill>
              <a:prstDash val="sysDash"/>
            </a:ln>
          </c:spPr>
        </c:majorGridlines>
        <c:minorGridlines/>
        <c:title>
          <c:tx>
            <c:rich>
              <a:bodyPr/>
              <a:lstStyle/>
              <a:p>
                <a:pPr>
                  <a:defRPr sz="1200" b="1" i="0" u="none" strike="noStrike" baseline="0">
                    <a:solidFill>
                      <a:srgbClr val="0000FF"/>
                    </a:solidFill>
                    <a:latin typeface="Arial" pitchFamily="34" charset="0"/>
                    <a:ea typeface="Calibri"/>
                    <a:cs typeface="Arial" pitchFamily="34" charset="0"/>
                  </a:defRPr>
                </a:pPr>
                <a:r>
                  <a:rPr lang="en-US" sz="1200">
                    <a:solidFill>
                      <a:srgbClr val="0000FF"/>
                    </a:solidFill>
                    <a:latin typeface="Arial" pitchFamily="34" charset="0"/>
                    <a:cs typeface="Arial" pitchFamily="34" charset="0"/>
                  </a:rPr>
                  <a:t>Load Current (A)</a:t>
                </a:r>
              </a:p>
            </c:rich>
          </c:tx>
          <c:layout>
            <c:manualLayout>
              <c:xMode val="edge"/>
              <c:yMode val="edge"/>
              <c:x val="0.42471011396394504"/>
              <c:y val="0.93853771636955563"/>
            </c:manualLayout>
          </c:layout>
          <c:overlay val="0"/>
          <c:spPr>
            <a:noFill/>
            <a:ln w="25400">
              <a:noFill/>
            </a:ln>
          </c:spPr>
        </c:title>
        <c:numFmt formatCode="General" sourceLinked="1"/>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308582272"/>
        <c:crosses val="autoZero"/>
        <c:auto val="1"/>
        <c:lblAlgn val="ctr"/>
        <c:lblOffset val="100"/>
        <c:tickLblSkip val="40"/>
        <c:tickMarkSkip val="40"/>
        <c:noMultiLvlLbl val="0"/>
      </c:catAx>
      <c:valAx>
        <c:axId val="308582272"/>
        <c:scaling>
          <c:orientation val="minMax"/>
          <c:max val="100"/>
          <c:min val="65"/>
        </c:scaling>
        <c:delete val="0"/>
        <c:axPos val="l"/>
        <c:majorGridlines>
          <c:spPr>
            <a:ln w="15875">
              <a:solidFill>
                <a:srgbClr val="808080"/>
              </a:solidFill>
              <a:prstDash val="solid"/>
            </a:ln>
          </c:spPr>
        </c:majorGridlines>
        <c:minorGridlines/>
        <c:title>
          <c:tx>
            <c:rich>
              <a:bodyPr/>
              <a:lstStyle/>
              <a:p>
                <a:pPr>
                  <a:defRPr sz="1400" b="1" i="0" u="none" strike="noStrike" baseline="0">
                    <a:solidFill>
                      <a:srgbClr val="FF0000"/>
                    </a:solidFill>
                    <a:latin typeface="Arial" pitchFamily="34" charset="0"/>
                    <a:ea typeface="Calibri"/>
                    <a:cs typeface="Arial" pitchFamily="34" charset="0"/>
                  </a:defRPr>
                </a:pPr>
                <a:r>
                  <a:rPr lang="en-US" sz="1200" b="1">
                    <a:solidFill>
                      <a:srgbClr val="FF0000"/>
                    </a:solidFill>
                    <a:latin typeface="Arial" pitchFamily="34" charset="0"/>
                    <a:cs typeface="Arial" pitchFamily="34" charset="0"/>
                  </a:rPr>
                  <a:t>Efficiency  (%)</a:t>
                </a:r>
              </a:p>
            </c:rich>
          </c:tx>
          <c:layout>
            <c:manualLayout>
              <c:xMode val="edge"/>
              <c:yMode val="edge"/>
              <c:x val="1.2871858674081443E-2"/>
              <c:y val="0.3763817791568830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08580352"/>
        <c:crossesAt val="0"/>
        <c:crossBetween val="between"/>
        <c:majorUnit val="5"/>
        <c:minorUnit val="2.5"/>
      </c:valAx>
      <c:valAx>
        <c:axId val="308584448"/>
        <c:scaling>
          <c:orientation val="minMax"/>
        </c:scaling>
        <c:delete val="0"/>
        <c:axPos val="r"/>
        <c:title>
          <c:tx>
            <c:rich>
              <a:bodyPr rot="-5400000" vert="horz"/>
              <a:lstStyle/>
              <a:p>
                <a:pPr>
                  <a:defRPr sz="1200" b="1"/>
                </a:pPr>
                <a:r>
                  <a:rPr lang="en-US" sz="1200" b="1"/>
                  <a:t>Power Loss (W)</a:t>
                </a:r>
              </a:p>
            </c:rich>
          </c:tx>
          <c:layout>
            <c:manualLayout>
              <c:xMode val="edge"/>
              <c:yMode val="edge"/>
              <c:x val="0.95168474305601269"/>
              <c:y val="0.38117714045368295"/>
            </c:manualLayout>
          </c:layout>
          <c:overlay val="0"/>
        </c:title>
        <c:numFmt formatCode="General" sourceLinked="0"/>
        <c:majorTickMark val="out"/>
        <c:minorTickMark val="none"/>
        <c:tickLblPos val="nextTo"/>
        <c:txPr>
          <a:bodyPr/>
          <a:lstStyle/>
          <a:p>
            <a:pPr>
              <a:defRPr sz="1100" b="1">
                <a:solidFill>
                  <a:sysClr val="windowText" lastClr="000000"/>
                </a:solidFill>
              </a:defRPr>
            </a:pPr>
            <a:endParaRPr lang="en-US"/>
          </a:p>
        </c:txPr>
        <c:crossAx val="308586368"/>
        <c:crosses val="max"/>
        <c:crossBetween val="between"/>
      </c:valAx>
      <c:catAx>
        <c:axId val="308586368"/>
        <c:scaling>
          <c:orientation val="minMax"/>
        </c:scaling>
        <c:delete val="1"/>
        <c:axPos val="b"/>
        <c:numFmt formatCode="General" sourceLinked="1"/>
        <c:majorTickMark val="out"/>
        <c:minorTickMark val="none"/>
        <c:tickLblPos val="nextTo"/>
        <c:crossAx val="308584448"/>
        <c:crosses val="autoZero"/>
        <c:auto val="1"/>
        <c:lblAlgn val="ctr"/>
        <c:lblOffset val="100"/>
        <c:noMultiLvlLbl val="0"/>
      </c:catAx>
      <c:spPr>
        <a:noFill/>
        <a:ln w="25400">
          <a:noFill/>
        </a:ln>
      </c:spPr>
    </c:plotArea>
    <c:legend>
      <c:legendPos val="t"/>
      <c:layout>
        <c:manualLayout>
          <c:xMode val="edge"/>
          <c:yMode val="edge"/>
          <c:x val="0.40102557566231317"/>
          <c:y val="1.1892633038167682E-2"/>
          <c:w val="0.59897442433768688"/>
          <c:h val="8.9795049320617604E-2"/>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paperSize="5"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US"/>
              <a:t>Open Loop Response</a:t>
            </a:r>
          </a:p>
        </c:rich>
      </c:tx>
      <c:layout>
        <c:manualLayout>
          <c:xMode val="edge"/>
          <c:yMode val="edge"/>
          <c:x val="0.39590479517706217"/>
          <c:y val="3.1496062992125991E-2"/>
        </c:manualLayout>
      </c:layout>
      <c:overlay val="0"/>
      <c:spPr>
        <a:noFill/>
        <a:ln w="25400">
          <a:noFill/>
        </a:ln>
      </c:spPr>
    </c:title>
    <c:autoTitleDeleted val="0"/>
    <c:plotArea>
      <c:layout>
        <c:manualLayout>
          <c:layoutTarget val="inner"/>
          <c:xMode val="edge"/>
          <c:yMode val="edge"/>
          <c:x val="0.11262808019484494"/>
          <c:y val="0.20997429147774274"/>
          <c:w val="0.8003419638088306"/>
          <c:h val="0.60105140935503165"/>
        </c:manualLayout>
      </c:layout>
      <c:scatterChart>
        <c:scatterStyle val="smoothMarker"/>
        <c:varyColors val="0"/>
        <c:ser>
          <c:idx val="0"/>
          <c:order val="0"/>
          <c:tx>
            <c:v>Gain</c:v>
          </c:tx>
          <c:spPr>
            <a:ln w="12700">
              <a:solidFill>
                <a:srgbClr val="000000"/>
              </a:solidFill>
              <a:prstDash val="lgDash"/>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Calculations'!$X$9:$X$676</c:f>
              <c:numCache>
                <c:formatCode>General</c:formatCode>
                <c:ptCount val="668"/>
                <c:pt idx="0">
                  <c:v>85.562136797191386</c:v>
                </c:pt>
                <c:pt idx="1">
                  <c:v>79.541539793435646</c:v>
                </c:pt>
                <c:pt idx="2">
                  <c:v>76.0197194615277</c:v>
                </c:pt>
                <c:pt idx="3">
                  <c:v>73.520951518247998</c:v>
                </c:pt>
                <c:pt idx="4">
                  <c:v>71.582759986652121</c:v>
                </c:pt>
                <c:pt idx="5">
                  <c:v>69.99914573394166</c:v>
                </c:pt>
                <c:pt idx="6">
                  <c:v>68.660222549245645</c:v>
                </c:pt>
                <c:pt idx="7">
                  <c:v>67.50039815727925</c:v>
                </c:pt>
                <c:pt idx="8">
                  <c:v>66.477364195586517</c:v>
                </c:pt>
                <c:pt idx="9">
                  <c:v>65.562232811291381</c:v>
                </c:pt>
                <c:pt idx="10">
                  <c:v>59.541923847459309</c:v>
                </c:pt>
                <c:pt idx="11">
                  <c:v>56.020583574170132</c:v>
                </c:pt>
                <c:pt idx="12">
                  <c:v>53.522487696324994</c:v>
                </c:pt>
                <c:pt idx="13">
                  <c:v>51.585160220351952</c:v>
                </c:pt>
                <c:pt idx="14">
                  <c:v>50.002601992080272</c:v>
                </c:pt>
                <c:pt idx="15">
                  <c:v>48.664926774526208</c:v>
                </c:pt>
                <c:pt idx="16">
                  <c:v>47.506542261557342</c:v>
                </c:pt>
                <c:pt idx="17">
                  <c:v>46.485140055141457</c:v>
                </c:pt>
                <c:pt idx="18">
                  <c:v>45.571832262105204</c:v>
                </c:pt>
                <c:pt idx="19">
                  <c:v>39.580297968489738</c:v>
                </c:pt>
                <c:pt idx="20">
                  <c:v>36.106837028170546</c:v>
                </c:pt>
                <c:pt idx="21">
                  <c:v>33.675609170318843</c:v>
                </c:pt>
                <c:pt idx="22">
                  <c:v>31.823979383855505</c:v>
                </c:pt>
                <c:pt idx="23">
                  <c:v>30.345749685032711</c:v>
                </c:pt>
                <c:pt idx="24">
                  <c:v>29.130799185399077</c:v>
                </c:pt>
                <c:pt idx="25">
                  <c:v>28.113269746693994</c:v>
                </c:pt>
                <c:pt idx="26">
                  <c:v>27.250561129021737</c:v>
                </c:pt>
                <c:pt idx="27">
                  <c:v>26.51347316073862</c:v>
                </c:pt>
                <c:pt idx="28">
                  <c:v>24.13614072801186</c:v>
                </c:pt>
                <c:pt idx="29">
                  <c:v>23.176570910568831</c:v>
                </c:pt>
                <c:pt idx="30">
                  <c:v>23.144357914786561</c:v>
                </c:pt>
                <c:pt idx="31">
                  <c:v>23.82968363446329</c:v>
                </c:pt>
                <c:pt idx="32">
                  <c:v>25.143832576250865</c:v>
                </c:pt>
                <c:pt idx="33">
                  <c:v>27.023608638098761</c:v>
                </c:pt>
                <c:pt idx="34">
                  <c:v>29.154955343993883</c:v>
                </c:pt>
                <c:pt idx="35">
                  <c:v>30.222045970140186</c:v>
                </c:pt>
                <c:pt idx="36">
                  <c:v>28.840066759086941</c:v>
                </c:pt>
                <c:pt idx="37">
                  <c:v>26.311738249151229</c:v>
                </c:pt>
                <c:pt idx="38">
                  <c:v>23.913207276582614</c:v>
                </c:pt>
                <c:pt idx="39">
                  <c:v>21.891187953070546</c:v>
                </c:pt>
                <c:pt idx="40">
                  <c:v>20.203085513702312</c:v>
                </c:pt>
                <c:pt idx="41">
                  <c:v>18.775576950897417</c:v>
                </c:pt>
                <c:pt idx="42">
                  <c:v>17.548712597171104</c:v>
                </c:pt>
                <c:pt idx="43">
                  <c:v>16.478178853150343</c:v>
                </c:pt>
                <c:pt idx="44">
                  <c:v>15.53158427454165</c:v>
                </c:pt>
                <c:pt idx="45">
                  <c:v>14.684980875034103</c:v>
                </c:pt>
                <c:pt idx="46">
                  <c:v>13.920355364190806</c:v>
                </c:pt>
                <c:pt idx="47">
                  <c:v>13.223913224074481</c:v>
                </c:pt>
                <c:pt idx="48">
                  <c:v>12.584909875805696</c:v>
                </c:pt>
                <c:pt idx="49">
                  <c:v>11.994845396075247</c:v>
                </c:pt>
                <c:pt idx="50">
                  <c:v>11.446900535758758</c:v>
                </c:pt>
                <c:pt idx="51">
                  <c:v>10.935534750151898</c:v>
                </c:pt>
                <c:pt idx="52">
                  <c:v>10.456194750515188</c:v>
                </c:pt>
                <c:pt idx="53">
                  <c:v>10.005099750388551</c:v>
                </c:pt>
                <c:pt idx="54">
                  <c:v>9.5790808382069415</c:v>
                </c:pt>
                <c:pt idx="55">
                  <c:v>9.1754591670848971</c:v>
                </c:pt>
                <c:pt idx="56">
                  <c:v>8.7919524043193746</c:v>
                </c:pt>
                <c:pt idx="57">
                  <c:v>8.4266020438291847</c:v>
                </c:pt>
                <c:pt idx="58">
                  <c:v>8.077716321156208</c:v>
                </c:pt>
                <c:pt idx="59">
                  <c:v>7.7438249373149421</c:v>
                </c:pt>
                <c:pt idx="60">
                  <c:v>7.4236428196178297</c:v>
                </c:pt>
                <c:pt idx="61">
                  <c:v>7.1160408694974855</c:v>
                </c:pt>
                <c:pt idx="62">
                  <c:v>6.8200221640283107</c:v>
                </c:pt>
                <c:pt idx="63">
                  <c:v>6.5347024521925032</c:v>
                </c:pt>
                <c:pt idx="64">
                  <c:v>6.2592940612607286</c:v>
                </c:pt>
                <c:pt idx="65">
                  <c:v>5.993092531844554</c:v>
                </c:pt>
                <c:pt idx="66">
                  <c:v>5.7354654521832602</c:v>
                </c:pt>
                <c:pt idx="67">
                  <c:v>5.4858430770130635</c:v>
                </c:pt>
                <c:pt idx="68">
                  <c:v>5.2437104038102369</c:v>
                </c:pt>
                <c:pt idx="69">
                  <c:v>5.0086004463663709</c:v>
                </c:pt>
                <c:pt idx="70">
                  <c:v>4.7800884976481592</c:v>
                </c:pt>
                <c:pt idx="71">
                  <c:v>4.5577872144389469</c:v>
                </c:pt>
                <c:pt idx="72">
                  <c:v>4.3413423880963533</c:v>
                </c:pt>
                <c:pt idx="73">
                  <c:v>4.1304292909231091</c:v>
                </c:pt>
                <c:pt idx="74">
                  <c:v>3.9247495076604002</c:v>
                </c:pt>
                <c:pt idx="75">
                  <c:v>3.7240281776226549</c:v>
                </c:pt>
                <c:pt idx="76">
                  <c:v>3.5280115858719818</c:v>
                </c:pt>
                <c:pt idx="77">
                  <c:v>3.3364650522472261</c:v>
                </c:pt>
                <c:pt idx="78">
                  <c:v>3.1491710755299218</c:v>
                </c:pt>
                <c:pt idx="79">
                  <c:v>2.9659276969461397</c:v>
                </c:pt>
                <c:pt idx="80">
                  <c:v>2.7865470528788943</c:v>
                </c:pt>
                <c:pt idx="81">
                  <c:v>2.6108540913441995</c:v>
                </c:pt>
                <c:pt idx="82">
                  <c:v>2.4386854306560961</c:v>
                </c:pt>
                <c:pt idx="83">
                  <c:v>2.2698883419245357</c:v>
                </c:pt>
                <c:pt idx="84">
                  <c:v>2.1043198397150249</c:v>
                </c:pt>
                <c:pt idx="85">
                  <c:v>1.9418458674478325</c:v>
                </c:pt>
                <c:pt idx="86">
                  <c:v>1.7823405660043599</c:v>
                </c:pt>
                <c:pt idx="87">
                  <c:v>1.6256856156024591</c:v>
                </c:pt>
                <c:pt idx="88">
                  <c:v>1.4717696423509126</c:v>
                </c:pt>
                <c:pt idx="89">
                  <c:v>1.3204876820385034</c:v>
                </c:pt>
                <c:pt idx="90">
                  <c:v>1.1717406946877444</c:v>
                </c:pt>
                <c:pt idx="91">
                  <c:v>1.0254351242360162</c:v>
                </c:pt>
                <c:pt idx="92">
                  <c:v>0.88148249841987925</c:v>
                </c:pt>
                <c:pt idx="93">
                  <c:v>0.73979906455084554</c:v>
                </c:pt>
                <c:pt idx="94">
                  <c:v>0.60030545739806374</c:v>
                </c:pt>
                <c:pt idx="95">
                  <c:v>0.46292639584897716</c:v>
                </c:pt>
                <c:pt idx="96">
                  <c:v>0.3275904054128469</c:v>
                </c:pt>
                <c:pt idx="97">
                  <c:v>0.19422956397422156</c:v>
                </c:pt>
                <c:pt idx="98">
                  <c:v>6.2779268500585766E-2</c:v>
                </c:pt>
                <c:pt idx="99">
                  <c:v>-6.6821979332148285E-2</c:v>
                </c:pt>
                <c:pt idx="100">
                  <c:v>-0.19463277040642685</c:v>
                </c:pt>
                <c:pt idx="101">
                  <c:v>-0.32070896993377096</c:v>
                </c:pt>
                <c:pt idx="102">
                  <c:v>-0.44510388516731619</c:v>
                </c:pt>
                <c:pt idx="103">
                  <c:v>-0.56786842034120444</c:v>
                </c:pt>
                <c:pt idx="104">
                  <c:v>-0.68905121998706731</c:v>
                </c:pt>
                <c:pt idx="105">
                  <c:v>-0.80869880165918961</c:v>
                </c:pt>
                <c:pt idx="106">
                  <c:v>-0.92685567899481736</c:v>
                </c:pt>
                <c:pt idx="107">
                  <c:v>-1.0435644759430172</c:v>
                </c:pt>
                <c:pt idx="108">
                  <c:v>-1.1588660329130533</c:v>
                </c:pt>
                <c:pt idx="109">
                  <c:v>-1.2727995055198313</c:v>
                </c:pt>
                <c:pt idx="110">
                  <c:v>-1.3854024565386138</c:v>
                </c:pt>
                <c:pt idx="111">
                  <c:v>-1.4967109416231092</c:v>
                </c:pt>
                <c:pt idx="112">
                  <c:v>-1.6067595892889925</c:v>
                </c:pt>
                <c:pt idx="113">
                  <c:v>-1.7155816756182851</c:v>
                </c:pt>
                <c:pt idx="114">
                  <c:v>-1.8232091940987047</c:v>
                </c:pt>
                <c:pt idx="115">
                  <c:v>-1.9296729209742527</c:v>
                </c:pt>
                <c:pt idx="116">
                  <c:v>-2.0350024764501939</c:v>
                </c:pt>
                <c:pt idx="117">
                  <c:v>-2.1392263820651252</c:v>
                </c:pt>
                <c:pt idx="118">
                  <c:v>-2.2423721145156965</c:v>
                </c:pt>
                <c:pt idx="119">
                  <c:v>-2.3444661561950317</c:v>
                </c:pt>
                <c:pt idx="120">
                  <c:v>-2.4455340426837884</c:v>
                </c:pt>
                <c:pt idx="121">
                  <c:v>-2.5456004074125982</c:v>
                </c:pt>
                <c:pt idx="122">
                  <c:v>-2.6446890236966887</c:v>
                </c:pt>
                <c:pt idx="123">
                  <c:v>-2.7428228443269553</c:v>
                </c:pt>
                <c:pt idx="124">
                  <c:v>-2.8400240388867966</c:v>
                </c:pt>
                <c:pt idx="125">
                  <c:v>-2.9363140289505441</c:v>
                </c:pt>
                <c:pt idx="126">
                  <c:v>-3.0317135213069593</c:v>
                </c:pt>
                <c:pt idx="127">
                  <c:v>-3.1262425393399678</c:v>
                </c:pt>
                <c:pt idx="128">
                  <c:v>-3.2199204526887493</c:v>
                </c:pt>
                <c:pt idx="129">
                  <c:v>-3.3127660052997769</c:v>
                </c:pt>
                <c:pt idx="130">
                  <c:v>-3.4047973419749229</c:v>
                </c:pt>
                <c:pt idx="131">
                  <c:v>-3.4960320335120221</c:v>
                </c:pt>
                <c:pt idx="132">
                  <c:v>-3.586487100527092</c:v>
                </c:pt>
                <c:pt idx="133">
                  <c:v>-3.6761790360407716</c:v>
                </c:pt>
                <c:pt idx="134">
                  <c:v>-3.7651238269057412</c:v>
                </c:pt>
                <c:pt idx="135">
                  <c:v>-3.8533369741462709</c:v>
                </c:pt>
                <c:pt idx="136">
                  <c:v>-3.9408335122758498</c:v>
                </c:pt>
                <c:pt idx="137">
                  <c:v>-4.027628027654564</c:v>
                </c:pt>
                <c:pt idx="138">
                  <c:v>-4.1137346759431885</c:v>
                </c:pt>
                <c:pt idx="139">
                  <c:v>-4.1991671987073156</c:v>
                </c:pt>
                <c:pt idx="140">
                  <c:v>-4.2839389392210938</c:v>
                </c:pt>
                <c:pt idx="141">
                  <c:v>-4.3680628575167866</c:v>
                </c:pt>
                <c:pt idx="142">
                  <c:v>-4.4515515447232872</c:v>
                </c:pt>
                <c:pt idx="143">
                  <c:v>-4.5344172367339377</c:v>
                </c:pt>
                <c:pt idx="144">
                  <c:v>-4.616671827241154</c:v>
                </c:pt>
                <c:pt idx="145">
                  <c:v>-4.6983268801731404</c:v>
                </c:pt>
                <c:pt idx="146">
                  <c:v>-4.7793936415655738</c:v>
                </c:pt>
                <c:pt idx="147">
                  <c:v>-4.8598830508990893</c:v>
                </c:pt>
                <c:pt idx="148">
                  <c:v>-4.9398057519313499</c:v>
                </c:pt>
                <c:pt idx="149">
                  <c:v>-5.0191721030508667</c:v>
                </c:pt>
                <c:pt idx="150">
                  <c:v>-5.0979921871778311</c:v>
                </c:pt>
                <c:pt idx="151">
                  <c:v>-5.1762758212358619</c:v>
                </c:pt>
                <c:pt idx="152">
                  <c:v>-5.2540325652169217</c:v>
                </c:pt>
                <c:pt idx="153">
                  <c:v>-5.331271730860494</c:v>
                </c:pt>
                <c:pt idx="154">
                  <c:v>-5.4080023899666854</c:v>
                </c:pt>
                <c:pt idx="155">
                  <c:v>-5.4842333823618636</c:v>
                </c:pt>
                <c:pt idx="156">
                  <c:v>-5.559973323534332</c:v>
                </c:pt>
                <c:pt idx="157">
                  <c:v>-5.6352306119563718</c:v>
                </c:pt>
                <c:pt idx="158">
                  <c:v>-5.7100134361082961</c:v>
                </c:pt>
                <c:pt idx="159">
                  <c:v>-5.784329781219018</c:v>
                </c:pt>
                <c:pt idx="160">
                  <c:v>-5.8581874357369426</c:v>
                </c:pt>
                <c:pt idx="161">
                  <c:v>-5.9315939975441907</c:v>
                </c:pt>
                <c:pt idx="162">
                  <c:v>-6.0045568799263771</c:v>
                </c:pt>
                <c:pt idx="163">
                  <c:v>-6.0770833173095573</c:v>
                </c:pt>
                <c:pt idx="164">
                  <c:v>-6.1491803707753192</c:v>
                </c:pt>
                <c:pt idx="165">
                  <c:v>-6.220854933364242</c:v>
                </c:pt>
                <c:pt idx="166">
                  <c:v>-6.2921137351776704</c:v>
                </c:pt>
                <c:pt idx="167">
                  <c:v>-6.3629633482869412</c:v>
                </c:pt>
                <c:pt idx="168">
                  <c:v>-6.4334101914588393</c:v>
                </c:pt>
                <c:pt idx="169">
                  <c:v>-6.5034605347056331</c:v>
                </c:pt>
                <c:pt idx="170">
                  <c:v>-6.5731205036675124</c:v>
                </c:pt>
                <c:pt idx="171">
                  <c:v>-6.6423960838348242</c:v>
                </c:pt>
                <c:pt idx="172">
                  <c:v>-6.7112931246173169</c:v>
                </c:pt>
                <c:pt idx="173">
                  <c:v>-6.7798173432668865</c:v>
                </c:pt>
                <c:pt idx="174">
                  <c:v>-6.8479743286603902</c:v>
                </c:pt>
                <c:pt idx="175">
                  <c:v>-6.9157695449483905</c:v>
                </c:pt>
                <c:pt idx="176">
                  <c:v>-6.9832083350756866</c:v>
                </c:pt>
                <c:pt idx="177">
                  <c:v>-7.050295924178986</c:v>
                </c:pt>
                <c:pt idx="178">
                  <c:v>-7.117037422866936</c:v>
                </c:pt>
                <c:pt idx="179">
                  <c:v>-7.1834378303874491</c:v>
                </c:pt>
                <c:pt idx="180">
                  <c:v>-7.2495020376869554</c:v>
                </c:pt>
                <c:pt idx="181">
                  <c:v>-7.3152348303660473</c:v>
                </c:pt>
                <c:pt idx="182">
                  <c:v>-7.380640891535803</c:v>
                </c:pt>
                <c:pt idx="183">
                  <c:v>-7.4457248045787541</c:v>
                </c:pt>
                <c:pt idx="184">
                  <c:v>-7.5104910558183526</c:v>
                </c:pt>
                <c:pt idx="185">
                  <c:v>-7.5749440371006731</c:v>
                </c:pt>
                <c:pt idx="186">
                  <c:v>-7.6390880482917192</c:v>
                </c:pt>
                <c:pt idx="187">
                  <c:v>-7.7029272996937648</c:v>
                </c:pt>
                <c:pt idx="188">
                  <c:v>-7.7664659143838346</c:v>
                </c:pt>
                <c:pt idx="189">
                  <c:v>-7.8297079304774204</c:v>
                </c:pt>
                <c:pt idx="190">
                  <c:v>-7.8926573033202274</c:v>
                </c:pt>
                <c:pt idx="191">
                  <c:v>-7.9553179076108007</c:v>
                </c:pt>
                <c:pt idx="192">
                  <c:v>-8.0176935394566442</c:v>
                </c:pt>
                <c:pt idx="193">
                  <c:v>-8.0797879183662573</c:v>
                </c:pt>
                <c:pt idx="194">
                  <c:v>-8.1416046891796938</c:v>
                </c:pt>
                <c:pt idx="195">
                  <c:v>-8.2031474239396722</c:v>
                </c:pt>
                <c:pt idx="196">
                  <c:v>-8.2644196237057379</c:v>
                </c:pt>
                <c:pt idx="197">
                  <c:v>-8.3254247203132721</c:v>
                </c:pt>
                <c:pt idx="198">
                  <c:v>-8.3861660780796363</c:v>
                </c:pt>
                <c:pt idx="199">
                  <c:v>-8.4466469954591581</c:v>
                </c:pt>
                <c:pt idx="200">
                  <c:v>-8.506870706648952</c:v>
                </c:pt>
                <c:pt idx="201">
                  <c:v>-8.5668403831472801</c:v>
                </c:pt>
                <c:pt idx="202">
                  <c:v>-8.6265591352660884</c:v>
                </c:pt>
                <c:pt idx="203">
                  <c:v>-8.6860300135994599</c:v>
                </c:pt>
                <c:pt idx="204">
                  <c:v>-8.7452560104494275</c:v>
                </c:pt>
                <c:pt idx="205">
                  <c:v>-8.8042400612107183</c:v>
                </c:pt>
                <c:pt idx="206">
                  <c:v>-8.8629850457157495</c:v>
                </c:pt>
                <c:pt idx="207">
                  <c:v>-8.9214937895413815</c:v>
                </c:pt>
                <c:pt idx="208">
                  <c:v>-8.9797690652786013</c:v>
                </c:pt>
                <c:pt idx="209">
                  <c:v>-9.0378135937665256</c:v>
                </c:pt>
                <c:pt idx="210">
                  <c:v>-9.0956300452918146</c:v>
                </c:pt>
                <c:pt idx="211">
                  <c:v>-9.1532210407547545</c:v>
                </c:pt>
                <c:pt idx="212">
                  <c:v>-9.2105891528030259</c:v>
                </c:pt>
                <c:pt idx="213">
                  <c:v>-9.2677369069343651</c:v>
                </c:pt>
                <c:pt idx="214">
                  <c:v>-9.3246667825689844</c:v>
                </c:pt>
                <c:pt idx="215">
                  <c:v>-9.3813812140928619</c:v>
                </c:pt>
                <c:pt idx="216">
                  <c:v>-9.4378825918728246</c:v>
                </c:pt>
                <c:pt idx="217">
                  <c:v>-9.4941732632442637</c:v>
                </c:pt>
                <c:pt idx="218">
                  <c:v>-9.5502555334725212</c:v>
                </c:pt>
                <c:pt idx="219">
                  <c:v>-9.6061316666885883</c:v>
                </c:pt>
                <c:pt idx="220">
                  <c:v>-9.6618038868001026</c:v>
                </c:pt>
                <c:pt idx="221">
                  <c:v>-9.7172743783783542</c:v>
                </c:pt>
                <c:pt idx="222">
                  <c:v>-9.7725452875220302</c:v>
                </c:pt>
                <c:pt idx="223">
                  <c:v>-9.8276187226984764</c:v>
                </c:pt>
                <c:pt idx="224">
                  <c:v>-9.8824967555631744</c:v>
                </c:pt>
                <c:pt idx="225">
                  <c:v>-9.9371814217580159</c:v>
                </c:pt>
                <c:pt idx="226">
                  <c:v>-10.473816507979022</c:v>
                </c:pt>
                <c:pt idx="227">
                  <c:v>-10.993114315409731</c:v>
                </c:pt>
                <c:pt idx="228">
                  <c:v>-11.496621636311362</c:v>
                </c:pt>
                <c:pt idx="229">
                  <c:v>-11.985656499081914</c:v>
                </c:pt>
                <c:pt idx="230">
                  <c:v>-12.461349448561847</c:v>
                </c:pt>
                <c:pt idx="231">
                  <c:v>-12.924676435014868</c:v>
                </c:pt>
                <c:pt idx="232">
                  <c:v>-13.376485224424483</c:v>
                </c:pt>
                <c:pt idx="233">
                  <c:v>-13.817516751430656</c:v>
                </c:pt>
                <c:pt idx="234">
                  <c:v>-14.248422486342516</c:v>
                </c:pt>
                <c:pt idx="235">
                  <c:v>-14.66977863434421</c:v>
                </c:pt>
                <c:pt idx="236">
                  <c:v>-15.082097798775475</c:v>
                </c:pt>
                <c:pt idx="237">
                  <c:v>-15.485838601501609</c:v>
                </c:pt>
                <c:pt idx="238">
                  <c:v>-15.881413648490518</c:v>
                </c:pt>
                <c:pt idx="239">
                  <c:v>-16.269196148538065</c:v>
                </c:pt>
                <c:pt idx="240">
                  <c:v>-16.649525431147534</c:v>
                </c:pt>
                <c:pt idx="241">
                  <c:v>-17.022711561267489</c:v>
                </c:pt>
                <c:pt idx="242">
                  <c:v>-17.389039210604405</c:v>
                </c:pt>
                <c:pt idx="243">
                  <c:v>-17.748770915126826</c:v>
                </c:pt>
                <c:pt idx="244">
                  <c:v>-18.102149824370784</c:v>
                </c:pt>
                <c:pt idx="245">
                  <c:v>-18.449402028899939</c:v>
                </c:pt>
                <c:pt idx="246">
                  <c:v>-18.790738536748467</c:v>
                </c:pt>
                <c:pt idx="247">
                  <c:v>-19.1263569571041</c:v>
                </c:pt>
                <c:pt idx="248">
                  <c:v>-19.456442939269451</c:v>
                </c:pt>
                <c:pt idx="249">
                  <c:v>-19.781171406605022</c:v>
                </c:pt>
                <c:pt idx="250">
                  <c:v>-20.100707618338504</c:v>
                </c:pt>
                <c:pt idx="251">
                  <c:v>-20.415208086531095</c:v>
                </c:pt>
                <c:pt idx="252">
                  <c:v>-20.724821370892755</c:v>
                </c:pt>
                <c:pt idx="253">
                  <c:v>-21.029688770347626</c:v>
                </c:pt>
                <c:pt idx="254">
                  <c:v>-21.32994492712168</c:v>
                </c:pt>
                <c:pt idx="255">
                  <c:v>-21.625718356535593</c:v>
                </c:pt>
                <c:pt idx="256">
                  <c:v>-21.917131913540814</c:v>
                </c:pt>
                <c:pt idx="257">
                  <c:v>-22.204303205256135</c:v>
                </c:pt>
                <c:pt idx="258">
                  <c:v>-22.487344957282261</c:v>
                </c:pt>
                <c:pt idx="259">
                  <c:v>-22.766365340339654</c:v>
                </c:pt>
                <c:pt idx="260">
                  <c:v>-23.041468262747692</c:v>
                </c:pt>
                <c:pt idx="261">
                  <c:v>-23.312753633405876</c:v>
                </c:pt>
                <c:pt idx="262">
                  <c:v>-23.580317599220649</c:v>
                </c:pt>
                <c:pt idx="263">
                  <c:v>-23.844252760321414</c:v>
                </c:pt>
                <c:pt idx="264">
                  <c:v>-24.10464836590608</c:v>
                </c:pt>
                <c:pt idx="265">
                  <c:v>-24.361590493134173</c:v>
                </c:pt>
                <c:pt idx="266">
                  <c:v>-24.615162211130361</c:v>
                </c:pt>
                <c:pt idx="267">
                  <c:v>-24.865443731862538</c:v>
                </c:pt>
                <c:pt idx="268">
                  <c:v>-25.112512549406183</c:v>
                </c:pt>
                <c:pt idx="269">
                  <c:v>-25.35644356889437</c:v>
                </c:pt>
                <c:pt idx="270">
                  <c:v>-25.597309226272422</c:v>
                </c:pt>
                <c:pt idx="271">
                  <c:v>-25.835179599824009</c:v>
                </c:pt>
                <c:pt idx="272">
                  <c:v>-26.070122514306014</c:v>
                </c:pt>
                <c:pt idx="273">
                  <c:v>-26.302203638419684</c:v>
                </c:pt>
                <c:pt idx="274">
                  <c:v>-26.531486576251776</c:v>
                </c:pt>
                <c:pt idx="275">
                  <c:v>-26.75803295323982</c:v>
                </c:pt>
                <c:pt idx="276">
                  <c:v>-26.981902497147161</c:v>
                </c:pt>
                <c:pt idx="277">
                  <c:v>-27.203153114475175</c:v>
                </c:pt>
                <c:pt idx="278">
                  <c:v>-27.421840962689682</c:v>
                </c:pt>
                <c:pt idx="279">
                  <c:v>-27.638020518595749</c:v>
                </c:pt>
                <c:pt idx="280">
                  <c:v>-27.851744643157463</c:v>
                </c:pt>
                <c:pt idx="281">
                  <c:v>-28.063064643027595</c:v>
                </c:pt>
                <c:pt idx="282">
                  <c:v>-28.272030329023753</c:v>
                </c:pt>
                <c:pt idx="283">
                  <c:v>-28.478690071763847</c:v>
                </c:pt>
                <c:pt idx="284">
                  <c:v>-28.683090854652264</c:v>
                </c:pt>
                <c:pt idx="285">
                  <c:v>-28.885278324390136</c:v>
                </c:pt>
                <c:pt idx="286">
                  <c:v>-29.085296839166496</c:v>
                </c:pt>
                <c:pt idx="287">
                  <c:v>-29.283189514673523</c:v>
                </c:pt>
                <c:pt idx="288">
                  <c:v>-29.478998268076055</c:v>
                </c:pt>
                <c:pt idx="289">
                  <c:v>-29.672763860054982</c:v>
                </c:pt>
                <c:pt idx="290">
                  <c:v>-29.864525935034017</c:v>
                </c:pt>
                <c:pt idx="291">
                  <c:v>-30.054323059690947</c:v>
                </c:pt>
                <c:pt idx="292">
                  <c:v>-30.24219275984645</c:v>
                </c:pt>
                <c:pt idx="293">
                  <c:v>-30.428171555816775</c:v>
                </c:pt>
                <c:pt idx="294">
                  <c:v>-30.612294996310474</c:v>
                </c:pt>
                <c:pt idx="295">
                  <c:v>-30.794597690943363</c:v>
                </c:pt>
                <c:pt idx="296">
                  <c:v>-30.975113341441272</c:v>
                </c:pt>
                <c:pt idx="297">
                  <c:v>-31.153874771595362</c:v>
                </c:pt>
                <c:pt idx="298">
                  <c:v>-31.330913956030425</c:v>
                </c:pt>
                <c:pt idx="299">
                  <c:v>-31.506262047843272</c:v>
                </c:pt>
                <c:pt idx="300">
                  <c:v>-31.679949405164152</c:v>
                </c:pt>
                <c:pt idx="301">
                  <c:v>-31.852005616691677</c:v>
                </c:pt>
                <c:pt idx="302">
                  <c:v>-32.022459526248213</c:v>
                </c:pt>
                <c:pt idx="303">
                  <c:v>-32.191339256400383</c:v>
                </c:pt>
                <c:pt idx="304">
                  <c:v>-32.358672231186588</c:v>
                </c:pt>
                <c:pt idx="305">
                  <c:v>-32.524485197991204</c:v>
                </c:pt>
                <c:pt idx="306">
                  <c:v>-32.688804248603269</c:v>
                </c:pt>
                <c:pt idx="307">
                  <c:v>-32.851654839494785</c:v>
                </c:pt>
                <c:pt idx="308">
                  <c:v>-33.013061811352763</c:v>
                </c:pt>
                <c:pt idx="309">
                  <c:v>-33.173049407896649</c:v>
                </c:pt>
                <c:pt idx="310">
                  <c:v>-33.331641294011682</c:v>
                </c:pt>
                <c:pt idx="311">
                  <c:v>-33.48886057322698</c:v>
                </c:pt>
                <c:pt idx="312">
                  <c:v>-33.644729804565671</c:v>
                </c:pt>
                <c:pt idx="313">
                  <c:v>-33.79927101879322</c:v>
                </c:pt>
                <c:pt idx="314">
                  <c:v>-33.952505734088795</c:v>
                </c:pt>
                <c:pt idx="315">
                  <c:v>-34.104454971163179</c:v>
                </c:pt>
                <c:pt idx="316">
                  <c:v>-34.255139267845948</c:v>
                </c:pt>
                <c:pt idx="317">
                  <c:v>-34.404578693163138</c:v>
                </c:pt>
                <c:pt idx="318">
                  <c:v>-34.552792860926125</c:v>
                </c:pt>
                <c:pt idx="319">
                  <c:v>-34.699800942851041</c:v>
                </c:pt>
                <c:pt idx="320">
                  <c:v>-34.845621681227449</c:v>
                </c:pt>
                <c:pt idx="321">
                  <c:v>-34.990273401154219</c:v>
                </c:pt>
                <c:pt idx="322">
                  <c:v>-35.13377402235929</c:v>
                </c:pt>
                <c:pt idx="323">
                  <c:v>-35.276141070619914</c:v>
                </c:pt>
                <c:pt idx="324">
                  <c:v>-35.417391688798645</c:v>
                </c:pt>
                <c:pt idx="325">
                  <c:v>-35.557542647510132</c:v>
                </c:pt>
                <c:pt idx="326">
                  <c:v>-35.696610355432703</c:v>
                </c:pt>
                <c:pt idx="327">
                  <c:v>-35.834610869278578</c:v>
                </c:pt>
                <c:pt idx="328">
                  <c:v>-35.971559903435399</c:v>
                </c:pt>
                <c:pt idx="329">
                  <c:v>-36.107472839291852</c:v>
                </c:pt>
                <c:pt idx="330">
                  <c:v>-36.24236473425907</c:v>
                </c:pt>
                <c:pt idx="331">
                  <c:v>-36.376250330499289</c:v>
                </c:pt>
                <c:pt idx="332">
                  <c:v>-36.509144063372709</c:v>
                </c:pt>
                <c:pt idx="333">
                  <c:v>-36.641060069612948</c:v>
                </c:pt>
                <c:pt idx="334">
                  <c:v>-36.772012195241338</c:v>
                </c:pt>
                <c:pt idx="335">
                  <c:v>-36.902014003229311</c:v>
                </c:pt>
                <c:pt idx="336">
                  <c:v>-37.031078780918484</c:v>
                </c:pt>
                <c:pt idx="337">
                  <c:v>-37.159219547207073</c:v>
                </c:pt>
                <c:pt idx="338">
                  <c:v>-37.286449059511007</c:v>
                </c:pt>
                <c:pt idx="339">
                  <c:v>-37.412779820508284</c:v>
                </c:pt>
                <c:pt idx="340">
                  <c:v>-37.53822408467385</c:v>
                </c:pt>
                <c:pt idx="341">
                  <c:v>-37.662793864612901</c:v>
                </c:pt>
                <c:pt idx="342">
                  <c:v>-37.78650093719957</c:v>
                </c:pt>
                <c:pt idx="343">
                  <c:v>-37.909356849528052</c:v>
                </c:pt>
                <c:pt idx="344">
                  <c:v>-38.031372924682607</c:v>
                </c:pt>
                <c:pt idx="345">
                  <c:v>-38.152560267332966</c:v>
                </c:pt>
                <c:pt idx="346">
                  <c:v>-38.272929769161202</c:v>
                </c:pt>
                <c:pt idx="347">
                  <c:v>-38.392492114125922</c:v>
                </c:pt>
                <c:pt idx="348">
                  <c:v>-38.51125778356942</c:v>
                </c:pt>
                <c:pt idx="349">
                  <c:v>-38.629237061173178</c:v>
                </c:pt>
                <c:pt idx="350">
                  <c:v>-38.746440037767094</c:v>
                </c:pt>
                <c:pt idx="351">
                  <c:v>-38.862876615997173</c:v>
                </c:pt>
                <c:pt idx="352">
                  <c:v>-38.978556514856749</c:v>
                </c:pt>
                <c:pt idx="353">
                  <c:v>-39.093489274085719</c:v>
                </c:pt>
                <c:pt idx="354">
                  <c:v>-39.207684258442313</c:v>
                </c:pt>
                <c:pt idx="355">
                  <c:v>-39.32115066185164</c:v>
                </c:pt>
                <c:pt idx="356">
                  <c:v>-39.433897511435191</c:v>
                </c:pt>
                <c:pt idx="357">
                  <c:v>-39.54593367142521</c:v>
                </c:pt>
                <c:pt idx="358">
                  <c:v>-39.657267846967777</c:v>
                </c:pt>
                <c:pt idx="359">
                  <c:v>-39.767908587818283</c:v>
                </c:pt>
                <c:pt idx="360">
                  <c:v>-39.877864291932809</c:v>
                </c:pt>
                <c:pt idx="361">
                  <c:v>-39.987143208958891</c:v>
                </c:pt>
                <c:pt idx="362">
                  <c:v>-40.09575344362883</c:v>
                </c:pt>
                <c:pt idx="363">
                  <c:v>-40.203702959058859</c:v>
                </c:pt>
                <c:pt idx="364">
                  <c:v>-40.31099957995697</c:v>
                </c:pt>
                <c:pt idx="365">
                  <c:v>-40.417650995742761</c:v>
                </c:pt>
                <c:pt idx="366">
                  <c:v>-40.52366476358155</c:v>
                </c:pt>
                <c:pt idx="367">
                  <c:v>-40.629048311336049</c:v>
                </c:pt>
                <c:pt idx="368">
                  <c:v>-40.733808940437861</c:v>
                </c:pt>
                <c:pt idx="369">
                  <c:v>-40.837953828681393</c:v>
                </c:pt>
                <c:pt idx="370">
                  <c:v>-40.941490032942774</c:v>
                </c:pt>
                <c:pt idx="371">
                  <c:v>-41.044424491825993</c:v>
                </c:pt>
                <c:pt idx="372">
                  <c:v>-41.146764028238508</c:v>
                </c:pt>
                <c:pt idx="373">
                  <c:v>-41.248515351898703</c:v>
                </c:pt>
                <c:pt idx="374">
                  <c:v>-41.349685061777024</c:v>
                </c:pt>
                <c:pt idx="375">
                  <c:v>-41.450279648473085</c:v>
                </c:pt>
                <c:pt idx="376">
                  <c:v>-41.55030549653064</c:v>
                </c:pt>
                <c:pt idx="377">
                  <c:v>-41.6497688866922</c:v>
                </c:pt>
                <c:pt idx="378">
                  <c:v>-41.748675998095251</c:v>
                </c:pt>
                <c:pt idx="379">
                  <c:v>-41.847032910411883</c:v>
                </c:pt>
                <c:pt idx="380">
                  <c:v>-41.944845605933381</c:v>
                </c:pt>
                <c:pt idx="381">
                  <c:v>-42.042119971601579</c:v>
                </c:pt>
                <c:pt idx="382">
                  <c:v>-42.138861800988472</c:v>
                </c:pt>
                <c:pt idx="383">
                  <c:v>-42.235076796225719</c:v>
                </c:pt>
                <c:pt idx="384">
                  <c:v>-42.330770569885374</c:v>
                </c:pt>
                <c:pt idx="385">
                  <c:v>-42.425948646813495</c:v>
                </c:pt>
                <c:pt idx="386">
                  <c:v>-42.520616465917804</c:v>
                </c:pt>
                <c:pt idx="387">
                  <c:v>-42.614779381910978</c:v>
                </c:pt>
                <c:pt idx="388">
                  <c:v>-42.708442667010516</c:v>
                </c:pt>
                <c:pt idx="389">
                  <c:v>-42.801611512596914</c:v>
                </c:pt>
                <c:pt idx="390">
                  <c:v>-42.894291030830878</c:v>
                </c:pt>
                <c:pt idx="391">
                  <c:v>-42.986486256231117</c:v>
                </c:pt>
                <c:pt idx="392">
                  <c:v>-43.078202147213638</c:v>
                </c:pt>
                <c:pt idx="393">
                  <c:v>-43.16944358759379</c:v>
                </c:pt>
                <c:pt idx="394">
                  <c:v>-43.260215388051869</c:v>
                </c:pt>
                <c:pt idx="395">
                  <c:v>-43.350522287563749</c:v>
                </c:pt>
                <c:pt idx="396">
                  <c:v>-43.440368954796959</c:v>
                </c:pt>
                <c:pt idx="397">
                  <c:v>-43.529759989473732</c:v>
                </c:pt>
                <c:pt idx="398">
                  <c:v>-43.618699923701627</c:v>
                </c:pt>
                <c:pt idx="399">
                  <c:v>-43.707193223272569</c:v>
                </c:pt>
                <c:pt idx="400">
                  <c:v>-43.795244288931528</c:v>
                </c:pt>
                <c:pt idx="401">
                  <c:v>-43.882857457615316</c:v>
                </c:pt>
                <c:pt idx="402">
                  <c:v>-43.97003700366254</c:v>
                </c:pt>
                <c:pt idx="403">
                  <c:v>-44.056787139995393</c:v>
                </c:pt>
                <c:pt idx="404">
                  <c:v>-44.143112019274156</c:v>
                </c:pt>
                <c:pt idx="405">
                  <c:v>-44.229015735025037</c:v>
                </c:pt>
                <c:pt idx="406">
                  <c:v>-44.314502322742165</c:v>
                </c:pt>
                <c:pt idx="407">
                  <c:v>-44.399575760964353</c:v>
                </c:pt>
                <c:pt idx="408">
                  <c:v>-44.484239972327401</c:v>
                </c:pt>
                <c:pt idx="409">
                  <c:v>-44.56849882459256</c:v>
                </c:pt>
                <c:pt idx="410">
                  <c:v>-44.652356131651686</c:v>
                </c:pt>
                <c:pt idx="411">
                  <c:v>-44.735815654509928</c:v>
                </c:pt>
                <c:pt idx="412">
                  <c:v>-44.81888110224628</c:v>
                </c:pt>
                <c:pt idx="413">
                  <c:v>-44.901556132952877</c:v>
                </c:pt>
                <c:pt idx="414">
                  <c:v>-44.983844354653215</c:v>
                </c:pt>
                <c:pt idx="415">
                  <c:v>-45.06574932620029</c:v>
                </c:pt>
                <c:pt idx="416">
                  <c:v>-45.147274558154805</c:v>
                </c:pt>
                <c:pt idx="417">
                  <c:v>-45.228423513644138</c:v>
                </c:pt>
                <c:pt idx="418">
                  <c:v>-45.309199609202587</c:v>
                </c:pt>
                <c:pt idx="419">
                  <c:v>-45.389606215593275</c:v>
                </c:pt>
                <c:pt idx="420">
                  <c:v>-45.469646658612263</c:v>
                </c:pt>
                <c:pt idx="421">
                  <c:v>-45.549324219875288</c:v>
                </c:pt>
                <c:pt idx="422">
                  <c:v>-45.62864213758759</c:v>
                </c:pt>
                <c:pt idx="423">
                  <c:v>-45.707603607297273</c:v>
                </c:pt>
                <c:pt idx="424">
                  <c:v>-45.786211782632506</c:v>
                </c:pt>
                <c:pt idx="425">
                  <c:v>-45.864469776023171</c:v>
                </c:pt>
                <c:pt idx="426">
                  <c:v>-45.942380659407164</c:v>
                </c:pt>
                <c:pt idx="427">
                  <c:v>-46.019947464921799</c:v>
                </c:pt>
                <c:pt idx="428">
                  <c:v>-46.097173185580722</c:v>
                </c:pt>
                <c:pt idx="429">
                  <c:v>-46.17406077593661</c:v>
                </c:pt>
                <c:pt idx="430">
                  <c:v>-46.25061315273016</c:v>
                </c:pt>
                <c:pt idx="431">
                  <c:v>-46.326833195525452</c:v>
                </c:pt>
                <c:pt idx="432">
                  <c:v>-46.402723747332303</c:v>
                </c:pt>
                <c:pt idx="433">
                  <c:v>-46.478287615215727</c:v>
                </c:pt>
                <c:pt idx="434">
                  <c:v>-46.553527570892896</c:v>
                </c:pt>
                <c:pt idx="435">
                  <c:v>-46.628446351317947</c:v>
                </c:pt>
                <c:pt idx="436">
                  <c:v>-46.703046659254774</c:v>
                </c:pt>
                <c:pt idx="437">
                  <c:v>-46.777331163838276</c:v>
                </c:pt>
                <c:pt idx="438">
                  <c:v>-46.851302501124252</c:v>
                </c:pt>
                <c:pt idx="439">
                  <c:v>-46.924963274628169</c:v>
                </c:pt>
                <c:pt idx="440">
                  <c:v>-46.998316055853202</c:v>
                </c:pt>
                <c:pt idx="441">
                  <c:v>-47.07136338480764</c:v>
                </c:pt>
                <c:pt idx="442">
                  <c:v>-47.144107770511987</c:v>
                </c:pt>
                <c:pt idx="443">
                  <c:v>-47.216551691496107</c:v>
                </c:pt>
                <c:pt idx="444">
                  <c:v>-47.288697596286404</c:v>
                </c:pt>
                <c:pt idx="445">
                  <c:v>-47.360547903883486</c:v>
                </c:pt>
                <c:pt idx="446">
                  <c:v>-47.432105004230436</c:v>
                </c:pt>
                <c:pt idx="447">
                  <c:v>-47.503371258671947</c:v>
                </c:pt>
                <c:pt idx="448">
                  <c:v>-47.574349000404453</c:v>
                </c:pt>
                <c:pt idx="449">
                  <c:v>-47.645040534917591</c:v>
                </c:pt>
                <c:pt idx="450">
                  <c:v>-47.715448140427128</c:v>
                </c:pt>
                <c:pt idx="451">
                  <c:v>-47.785574068299411</c:v>
                </c:pt>
                <c:pt idx="452">
                  <c:v>-47.855420543467929</c:v>
                </c:pt>
                <c:pt idx="453">
                  <c:v>-47.924989764841619</c:v>
                </c:pt>
                <c:pt idx="454">
                  <c:v>-47.994283905705544</c:v>
                </c:pt>
                <c:pt idx="455">
                  <c:v>-48.063305114114016</c:v>
                </c:pt>
                <c:pt idx="456">
                  <c:v>-48.132055513276072</c:v>
                </c:pt>
                <c:pt idx="457">
                  <c:v>-48.200537201933955</c:v>
                </c:pt>
                <c:pt idx="458">
                  <c:v>-48.268752254734196</c:v>
                </c:pt>
                <c:pt idx="459">
                  <c:v>-48.336702722591973</c:v>
                </c:pt>
                <c:pt idx="460">
                  <c:v>-48.404390633048529</c:v>
                </c:pt>
                <c:pt idx="461">
                  <c:v>-48.471817990622057</c:v>
                </c:pt>
                <c:pt idx="462">
                  <c:v>-48.538986777152004</c:v>
                </c:pt>
                <c:pt idx="463">
                  <c:v>-48.605898952137004</c:v>
                </c:pt>
                <c:pt idx="464">
                  <c:v>-48.672556453066662</c:v>
                </c:pt>
                <c:pt idx="465">
                  <c:v>-48.73896119574723</c:v>
                </c:pt>
                <c:pt idx="466">
                  <c:v>-48.805115074621277</c:v>
                </c:pt>
                <c:pt idx="467">
                  <c:v>-48.871019963081665</c:v>
                </c:pt>
                <c:pt idx="468">
                  <c:v>-48.936677713779638</c:v>
                </c:pt>
                <c:pt idx="469">
                  <c:v>-49.002090158927551</c:v>
                </c:pt>
                <c:pt idx="470">
                  <c:v>-49.067259110595963</c:v>
                </c:pt>
                <c:pt idx="471">
                  <c:v>-49.132186361005488</c:v>
                </c:pt>
                <c:pt idx="472">
                  <c:v>-49.196873682813461</c:v>
                </c:pt>
                <c:pt idx="473">
                  <c:v>-49.261322829395326</c:v>
                </c:pt>
                <c:pt idx="474">
                  <c:v>-49.325535535121219</c:v>
                </c:pt>
                <c:pt idx="475">
                  <c:v>-49.389513515627513</c:v>
                </c:pt>
                <c:pt idx="476">
                  <c:v>-49.453258468083625</c:v>
                </c:pt>
                <c:pt idx="477">
                  <c:v>-49.516772071454113</c:v>
                </c:pt>
                <c:pt idx="478">
                  <c:v>-49.58005598675615</c:v>
                </c:pt>
                <c:pt idx="479">
                  <c:v>-49.64311185731259</c:v>
                </c:pt>
                <c:pt idx="480">
                  <c:v>-49.70594130900048</c:v>
                </c:pt>
                <c:pt idx="481">
                  <c:v>-49.768545950495373</c:v>
                </c:pt>
                <c:pt idx="482">
                  <c:v>-49.830927373511351</c:v>
                </c:pt>
                <c:pt idx="483">
                  <c:v>-49.893087153036973</c:v>
                </c:pt>
                <c:pt idx="484">
                  <c:v>-49.955026847567026</c:v>
                </c:pt>
                <c:pt idx="485">
                  <c:v>-50.016747999330526</c:v>
                </c:pt>
                <c:pt idx="486">
                  <c:v>-50.07825213451455</c:v>
                </c:pt>
                <c:pt idx="487">
                  <c:v>-50.139540763484511</c:v>
                </c:pt>
                <c:pt idx="488">
                  <c:v>-50.200615381000524</c:v>
                </c:pt>
                <c:pt idx="489">
                  <c:v>-50.261477466430193</c:v>
                </c:pt>
                <c:pt idx="490">
                  <c:v>-50.322128483957783</c:v>
                </c:pt>
                <c:pt idx="491">
                  <c:v>-50.382569882789852</c:v>
                </c:pt>
                <c:pt idx="492">
                  <c:v>-50.442803097357512</c:v>
                </c:pt>
                <c:pt idx="493">
                  <c:v>-50.50282954751524</c:v>
                </c:pt>
                <c:pt idx="494">
                  <c:v>-50.562650638736372</c:v>
                </c:pt>
                <c:pt idx="495">
                  <c:v>-50.622267762305412</c:v>
                </c:pt>
                <c:pt idx="496">
                  <c:v>-50.681682295507144</c:v>
                </c:pt>
                <c:pt idx="497">
                  <c:v>-50.740895601812596</c:v>
                </c:pt>
                <c:pt idx="498">
                  <c:v>-50.799909031061915</c:v>
                </c:pt>
                <c:pt idx="499">
                  <c:v>-50.858723919644369</c:v>
                </c:pt>
                <c:pt idx="500">
                  <c:v>-50.917341590675285</c:v>
                </c:pt>
                <c:pt idx="501">
                  <c:v>-50.975763354170155</c:v>
                </c:pt>
                <c:pt idx="502">
                  <c:v>-51.033990507215904</c:v>
                </c:pt>
                <c:pt idx="503">
                  <c:v>-51.092024334139403</c:v>
                </c:pt>
                <c:pt idx="504">
                  <c:v>-51.149866106673265</c:v>
                </c:pt>
                <c:pt idx="505">
                  <c:v>-51.20751708411894</c:v>
                </c:pt>
                <c:pt idx="506">
                  <c:v>-51.264978513507202</c:v>
                </c:pt>
                <c:pt idx="507">
                  <c:v>-51.322251629756124</c:v>
                </c:pt>
                <c:pt idx="508">
                  <c:v>-51.379337655826482</c:v>
                </c:pt>
                <c:pt idx="509">
                  <c:v>-51.436237802874665</c:v>
                </c:pt>
                <c:pt idx="510">
                  <c:v>-51.49295327040327</c:v>
                </c:pt>
                <c:pt idx="511">
                  <c:v>-51.549485246409176</c:v>
                </c:pt>
                <c:pt idx="512">
                  <c:v>-51.605834907529427</c:v>
                </c:pt>
                <c:pt idx="513">
                  <c:v>-51.6620034191847</c:v>
                </c:pt>
                <c:pt idx="514">
                  <c:v>-51.71799193572064</c:v>
                </c:pt>
                <c:pt idx="515">
                  <c:v>-51.773801600546889</c:v>
                </c:pt>
                <c:pt idx="516">
                  <c:v>-51.829433546274039</c:v>
                </c:pt>
                <c:pt idx="517">
                  <c:v>-51.884888894848366</c:v>
                </c:pt>
                <c:pt idx="518">
                  <c:v>-51.940168757684617</c:v>
                </c:pt>
                <c:pt idx="519">
                  <c:v>-51.995274235796586</c:v>
                </c:pt>
                <c:pt idx="520">
                  <c:v>-52.050206419925821</c:v>
                </c:pt>
                <c:pt idx="521">
                  <c:v>-52.104966390668267</c:v>
                </c:pt>
                <c:pt idx="522">
                  <c:v>-52.159555218599053</c:v>
                </c:pt>
                <c:pt idx="523">
                  <c:v>-52.213973964395279</c:v>
                </c:pt>
                <c:pt idx="524">
                  <c:v>-52.268223678957014</c:v>
                </c:pt>
                <c:pt idx="525">
                  <c:v>-52.322305403526499</c:v>
                </c:pt>
                <c:pt idx="526">
                  <c:v>-52.376220169805364</c:v>
                </c:pt>
                <c:pt idx="527">
                  <c:v>-52.429969000070322</c:v>
                </c:pt>
                <c:pt idx="528">
                  <c:v>-52.483552907286978</c:v>
                </c:pt>
                <c:pt idx="529">
                  <c:v>-52.536972895221936</c:v>
                </c:pt>
                <c:pt idx="530">
                  <c:v>-52.590229958553294</c:v>
                </c:pt>
                <c:pt idx="531">
                  <c:v>-52.643325082979445</c:v>
                </c:pt>
                <c:pt idx="532">
                  <c:v>-52.696259245326289</c:v>
                </c:pt>
                <c:pt idx="533">
                  <c:v>-52.749033413652853</c:v>
                </c:pt>
                <c:pt idx="534">
                  <c:v>-52.801648547355356</c:v>
                </c:pt>
                <c:pt idx="535">
                  <c:v>-52.854105597269708</c:v>
                </c:pt>
                <c:pt idx="536">
                  <c:v>-52.906405505772582</c:v>
                </c:pt>
                <c:pt idx="537">
                  <c:v>-52.958549206880889</c:v>
                </c:pt>
                <c:pt idx="538">
                  <c:v>-53.010537626349937</c:v>
                </c:pt>
                <c:pt idx="539">
                  <c:v>-53.06237168177006</c:v>
                </c:pt>
                <c:pt idx="540">
                  <c:v>-53.114052282661888</c:v>
                </c:pt>
                <c:pt idx="541">
                  <c:v>-53.165580330570222</c:v>
                </c:pt>
                <c:pt idx="542">
                  <c:v>-53.216956719156613</c:v>
                </c:pt>
                <c:pt idx="543">
                  <c:v>-53.268182334290451</c:v>
                </c:pt>
                <c:pt idx="544">
                  <c:v>-53.31925805413897</c:v>
                </c:pt>
                <c:pt idx="545">
                  <c:v>-53.370184749255813</c:v>
                </c:pt>
                <c:pt idx="546">
                  <c:v>-53.420963282668325</c:v>
                </c:pt>
                <c:pt idx="547">
                  <c:v>-53.471594509963708</c:v>
                </c:pt>
                <c:pt idx="548">
                  <c:v>-53.522079279373862</c:v>
                </c:pt>
                <c:pt idx="549">
                  <c:v>-53.572418431859099</c:v>
                </c:pt>
                <c:pt idx="550">
                  <c:v>-53.622612801190563</c:v>
                </c:pt>
                <c:pt idx="551">
                  <c:v>-53.672663214031644</c:v>
                </c:pt>
                <c:pt idx="552">
                  <c:v>-53.722570490018114</c:v>
                </c:pt>
                <c:pt idx="553">
                  <c:v>-53.772335441837214</c:v>
                </c:pt>
                <c:pt idx="554">
                  <c:v>-53.821958875305604</c:v>
                </c:pt>
                <c:pt idx="555">
                  <c:v>-53.871441589446256</c:v>
                </c:pt>
                <c:pt idx="556">
                  <c:v>-53.920784376564271</c:v>
                </c:pt>
                <c:pt idx="557">
                  <c:v>-53.969988022321644</c:v>
                </c:pt>
                <c:pt idx="558">
                  <c:v>-54.019053305810935</c:v>
                </c:pt>
                <c:pt idx="559">
                  <c:v>-54.067980999628055</c:v>
                </c:pt>
                <c:pt idx="560">
                  <c:v>-54.116771869943967</c:v>
                </c:pt>
                <c:pt idx="561">
                  <c:v>-54.165426676575379</c:v>
                </c:pt>
                <c:pt idx="562">
                  <c:v>-54.213946173054552</c:v>
                </c:pt>
                <c:pt idx="563">
                  <c:v>-54.262331106698085</c:v>
                </c:pt>
                <c:pt idx="564">
                  <c:v>-54.310582218674824</c:v>
                </c:pt>
                <c:pt idx="565">
                  <c:v>-54.3587002440728</c:v>
                </c:pt>
                <c:pt idx="566">
                  <c:v>-54.406685911965297</c:v>
                </c:pt>
                <c:pt idx="567">
                  <c:v>-54.454539945475986</c:v>
                </c:pt>
                <c:pt idx="568">
                  <c:v>-54.502263061843266</c:v>
                </c:pt>
                <c:pt idx="569">
                  <c:v>-54.549855972483662</c:v>
                </c:pt>
                <c:pt idx="570">
                  <c:v>-54.597319383054355</c:v>
                </c:pt>
                <c:pt idx="571">
                  <c:v>-54.644653993515028</c:v>
                </c:pt>
                <c:pt idx="572">
                  <c:v>-54.691860498188696</c:v>
                </c:pt>
                <c:pt idx="573">
                  <c:v>-54.738939585821846</c:v>
                </c:pt>
                <c:pt idx="574">
                  <c:v>-54.785891939643776</c:v>
                </c:pt>
                <c:pt idx="575">
                  <c:v>-54.832718237425084</c:v>
                </c:pt>
                <c:pt idx="576">
                  <c:v>-54.879419151535458</c:v>
                </c:pt>
                <c:pt idx="577">
                  <c:v>-54.925995349000694</c:v>
                </c:pt>
                <c:pt idx="578">
                  <c:v>-54.972447491558903</c:v>
                </c:pt>
                <c:pt idx="579">
                  <c:v>-55.018776235716075</c:v>
                </c:pt>
                <c:pt idx="580">
                  <c:v>-55.064982232800844</c:v>
                </c:pt>
                <c:pt idx="581">
                  <c:v>-55.111066129018617</c:v>
                </c:pt>
                <c:pt idx="582">
                  <c:v>-55.157028565504874</c:v>
                </c:pt>
                <c:pt idx="583">
                  <c:v>-55.202870178377964</c:v>
                </c:pt>
                <c:pt idx="584">
                  <c:v>-55.248591598791052</c:v>
                </c:pt>
                <c:pt idx="585">
                  <c:v>-55.294193452983421</c:v>
                </c:pt>
                <c:pt idx="586">
                  <c:v>-55.339676362331275</c:v>
                </c:pt>
                <c:pt idx="587">
                  <c:v>-55.385040943397655</c:v>
                </c:pt>
                <c:pt idx="588">
                  <c:v>-55.430287807981898</c:v>
                </c:pt>
                <c:pt idx="589">
                  <c:v>-55.475417563168392</c:v>
                </c:pt>
                <c:pt idx="590">
                  <c:v>-55.520430811374681</c:v>
                </c:pt>
                <c:pt idx="591">
                  <c:v>-55.565328150399054</c:v>
                </c:pt>
                <c:pt idx="592">
                  <c:v>-55.610110173467433</c:v>
                </c:pt>
                <c:pt idx="593">
                  <c:v>-55.654777469279757</c:v>
                </c:pt>
                <c:pt idx="594">
                  <c:v>-55.699330622055697</c:v>
                </c:pt>
                <c:pt idx="595">
                  <c:v>-55.743770211579829</c:v>
                </c:pt>
                <c:pt idx="596">
                  <c:v>-55.78809681324632</c:v>
                </c:pt>
                <c:pt idx="597">
                  <c:v>-55.832310998102912</c:v>
                </c:pt>
                <c:pt idx="598">
                  <c:v>-55.876413332894465</c:v>
                </c:pt>
                <c:pt idx="599">
                  <c:v>-55.920404380105921</c:v>
                </c:pt>
                <c:pt idx="600">
                  <c:v>-55.964284698004725</c:v>
                </c:pt>
                <c:pt idx="601">
                  <c:v>-56.008054840682775</c:v>
                </c:pt>
                <c:pt idx="602">
                  <c:v>-56.051715358097731</c:v>
                </c:pt>
                <c:pt idx="603">
                  <c:v>-56.095266796114018</c:v>
                </c:pt>
                <c:pt idx="604">
                  <c:v>-56.138709696543089</c:v>
                </c:pt>
                <c:pt idx="605">
                  <c:v>-56.182044597183392</c:v>
                </c:pt>
                <c:pt idx="606">
                  <c:v>-58.221913434621506</c:v>
                </c:pt>
                <c:pt idx="607">
                  <c:v>-60.047750117086807</c:v>
                </c:pt>
                <c:pt idx="608">
                  <c:v>-61.70015266429553</c:v>
                </c:pt>
                <c:pt idx="609">
                  <c:v>-63.209179893424647</c:v>
                </c:pt>
                <c:pt idx="610">
                  <c:v>-64.597705770094692</c:v>
                </c:pt>
                <c:pt idx="611">
                  <c:v>-65.883538602183748</c:v>
                </c:pt>
                <c:pt idx="612">
                  <c:v>-67.080813060987396</c:v>
                </c:pt>
                <c:pt idx="613">
                  <c:v>-68.200935053561906</c:v>
                </c:pt>
                <c:pt idx="614">
                  <c:v>-69.253241316540667</c:v>
                </c:pt>
                <c:pt idx="615">
                  <c:v>-70.245471158378251</c:v>
                </c:pt>
                <c:pt idx="616">
                  <c:v>-71.184111064843123</c:v>
                </c:pt>
                <c:pt idx="617">
                  <c:v>-72.074651167048316</c:v>
                </c:pt>
                <c:pt idx="618">
                  <c:v>-72.418472666335248</c:v>
                </c:pt>
                <c:pt idx="619">
                  <c:v>-72.755624581101941</c:v>
                </c:pt>
                <c:pt idx="620">
                  <c:v>-73.086360626892912</c:v>
                </c:pt>
                <c:pt idx="621">
                  <c:v>-73.4109203186229</c:v>
                </c:pt>
                <c:pt idx="622">
                  <c:v>-73.72953001047216</c:v>
                </c:pt>
                <c:pt idx="623">
                  <c:v>-74.04240384234447</c:v>
                </c:pt>
                <c:pt idx="624">
                  <c:v>-74.349744602780859</c:v>
                </c:pt>
                <c:pt idx="625">
                  <c:v>-74.651744517021271</c:v>
                </c:pt>
                <c:pt idx="626">
                  <c:v>-74.948585967870116</c:v>
                </c:pt>
                <c:pt idx="627">
                  <c:v>-75.240442156123351</c:v>
                </c:pt>
                <c:pt idx="628">
                  <c:v>-75.527477706535521</c:v>
                </c:pt>
                <c:pt idx="629">
                  <c:v>-75.809849224626362</c:v>
                </c:pt>
                <c:pt idx="630">
                  <c:v>-76.087705809035228</c:v>
                </c:pt>
                <c:pt idx="631">
                  <c:v>-76.361189523613263</c:v>
                </c:pt>
                <c:pt idx="632">
                  <c:v>-76.630435832990202</c:v>
                </c:pt>
                <c:pt idx="633">
                  <c:v>-76.89557400495454</c:v>
                </c:pt>
                <c:pt idx="634">
                  <c:v>-77.156727482634366</c:v>
                </c:pt>
                <c:pt idx="635">
                  <c:v>-77.414014229158283</c:v>
                </c:pt>
                <c:pt idx="636">
                  <c:v>-77.667547047201509</c:v>
                </c:pt>
                <c:pt idx="637">
                  <c:v>-77.917433875581494</c:v>
                </c:pt>
                <c:pt idx="638">
                  <c:v>-78.163778064852295</c:v>
                </c:pt>
                <c:pt idx="639">
                  <c:v>-78.406678633657037</c:v>
                </c:pt>
                <c:pt idx="640">
                  <c:v>-78.646230507427816</c:v>
                </c:pt>
                <c:pt idx="641">
                  <c:v>-78.882524740871688</c:v>
                </c:pt>
                <c:pt idx="642">
                  <c:v>-79.115648725546265</c:v>
                </c:pt>
                <c:pt idx="643">
                  <c:v>-79.345686383707928</c:v>
                </c:pt>
                <c:pt idx="644">
                  <c:v>-79.572718349507682</c:v>
                </c:pt>
                <c:pt idx="645">
                  <c:v>-79.796822138512354</c:v>
                </c:pt>
                <c:pt idx="646">
                  <c:v>-80.018072306442519</c:v>
                </c:pt>
                <c:pt idx="647">
                  <c:v>-80.236540597939339</c:v>
                </c:pt>
                <c:pt idx="648">
                  <c:v>-80.452296086102791</c:v>
                </c:pt>
                <c:pt idx="649">
                  <c:v>-80.665405303479574</c:v>
                </c:pt>
                <c:pt idx="650">
                  <c:v>-80.875932365121557</c:v>
                </c:pt>
                <c:pt idx="651">
                  <c:v>-81.08393908428404</c:v>
                </c:pt>
                <c:pt idx="652">
                  <c:v>-81.28948508128552</c:v>
                </c:pt>
                <c:pt idx="653">
                  <c:v>-81.492627886008506</c:v>
                </c:pt>
                <c:pt idx="654">
                  <c:v>-81.693423034481498</c:v>
                </c:pt>
                <c:pt idx="655">
                  <c:v>-81.891924159948033</c:v>
                </c:pt>
                <c:pt idx="656">
                  <c:v>-82.088183078795566</c:v>
                </c:pt>
                <c:pt idx="657">
                  <c:v>-82.28224987168889</c:v>
                </c:pt>
                <c:pt idx="658">
                  <c:v>-82.474172960225204</c:v>
                </c:pt>
                <c:pt idx="659">
                  <c:v>-82.663999179404442</c:v>
                </c:pt>
                <c:pt idx="660">
                  <c:v>-82.851773846185978</c:v>
                </c:pt>
                <c:pt idx="661">
                  <c:v>-83.037540824382475</c:v>
                </c:pt>
                <c:pt idx="662">
                  <c:v>-83.221342586123342</c:v>
                </c:pt>
                <c:pt idx="663">
                  <c:v>-83.40322027010285</c:v>
                </c:pt>
                <c:pt idx="664">
                  <c:v>-83.583213736813008</c:v>
                </c:pt>
                <c:pt idx="665">
                  <c:v>-83.761361620946232</c:v>
                </c:pt>
                <c:pt idx="666">
                  <c:v>-83.937701381140087</c:v>
                </c:pt>
                <c:pt idx="667">
                  <c:v>-84.112269347224526</c:v>
                </c:pt>
              </c:numCache>
            </c:numRef>
          </c:yVal>
          <c:smooth val="0"/>
          <c:extLst>
            <c:ext xmlns:c16="http://schemas.microsoft.com/office/drawing/2014/chart" uri="{C3380CC4-5D6E-409C-BE32-E72D297353CC}">
              <c16:uniqueId val="{00000000-C323-45F5-AD89-2A9969707A73}"/>
            </c:ext>
          </c:extLst>
        </c:ser>
        <c:ser>
          <c:idx val="2"/>
          <c:order val="2"/>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Calculations'!$BF$9:$BF$676</c:f>
              <c:numCache>
                <c:formatCode>General</c:formatCode>
                <c:ptCount val="668"/>
                <c:pt idx="0">
                  <c:v>83.356455248542801</c:v>
                </c:pt>
                <c:pt idx="1">
                  <c:v>78.865556089294969</c:v>
                </c:pt>
                <c:pt idx="2">
                  <c:v>75.697324951254657</c:v>
                </c:pt>
                <c:pt idx="3">
                  <c:v>73.329443345413722</c:v>
                </c:pt>
                <c:pt idx="4">
                  <c:v>71.453195284485972</c:v>
                </c:pt>
                <c:pt idx="5">
                  <c:v>69.903603362570706</c:v>
                </c:pt>
                <c:pt idx="6">
                  <c:v>68.585324122733041</c:v>
                </c:pt>
                <c:pt idx="7">
                  <c:v>67.438951151392359</c:v>
                </c:pt>
                <c:pt idx="8">
                  <c:v>66.425163573092391</c:v>
                </c:pt>
                <c:pt idx="9">
                  <c:v>65.516658170980321</c:v>
                </c:pt>
                <c:pt idx="10">
                  <c:v>59.517603034332723</c:v>
                </c:pt>
                <c:pt idx="11">
                  <c:v>56.0002101497155</c:v>
                </c:pt>
                <c:pt idx="12">
                  <c:v>53.503496770723267</c:v>
                </c:pt>
                <c:pt idx="13">
                  <c:v>51.566809414291512</c:v>
                </c:pt>
                <c:pt idx="14">
                  <c:v>49.984599020212997</c:v>
                </c:pt>
                <c:pt idx="15">
                  <c:v>48.647133627721786</c:v>
                </c:pt>
                <c:pt idx="16">
                  <c:v>47.488885385675061</c:v>
                </c:pt>
                <c:pt idx="17">
                  <c:v>46.467576691482513</c:v>
                </c:pt>
                <c:pt idx="18">
                  <c:v>45.554335872812182</c:v>
                </c:pt>
                <c:pt idx="19">
                  <c:v>39.563018679686152</c:v>
                </c:pt>
                <c:pt idx="20">
                  <c:v>36.089603427819526</c:v>
                </c:pt>
                <c:pt idx="21">
                  <c:v>33.658398038228668</c:v>
                </c:pt>
                <c:pt idx="22">
                  <c:v>31.806785757538233</c:v>
                </c:pt>
                <c:pt idx="23">
                  <c:v>30.328573106991776</c:v>
                </c:pt>
                <c:pt idx="24">
                  <c:v>29.113640741532137</c:v>
                </c:pt>
                <c:pt idx="25">
                  <c:v>28.096131167368533</c:v>
                </c:pt>
                <c:pt idx="26">
                  <c:v>27.233444452252261</c:v>
                </c:pt>
                <c:pt idx="27">
                  <c:v>26.496380586330993</c:v>
                </c:pt>
                <c:pt idx="28">
                  <c:v>24.119203871308642</c:v>
                </c:pt>
                <c:pt idx="29">
                  <c:v>23.159850281705992</c:v>
                </c:pt>
                <c:pt idx="30">
                  <c:v>23.127914637188532</c:v>
                </c:pt>
                <c:pt idx="31">
                  <c:v>23.813578861383156</c:v>
                </c:pt>
                <c:pt idx="32">
                  <c:v>25.128127339038077</c:v>
                </c:pt>
                <c:pt idx="33">
                  <c:v>27.008363777064123</c:v>
                </c:pt>
                <c:pt idx="34">
                  <c:v>29.140231461864282</c:v>
                </c:pt>
                <c:pt idx="35">
                  <c:v>30.207903393273668</c:v>
                </c:pt>
                <c:pt idx="36">
                  <c:v>28.826565501849618</c:v>
                </c:pt>
                <c:pt idx="37">
                  <c:v>26.298937979788889</c:v>
                </c:pt>
                <c:pt idx="38">
                  <c:v>23.901167283911082</c:v>
                </c:pt>
                <c:pt idx="39">
                  <c:v>21.879967113688615</c:v>
                </c:pt>
                <c:pt idx="40">
                  <c:v>20.192742259591352</c:v>
                </c:pt>
                <c:pt idx="41">
                  <c:v>18.766169237344798</c:v>
                </c:pt>
                <c:pt idx="42">
                  <c:v>17.540297870990514</c:v>
                </c:pt>
                <c:pt idx="43">
                  <c:v>16.470814021190098</c:v>
                </c:pt>
                <c:pt idx="44">
                  <c:v>15.525325672482071</c:v>
                </c:pt>
                <c:pt idx="45">
                  <c:v>14.679884236480461</c:v>
                </c:pt>
                <c:pt idx="46">
                  <c:v>13.916475790071448</c:v>
                </c:pt>
                <c:pt idx="47">
                  <c:v>13.221305152355683</c:v>
                </c:pt>
                <c:pt idx="48">
                  <c:v>12.583627051535666</c:v>
                </c:pt>
                <c:pt idx="49">
                  <c:v>11.994940841770491</c:v>
                </c:pt>
                <c:pt idx="50">
                  <c:v>11.448426522146285</c:v>
                </c:pt>
                <c:pt idx="51">
                  <c:v>10.938542767280907</c:v>
                </c:pt>
                <c:pt idx="52">
                  <c:v>10.460735479251957</c:v>
                </c:pt>
                <c:pt idx="53">
                  <c:v>10.011223034308239</c:v>
                </c:pt>
                <c:pt idx="54">
                  <c:v>9.586835655895845</c:v>
                </c:pt>
                <c:pt idx="55">
                  <c:v>9.1848936048667245</c:v>
                </c:pt>
                <c:pt idx="56">
                  <c:v>8.8031136294187871</c:v>
                </c:pt>
                <c:pt idx="57">
                  <c:v>8.4395362779859049</c:v>
                </c:pt>
                <c:pt idx="58">
                  <c:v>8.0924688147025581</c:v>
                </c:pt>
                <c:pt idx="59">
                  <c:v>7.7604399437296685</c:v>
                </c:pt>
                <c:pt idx="60">
                  <c:v>7.4421635705687894</c:v>
                </c:pt>
                <c:pt idx="61">
                  <c:v>7.1365095503854805</c:v>
                </c:pt>
                <c:pt idx="62">
                  <c:v>6.8424798900442729</c:v>
                </c:pt>
                <c:pt idx="63">
                  <c:v>6.5591892448997982</c:v>
                </c:pt>
                <c:pt idx="64">
                  <c:v>6.2858488257142575</c:v>
                </c:pt>
                <c:pt idx="65">
                  <c:v>6.0217530342579595</c:v>
                </c:pt>
                <c:pt idx="66">
                  <c:v>5.7662682981553299</c:v>
                </c:pt>
                <c:pt idx="67">
                  <c:v>5.5188236903240862</c:v>
                </c:pt>
                <c:pt idx="68">
                  <c:v>5.2789030057988473</c:v>
                </c:pt>
                <c:pt idx="69">
                  <c:v>5.0460380358970767</c:v>
                </c:pt>
                <c:pt idx="70">
                  <c:v>4.8198028316794259</c:v>
                </c:pt>
                <c:pt idx="71">
                  <c:v>4.599808789201429</c:v>
                </c:pt>
                <c:pt idx="72">
                  <c:v>4.3857004208905543</c:v>
                </c:pt>
                <c:pt idx="73">
                  <c:v>4.1771517025453733</c:v>
                </c:pt>
                <c:pt idx="74">
                  <c:v>3.9738629054658547</c:v>
                </c:pt>
                <c:pt idx="75">
                  <c:v>3.775557839233322</c:v>
                </c:pt>
                <c:pt idx="76">
                  <c:v>3.5819814435380155</c:v>
                </c:pt>
                <c:pt idx="77">
                  <c:v>3.3928976778687465</c:v>
                </c:pt>
                <c:pt idx="78">
                  <c:v>3.2080876663466924</c:v>
                </c:pt>
                <c:pt idx="79">
                  <c:v>3.0273480619018525</c:v>
                </c:pt>
                <c:pt idx="80">
                  <c:v>2.8504895996665058</c:v>
                </c:pt>
                <c:pt idx="81">
                  <c:v>2.6773358141383441</c:v>
                </c:pt>
                <c:pt idx="82">
                  <c:v>2.5077218985382679</c:v>
                </c:pt>
                <c:pt idx="83">
                  <c:v>2.3414936880062358</c:v>
                </c:pt>
                <c:pt idx="84">
                  <c:v>2.178506750963805</c:v>
                </c:pt>
                <c:pt idx="85">
                  <c:v>2.0186255752205984</c:v>
                </c:pt>
                <c:pt idx="86">
                  <c:v>1.8617228372919994</c:v>
                </c:pt>
                <c:pt idx="87">
                  <c:v>1.7076787449894395</c:v>
                </c:pt>
                <c:pt idx="88">
                  <c:v>1.5563804446929772</c:v>
                </c:pt>
                <c:pt idx="89">
                  <c:v>1.4077214858612452</c:v>
                </c:pt>
                <c:pt idx="90">
                  <c:v>1.2616013363084153</c:v>
                </c:pt>
                <c:pt idx="91">
                  <c:v>1.1179249426103746</c:v>
                </c:pt>
                <c:pt idx="92">
                  <c:v>0.97660233071566882</c:v>
                </c:pt>
                <c:pt idx="93">
                  <c:v>0.83754824244872417</c:v>
                </c:pt>
                <c:pt idx="94">
                  <c:v>0.70068180412069758</c:v>
                </c:pt>
                <c:pt idx="95">
                  <c:v>0.56592622391828706</c:v>
                </c:pt>
                <c:pt idx="96">
                  <c:v>0.43320851513517622</c:v>
                </c:pt>
                <c:pt idx="97">
                  <c:v>0.30245924265247842</c:v>
                </c:pt>
                <c:pt idx="98">
                  <c:v>0.17361229037225825</c:v>
                </c:pt>
                <c:pt idx="99">
                  <c:v>4.6604647567034745E-2</c:v>
                </c:pt>
                <c:pt idx="100">
                  <c:v>-7.8623787665053013E-2</c:v>
                </c:pt>
                <c:pt idx="101">
                  <c:v>-0.20213038945173878</c:v>
                </c:pt>
                <c:pt idx="102">
                  <c:v>-0.32396997114294557</c:v>
                </c:pt>
                <c:pt idx="103">
                  <c:v>-0.4441949395375982</c:v>
                </c:pt>
                <c:pt idx="104">
                  <c:v>-0.5628554374914666</c:v>
                </c:pt>
                <c:pt idx="105">
                  <c:v>-0.67999947593820009</c:v>
                </c:pt>
                <c:pt idx="106">
                  <c:v>-0.79567305625040263</c:v>
                </c:pt>
                <c:pt idx="107">
                  <c:v>-0.9099202837746363</c:v>
                </c:pt>
                <c:pt idx="108">
                  <c:v>-1.0227834732917793</c:v>
                </c:pt>
                <c:pt idx="109">
                  <c:v>-1.1343032470807166</c:v>
                </c:pt>
                <c:pt idx="110">
                  <c:v>-1.2445186261979948</c:v>
                </c:pt>
                <c:pt idx="111">
                  <c:v>-1.35346711552805</c:v>
                </c:pt>
                <c:pt idx="112">
                  <c:v>-1.461184783106408</c:v>
                </c:pt>
                <c:pt idx="113">
                  <c:v>-1.5677063341717887</c:v>
                </c:pt>
                <c:pt idx="114">
                  <c:v>-1.6730651803616123</c:v>
                </c:pt>
                <c:pt idx="115">
                  <c:v>-1.777293504427595</c:v>
                </c:pt>
                <c:pt idx="116">
                  <c:v>-1.8804223208150395</c:v>
                </c:pt>
                <c:pt idx="117">
                  <c:v>-1.9824815324188483</c:v>
                </c:pt>
                <c:pt idx="118">
                  <c:v>-2.0834999838022976</c:v>
                </c:pt>
                <c:pt idx="119">
                  <c:v>-2.1835055111399488</c:v>
                </c:pt>
                <c:pt idx="120">
                  <c:v>-2.2825249891240613</c:v>
                </c:pt>
                <c:pt idx="121">
                  <c:v>-2.3805843750535565</c:v>
                </c:pt>
                <c:pt idx="122">
                  <c:v>-2.4777087503068378</c:v>
                </c:pt>
                <c:pt idx="123">
                  <c:v>-2.5739223593828764</c:v>
                </c:pt>
                <c:pt idx="124">
                  <c:v>-2.6692486466804062</c:v>
                </c:pt>
                <c:pt idx="125">
                  <c:v>-2.7637102911713014</c:v>
                </c:pt>
                <c:pt idx="126">
                  <c:v>-2.8573292391119316</c:v>
                </c:pt>
                <c:pt idx="127">
                  <c:v>-2.9501267349250182</c:v>
                </c:pt>
                <c:pt idx="128">
                  <c:v>-3.0421233503743634</c:v>
                </c:pt>
                <c:pt idx="129">
                  <c:v>-3.1333390121453606</c:v>
                </c:pt>
                <c:pt idx="130">
                  <c:v>-3.2237930279356237</c:v>
                </c:pt>
                <c:pt idx="131">
                  <c:v>-3.3135041111524943</c:v>
                </c:pt>
                <c:pt idx="132">
                  <c:v>-3.4024904043067599</c:v>
                </c:pt>
                <c:pt idx="133">
                  <c:v>-3.4907695011854272</c:v>
                </c:pt>
                <c:pt idx="134">
                  <c:v>-3.578358467880558</c:v>
                </c:pt>
                <c:pt idx="135">
                  <c:v>-3.665273862745436</c:v>
                </c:pt>
                <c:pt idx="136">
                  <c:v>-3.7515317553443515</c:v>
                </c:pt>
                <c:pt idx="137">
                  <c:v>-3.8371477444576687</c:v>
                </c:pt>
                <c:pt idx="138">
                  <c:v>-3.9221369751994595</c:v>
                </c:pt>
                <c:pt idx="139">
                  <c:v>-4.006514155301085</c:v>
                </c:pt>
                <c:pt idx="140">
                  <c:v>-4.0902935706104602</c:v>
                </c:pt>
                <c:pt idx="141">
                  <c:v>-4.1734890998533185</c:v>
                </c:pt>
                <c:pt idx="142">
                  <c:v>-4.256114228699726</c:v>
                </c:pt>
                <c:pt idx="143">
                  <c:v>-4.3381820631762462</c:v>
                </c:pt>
                <c:pt idx="144">
                  <c:v>-4.4197053424613877</c:v>
                </c:pt>
                <c:pt idx="145">
                  <c:v>-4.5006964510995937</c:v>
                </c:pt>
                <c:pt idx="146">
                  <c:v>-4.5811674306668095</c:v>
                </c:pt>
                <c:pt idx="147">
                  <c:v>-4.6611299909182797</c:v>
                </c:pt>
                <c:pt idx="148">
                  <c:v>-4.7405955204476218</c:v>
                </c:pt>
                <c:pt idx="149">
                  <c:v>-4.8195750968841375</c:v>
                </c:pt>
                <c:pt idx="150">
                  <c:v>-4.8980794966536987</c:v>
                </c:pt>
                <c:pt idx="151">
                  <c:v>-4.9761192043269933</c:v>
                </c:pt>
                <c:pt idx="152">
                  <c:v>-5.0537044215774412</c:v>
                </c:pt>
                <c:pt idx="153">
                  <c:v>-5.1308450757696971</c:v>
                </c:pt>
                <c:pt idx="154">
                  <c:v>-5.2075508281983618</c:v>
                </c:pt>
                <c:pt idx="155">
                  <c:v>-5.2838310819954657</c:v>
                </c:pt>
                <c:pt idx="156">
                  <c:v>-5.3596949897239723</c:v>
                </c:pt>
                <c:pt idx="157">
                  <c:v>-5.4351514606736657</c:v>
                </c:pt>
                <c:pt idx="158">
                  <c:v>-5.5102091678748311</c:v>
                </c:pt>
                <c:pt idx="159">
                  <c:v>-5.58487655484406</c:v>
                </c:pt>
                <c:pt idx="160">
                  <c:v>-5.6591618420759202</c:v>
                </c:pt>
                <c:pt idx="161">
                  <c:v>-5.7330730332931648</c:v>
                </c:pt>
                <c:pt idx="162">
                  <c:v>-5.8066179214676596</c:v>
                </c:pt>
                <c:pt idx="163">
                  <c:v>-5.8798040946233421</c:v>
                </c:pt>
                <c:pt idx="164">
                  <c:v>-5.9526389414319789</c:v>
                </c:pt>
                <c:pt idx="165">
                  <c:v>-6.0251296566117416</c:v>
                </c:pt>
                <c:pt idx="166">
                  <c:v>-6.0972832461382911</c:v>
                </c:pt>
                <c:pt idx="167">
                  <c:v>-6.1691065322772332</c:v>
                </c:pt>
                <c:pt idx="168">
                  <c:v>-6.2406061584464956</c:v>
                </c:pt>
                <c:pt idx="169">
                  <c:v>-6.3117885939166758</c:v>
                </c:pt>
                <c:pt idx="170">
                  <c:v>-6.3826601383568615</c:v>
                </c:pt>
                <c:pt idx="171">
                  <c:v>-6.4532269262331585</c:v>
                </c:pt>
                <c:pt idx="172">
                  <c:v>-6.5234949310666392</c:v>
                </c:pt>
                <c:pt idx="173">
                  <c:v>-6.5934699695570753</c:v>
                </c:pt>
                <c:pt idx="174">
                  <c:v>-6.6631577055785716</c:v>
                </c:pt>
                <c:pt idx="175">
                  <c:v>-6.732563654052738</c:v>
                </c:pt>
                <c:pt idx="176">
                  <c:v>-6.8016931847048259</c:v>
                </c:pt>
                <c:pt idx="177">
                  <c:v>-6.8705515257079277</c:v>
                </c:pt>
                <c:pt idx="178">
                  <c:v>-6.9391437672200897</c:v>
                </c:pt>
                <c:pt idx="179">
                  <c:v>-7.0074748648188825</c:v>
                </c:pt>
                <c:pt idx="180">
                  <c:v>-7.075549642837756</c:v>
                </c:pt>
                <c:pt idx="181">
                  <c:v>-7.1433727976082846</c:v>
                </c:pt>
                <c:pt idx="182">
                  <c:v>-7.2109489006121805</c:v>
                </c:pt>
                <c:pt idx="183">
                  <c:v>-7.2782824015467407</c:v>
                </c:pt>
                <c:pt idx="184">
                  <c:v>-7.3453776313071675</c:v>
                </c:pt>
                <c:pt idx="185">
                  <c:v>-7.412238804889121</c:v>
                </c:pt>
                <c:pt idx="186">
                  <c:v>-7.4788700242145794</c:v>
                </c:pt>
                <c:pt idx="187">
                  <c:v>-7.5452752808839465</c:v>
                </c:pt>
                <c:pt idx="188">
                  <c:v>-7.6114584588572427</c:v>
                </c:pt>
                <c:pt idx="189">
                  <c:v>-7.6774233370670339</c:v>
                </c:pt>
                <c:pt idx="190">
                  <c:v>-7.7431735919655633</c:v>
                </c:pt>
                <c:pt idx="191">
                  <c:v>-7.8087128000085384</c:v>
                </c:pt>
                <c:pt idx="192">
                  <c:v>-7.8740444400778111</c:v>
                </c:pt>
                <c:pt idx="193">
                  <c:v>-7.9391718958450328</c:v>
                </c:pt>
                <c:pt idx="194">
                  <c:v>-8.0040984580784951</c:v>
                </c:pt>
                <c:pt idx="195">
                  <c:v>-8.0688273268948407</c:v>
                </c:pt>
                <c:pt idx="196">
                  <c:v>-8.1333616139577209</c:v>
                </c:pt>
                <c:pt idx="197">
                  <c:v>-8.1977043446249791</c:v>
                </c:pt>
                <c:pt idx="198">
                  <c:v>-8.2618584600461205</c:v>
                </c:pt>
                <c:pt idx="199">
                  <c:v>-8.3258268192115334</c:v>
                </c:pt>
                <c:pt idx="200">
                  <c:v>-8.3896122009550762</c:v>
                </c:pt>
                <c:pt idx="201">
                  <c:v>-8.4532173059113607</c:v>
                </c:pt>
                <c:pt idx="202">
                  <c:v>-8.5166447584291447</c:v>
                </c:pt>
                <c:pt idx="203">
                  <c:v>-8.5798971084420277</c:v>
                </c:pt>
                <c:pt idx="204">
                  <c:v>-8.6429768332978689</c:v>
                </c:pt>
                <c:pt idx="205">
                  <c:v>-8.7058863395478188</c:v>
                </c:pt>
                <c:pt idx="206">
                  <c:v>-8.7686279646963214</c:v>
                </c:pt>
                <c:pt idx="207">
                  <c:v>-8.8312039789130079</c:v>
                </c:pt>
                <c:pt idx="208">
                  <c:v>-8.8936165867075552</c:v>
                </c:pt>
                <c:pt idx="209">
                  <c:v>-8.9558679285684075</c:v>
                </c:pt>
                <c:pt idx="210">
                  <c:v>-9.0179600825663861</c:v>
                </c:pt>
                <c:pt idx="211">
                  <c:v>-9.0798950659239512</c:v>
                </c:pt>
                <c:pt idx="212">
                  <c:v>-9.1416748365510454</c:v>
                </c:pt>
                <c:pt idx="213">
                  <c:v>-9.2033012945482611</c:v>
                </c:pt>
                <c:pt idx="214">
                  <c:v>-9.2647762836781649</c:v>
                </c:pt>
                <c:pt idx="215">
                  <c:v>-9.3261015928054469</c:v>
                </c:pt>
                <c:pt idx="216">
                  <c:v>-9.3872789573066466</c:v>
                </c:pt>
                <c:pt idx="217">
                  <c:v>-9.4483100604501455</c:v>
                </c:pt>
                <c:pt idx="218">
                  <c:v>-9.5091965347470406</c:v>
                </c:pt>
                <c:pt idx="219">
                  <c:v>-9.5699399632735194</c:v>
                </c:pt>
                <c:pt idx="220">
                  <c:v>-9.6305418809654064</c:v>
                </c:pt>
                <c:pt idx="221">
                  <c:v>-9.69100377588539</c:v>
                </c:pt>
                <c:pt idx="222">
                  <c:v>-9.7513270904634979</c:v>
                </c:pt>
                <c:pt idx="223">
                  <c:v>-9.8115132227114241</c:v>
                </c:pt>
                <c:pt idx="224">
                  <c:v>-9.8715635274111264</c:v>
                </c:pt>
                <c:pt idx="225">
                  <c:v>-9.9314793172783098</c:v>
                </c:pt>
                <c:pt idx="226">
                  <c:v>-10.523499828845047</c:v>
                </c:pt>
                <c:pt idx="227">
                  <c:v>-11.10324137682891</c:v>
                </c:pt>
                <c:pt idx="228">
                  <c:v>-11.671479879831297</c:v>
                </c:pt>
                <c:pt idx="229">
                  <c:v>-12.228768643067822</c:v>
                </c:pt>
                <c:pt idx="230">
                  <c:v>-12.775501301545704</c:v>
                </c:pt>
                <c:pt idx="231">
                  <c:v>-13.311960737178286</c:v>
                </c:pt>
                <c:pt idx="232">
                  <c:v>-13.838356380759123</c:v>
                </c:pt>
                <c:pt idx="233">
                  <c:v>-14.354852032298167</c:v>
                </c:pt>
                <c:pt idx="234">
                  <c:v>-14.861586072542583</c:v>
                </c:pt>
                <c:pt idx="235">
                  <c:v>-15.358685682295389</c:v>
                </c:pt>
                <c:pt idx="236">
                  <c:v>-15.846276436615216</c:v>
                </c:pt>
                <c:pt idx="237">
                  <c:v>-16.324488405222656</c:v>
                </c:pt>
                <c:pt idx="238">
                  <c:v>-16.7934596754131</c:v>
                </c:pt>
                <c:pt idx="239">
                  <c:v>-17.253338024203757</c:v>
                </c:pt>
                <c:pt idx="240">
                  <c:v>-17.70428130437147</c:v>
                </c:pt>
                <c:pt idx="241">
                  <c:v>-18.146456974214086</c:v>
                </c:pt>
                <c:pt idx="242">
                  <c:v>-18.58004109140785</c:v>
                </c:pt>
                <c:pt idx="243">
                  <c:v>-19.005217004392655</c:v>
                </c:pt>
                <c:pt idx="244">
                  <c:v>-19.422173907041113</c:v>
                </c:pt>
                <c:pt idx="245">
                  <c:v>-19.831105370684146</c:v>
                </c:pt>
                <c:pt idx="246">
                  <c:v>-20.23220792882767</c:v>
                </c:pt>
                <c:pt idx="247">
                  <c:v>-20.625679761412684</c:v>
                </c:pt>
                <c:pt idx="248">
                  <c:v>-21.011719504960318</c:v>
                </c:pt>
                <c:pt idx="249">
                  <c:v>-21.390525200521662</c:v>
                </c:pt>
                <c:pt idx="250">
                  <c:v>-21.762293381505401</c:v>
                </c:pt>
                <c:pt idx="251">
                  <c:v>-22.127218296991003</c:v>
                </c:pt>
                <c:pt idx="252">
                  <c:v>-22.485491262126565</c:v>
                </c:pt>
                <c:pt idx="253">
                  <c:v>-22.837300124953806</c:v>
                </c:pt>
                <c:pt idx="254">
                  <c:v>-23.182828837967591</c:v>
                </c:pt>
                <c:pt idx="255">
                  <c:v>-23.522257122511341</c:v>
                </c:pt>
                <c:pt idx="256">
                  <c:v>-23.855760214445549</c:v>
                </c:pt>
                <c:pt idx="257">
                  <c:v>-24.183508680197395</c:v>
                </c:pt>
                <c:pt idx="258">
                  <c:v>-24.505668293160021</c:v>
                </c:pt>
                <c:pt idx="259">
                  <c:v>-24.82239996135764</c:v>
                </c:pt>
                <c:pt idx="260">
                  <c:v>-25.133859698260636</c:v>
                </c:pt>
                <c:pt idx="261">
                  <c:v>-25.440198629576859</c:v>
                </c:pt>
                <c:pt idx="262">
                  <c:v>-25.741563029735957</c:v>
                </c:pt>
                <c:pt idx="263">
                  <c:v>-26.03809438260491</c:v>
                </c:pt>
                <c:pt idx="264">
                  <c:v>-26.329929461719935</c:v>
                </c:pt>
                <c:pt idx="265">
                  <c:v>-26.61720042598942</c:v>
                </c:pt>
                <c:pt idx="266">
                  <c:v>-26.900034927416637</c:v>
                </c:pt>
                <c:pt idx="267">
                  <c:v>-27.178556227914473</c:v>
                </c:pt>
                <c:pt idx="268">
                  <c:v>-27.452883322741492</c:v>
                </c:pt>
                <c:pt idx="269">
                  <c:v>-27.723131068486467</c:v>
                </c:pt>
                <c:pt idx="270">
                  <c:v>-27.989410313872103</c:v>
                </c:pt>
                <c:pt idx="271">
                  <c:v>-28.251828031944605</c:v>
                </c:pt>
                <c:pt idx="272">
                  <c:v>-28.510487452469725</c:v>
                </c:pt>
                <c:pt idx="273">
                  <c:v>-28.765488193572303</c:v>
                </c:pt>
                <c:pt idx="274">
                  <c:v>-29.016926391841061</c:v>
                </c:pt>
                <c:pt idx="275">
                  <c:v>-29.264894830276798</c:v>
                </c:pt>
                <c:pt idx="276">
                  <c:v>-29.509483063594296</c:v>
                </c:pt>
                <c:pt idx="277">
                  <c:v>-29.750777540499861</c:v>
                </c:pt>
                <c:pt idx="278">
                  <c:v>-29.988861722659706</c:v>
                </c:pt>
                <c:pt idx="279">
                  <c:v>-30.223816200152566</c:v>
                </c:pt>
                <c:pt idx="280">
                  <c:v>-30.455718803265164</c:v>
                </c:pt>
                <c:pt idx="281">
                  <c:v>-30.684644710542607</c:v>
                </c:pt>
                <c:pt idx="282">
                  <c:v>-30.910666553050532</c:v>
                </c:pt>
                <c:pt idx="283">
                  <c:v>-31.1338545148419</c:v>
                </c:pt>
                <c:pt idx="284">
                  <c:v>-31.354276429650675</c:v>
                </c:pt>
                <c:pt idx="285">
                  <c:v>-31.571997873858617</c:v>
                </c:pt>
                <c:pt idx="286">
                  <c:v>-31.787082255799938</c:v>
                </c:pt>
                <c:pt idx="287">
                  <c:v>-31.999590901483508</c:v>
                </c:pt>
                <c:pt idx="288">
                  <c:v>-32.209583136823412</c:v>
                </c:pt>
                <c:pt idx="289">
                  <c:v>-32.417116366477309</c:v>
                </c:pt>
                <c:pt idx="290">
                  <c:v>-32.622246149398045</c:v>
                </c:pt>
                <c:pt idx="291">
                  <c:v>-32.825026271207946</c:v>
                </c:pt>
                <c:pt idx="292">
                  <c:v>-33.025508813507948</c:v>
                </c:pt>
                <c:pt idx="293">
                  <c:v>-33.223744220234501</c:v>
                </c:pt>
                <c:pt idx="294">
                  <c:v>-33.419781361177684</c:v>
                </c:pt>
                <c:pt idx="295">
                  <c:v>-33.613667592772643</c:v>
                </c:pt>
                <c:pt idx="296">
                  <c:v>-33.80544881627533</c:v>
                </c:pt>
                <c:pt idx="297">
                  <c:v>-33.995169533431159</c:v>
                </c:pt>
                <c:pt idx="298">
                  <c:v>-34.182872899742854</c:v>
                </c:pt>
                <c:pt idx="299">
                  <c:v>-34.368600775440719</c:v>
                </c:pt>
                <c:pt idx="300">
                  <c:v>-34.552393774255641</c:v>
                </c:pt>
                <c:pt idx="301">
                  <c:v>-34.734291310091706</c:v>
                </c:pt>
                <c:pt idx="302">
                  <c:v>-34.91433164169208</c:v>
                </c:pt>
                <c:pt idx="303">
                  <c:v>-35.09255191538805</c:v>
                </c:pt>
                <c:pt idx="304">
                  <c:v>-35.268988206018129</c:v>
                </c:pt>
                <c:pt idx="305">
                  <c:v>-35.443675556100139</c:v>
                </c:pt>
                <c:pt idx="306">
                  <c:v>-35.616648013336082</c:v>
                </c:pt>
                <c:pt idx="307">
                  <c:v>-35.787938666526152</c:v>
                </c:pt>
                <c:pt idx="308">
                  <c:v>-35.957579679964724</c:v>
                </c:pt>
                <c:pt idx="309">
                  <c:v>-36.125602326388389</c:v>
                </c:pt>
                <c:pt idx="310">
                  <c:v>-36.292037018542295</c:v>
                </c:pt>
                <c:pt idx="311">
                  <c:v>-36.456913339428837</c:v>
                </c:pt>
                <c:pt idx="312">
                  <c:v>-36.620260071298873</c:v>
                </c:pt>
                <c:pt idx="313">
                  <c:v>-36.782105223443693</c:v>
                </c:pt>
                <c:pt idx="314">
                  <c:v>-36.942476058842693</c:v>
                </c:pt>
                <c:pt idx="315">
                  <c:v>-37.101399119719204</c:v>
                </c:pt>
                <c:pt idx="316">
                  <c:v>-37.258900252054644</c:v>
                </c:pt>
                <c:pt idx="317">
                  <c:v>-37.41500462910841</c:v>
                </c:pt>
                <c:pt idx="318">
                  <c:v>-37.569736773989035</c:v>
                </c:pt>
                <c:pt idx="319">
                  <c:v>-37.723120581319634</c:v>
                </c:pt>
                <c:pt idx="320">
                  <c:v>-37.875179338038699</c:v>
                </c:pt>
                <c:pt idx="321">
                  <c:v>-38.025935743375342</c:v>
                </c:pt>
                <c:pt idx="322">
                  <c:v>-38.175411928036176</c:v>
                </c:pt>
                <c:pt idx="323">
                  <c:v>-38.323629472639269</c:v>
                </c:pt>
                <c:pt idx="324">
                  <c:v>-38.470609425428613</c:v>
                </c:pt>
                <c:pt idx="325">
                  <c:v>-38.616372319301455</c:v>
                </c:pt>
                <c:pt idx="326">
                  <c:v>-38.760938188178685</c:v>
                </c:pt>
                <c:pt idx="327">
                  <c:v>-38.904326582747551</c:v>
                </c:pt>
                <c:pt idx="328">
                  <c:v>-39.046556585604023</c:v>
                </c:pt>
                <c:pt idx="329">
                  <c:v>-39.187646825821417</c:v>
                </c:pt>
                <c:pt idx="330">
                  <c:v>-39.327615492969905</c:v>
                </c:pt>
                <c:pt idx="331">
                  <c:v>-39.466480350611135</c:v>
                </c:pt>
                <c:pt idx="332">
                  <c:v>-39.604258749290295</c:v>
                </c:pt>
                <c:pt idx="333">
                  <c:v>-39.740967639047376</c:v>
                </c:pt>
                <c:pt idx="334">
                  <c:v>-39.876623581468237</c:v>
                </c:pt>
                <c:pt idx="335">
                  <c:v>-40.011242761294838</c:v>
                </c:pt>
                <c:pt idx="336">
                  <c:v>-40.144840997613649</c:v>
                </c:pt>
                <c:pt idx="337">
                  <c:v>-40.277433754639638</c:v>
                </c:pt>
                <c:pt idx="338">
                  <c:v>-40.409036152113103</c:v>
                </c:pt>
                <c:pt idx="339">
                  <c:v>-40.539662975325221</c:v>
                </c:pt>
                <c:pt idx="340">
                  <c:v>-40.669328684787999</c:v>
                </c:pt>
                <c:pt idx="341">
                  <c:v>-40.798047425563013</c:v>
                </c:pt>
                <c:pt idx="342">
                  <c:v>-40.925833036263271</c:v>
                </c:pt>
                <c:pt idx="343">
                  <c:v>-41.052699057741144</c:v>
                </c:pt>
                <c:pt idx="344">
                  <c:v>-41.178658741475552</c:v>
                </c:pt>
                <c:pt idx="345">
                  <c:v>-41.303725057670221</c:v>
                </c:pt>
                <c:pt idx="346">
                  <c:v>-41.427910703074808</c:v>
                </c:pt>
                <c:pt idx="347">
                  <c:v>-41.551228108539959</c:v>
                </c:pt>
                <c:pt idx="348">
                  <c:v>-41.673689446316729</c:v>
                </c:pt>
                <c:pt idx="349">
                  <c:v>-41.795306637110762</c:v>
                </c:pt>
                <c:pt idx="350">
                  <c:v>-41.916091356900566</c:v>
                </c:pt>
                <c:pt idx="351">
                  <c:v>-42.036055043529316</c:v>
                </c:pt>
                <c:pt idx="352">
                  <c:v>-42.155208903079028</c:v>
                </c:pt>
                <c:pt idx="353">
                  <c:v>-42.273563916035279</c:v>
                </c:pt>
                <c:pt idx="354">
                  <c:v>-42.39113084325087</c:v>
                </c:pt>
                <c:pt idx="355">
                  <c:v>-42.507920231715886</c:v>
                </c:pt>
                <c:pt idx="356">
                  <c:v>-42.623942420141617</c:v>
                </c:pt>
                <c:pt idx="357">
                  <c:v>-42.739207544365442</c:v>
                </c:pt>
                <c:pt idx="358">
                  <c:v>-42.85372554258327</c:v>
                </c:pt>
                <c:pt idx="359">
                  <c:v>-42.967506160416235</c:v>
                </c:pt>
                <c:pt idx="360">
                  <c:v>-43.080558955817594</c:v>
                </c:pt>
                <c:pt idx="361">
                  <c:v>-43.192893303825876</c:v>
                </c:pt>
                <c:pt idx="362">
                  <c:v>-43.304518401169886</c:v>
                </c:pt>
                <c:pt idx="363">
                  <c:v>-43.415443270731167</c:v>
                </c:pt>
                <c:pt idx="364">
                  <c:v>-43.525676765868852</c:v>
                </c:pt>
                <c:pt idx="365">
                  <c:v>-43.635227574612088</c:v>
                </c:pt>
                <c:pt idx="366">
                  <c:v>-43.744104223724847</c:v>
                </c:pt>
                <c:pt idx="367">
                  <c:v>-43.852315082647493</c:v>
                </c:pt>
                <c:pt idx="368">
                  <c:v>-43.959868367319743</c:v>
                </c:pt>
                <c:pt idx="369">
                  <c:v>-44.066772143889096</c:v>
                </c:pt>
                <c:pt idx="370">
                  <c:v>-44.173034332308788</c:v>
                </c:pt>
                <c:pt idx="371">
                  <c:v>-44.278662709829305</c:v>
                </c:pt>
                <c:pt idx="372">
                  <c:v>-44.383664914386856</c:v>
                </c:pt>
                <c:pt idx="373">
                  <c:v>-44.48804844789278</c:v>
                </c:pt>
                <c:pt idx="374">
                  <c:v>-44.59182067942703</c:v>
                </c:pt>
                <c:pt idx="375">
                  <c:v>-44.694988848339179</c:v>
                </c:pt>
                <c:pt idx="376">
                  <c:v>-44.79756006725998</c:v>
                </c:pt>
                <c:pt idx="377">
                  <c:v>-44.899541325026746</c:v>
                </c:pt>
                <c:pt idx="378">
                  <c:v>-45.000939489525258</c:v>
                </c:pt>
                <c:pt idx="379">
                  <c:v>-45.101761310451103</c:v>
                </c:pt>
                <c:pt idx="380">
                  <c:v>-45.202013421993158</c:v>
                </c:pt>
                <c:pt idx="381">
                  <c:v>-45.301702345441811</c:v>
                </c:pt>
                <c:pt idx="382">
                  <c:v>-45.400834491724389</c:v>
                </c:pt>
                <c:pt idx="383">
                  <c:v>-45.499416163870201</c:v>
                </c:pt>
                <c:pt idx="384">
                  <c:v>-45.597453559407597</c:v>
                </c:pt>
                <c:pt idx="385">
                  <c:v>-45.694952772695075</c:v>
                </c:pt>
                <c:pt idx="386">
                  <c:v>-45.791919797188818</c:v>
                </c:pt>
                <c:pt idx="387">
                  <c:v>-45.888360527648551</c:v>
                </c:pt>
                <c:pt idx="388">
                  <c:v>-45.984280762283738</c:v>
                </c:pt>
                <c:pt idx="389">
                  <c:v>-46.079686204842062</c:v>
                </c:pt>
                <c:pt idx="390">
                  <c:v>-46.174582466642036</c:v>
                </c:pt>
                <c:pt idx="391">
                  <c:v>-46.268975068551484</c:v>
                </c:pt>
                <c:pt idx="392">
                  <c:v>-46.362869442913592</c:v>
                </c:pt>
                <c:pt idx="393">
                  <c:v>-46.456270935422253</c:v>
                </c:pt>
                <c:pt idx="394">
                  <c:v>-46.549184806948141</c:v>
                </c:pt>
                <c:pt idx="395">
                  <c:v>-46.641616235317258</c:v>
                </c:pt>
                <c:pt idx="396">
                  <c:v>-46.733570317043231</c:v>
                </c:pt>
                <c:pt idx="397">
                  <c:v>-46.825052069014887</c:v>
                </c:pt>
                <c:pt idx="398">
                  <c:v>-46.916066430140468</c:v>
                </c:pt>
                <c:pt idx="399">
                  <c:v>-47.006618262949743</c:v>
                </c:pt>
                <c:pt idx="400">
                  <c:v>-47.096712355155425</c:v>
                </c:pt>
                <c:pt idx="401">
                  <c:v>-47.186353421174971</c:v>
                </c:pt>
                <c:pt idx="402">
                  <c:v>-47.275546103614097</c:v>
                </c:pt>
                <c:pt idx="403">
                  <c:v>-47.364294974713005</c:v>
                </c:pt>
                <c:pt idx="404">
                  <c:v>-47.452604537756628</c:v>
                </c:pt>
                <c:pt idx="405">
                  <c:v>-47.540479228449712</c:v>
                </c:pt>
                <c:pt idx="406">
                  <c:v>-47.627923416258035</c:v>
                </c:pt>
                <c:pt idx="407">
                  <c:v>-47.714941405716537</c:v>
                </c:pt>
                <c:pt idx="408">
                  <c:v>-47.801537437705512</c:v>
                </c:pt>
                <c:pt idx="409">
                  <c:v>-47.887715690695607</c:v>
                </c:pt>
                <c:pt idx="410">
                  <c:v>-47.973480281962694</c:v>
                </c:pt>
                <c:pt idx="411">
                  <c:v>-48.05883526877335</c:v>
                </c:pt>
                <c:pt idx="412">
                  <c:v>-48.143784649542013</c:v>
                </c:pt>
                <c:pt idx="413">
                  <c:v>-48.228332364960195</c:v>
                </c:pt>
                <c:pt idx="414">
                  <c:v>-48.312482299099109</c:v>
                </c:pt>
                <c:pt idx="415">
                  <c:v>-48.396238280485981</c:v>
                </c:pt>
                <c:pt idx="416">
                  <c:v>-48.479604083155024</c:v>
                </c:pt>
                <c:pt idx="417">
                  <c:v>-48.562583427673786</c:v>
                </c:pt>
                <c:pt idx="418">
                  <c:v>-48.645179982145443</c:v>
                </c:pt>
                <c:pt idx="419">
                  <c:v>-48.727397363187819</c:v>
                </c:pt>
                <c:pt idx="420">
                  <c:v>-48.809239136889772</c:v>
                </c:pt>
                <c:pt idx="421">
                  <c:v>-48.890708819745427</c:v>
                </c:pt>
                <c:pt idx="422">
                  <c:v>-48.971809879567054</c:v>
                </c:pt>
                <c:pt idx="423">
                  <c:v>-49.052545736377084</c:v>
                </c:pt>
                <c:pt idx="424">
                  <c:v>-49.132919763279766</c:v>
                </c:pt>
                <c:pt idx="425">
                  <c:v>-49.212935287313229</c:v>
                </c:pt>
                <c:pt idx="426">
                  <c:v>-49.292595590282161</c:v>
                </c:pt>
                <c:pt idx="427">
                  <c:v>-49.371903909571913</c:v>
                </c:pt>
                <c:pt idx="428">
                  <c:v>-49.450863438944388</c:v>
                </c:pt>
                <c:pt idx="429">
                  <c:v>-49.529477329316208</c:v>
                </c:pt>
                <c:pt idx="430">
                  <c:v>-49.60774868951966</c:v>
                </c:pt>
                <c:pt idx="431">
                  <c:v>-49.685680587046832</c:v>
                </c:pt>
                <c:pt idx="432">
                  <c:v>-49.763276048777399</c:v>
                </c:pt>
                <c:pt idx="433">
                  <c:v>-49.840538061690623</c:v>
                </c:pt>
                <c:pt idx="434">
                  <c:v>-49.917469573561625</c:v>
                </c:pt>
                <c:pt idx="435">
                  <c:v>-49.99407349364273</c:v>
                </c:pt>
                <c:pt idx="436">
                  <c:v>-50.070352693330094</c:v>
                </c:pt>
                <c:pt idx="437">
                  <c:v>-50.146310006815924</c:v>
                </c:pt>
                <c:pt idx="438">
                  <c:v>-50.221948231726742</c:v>
                </c:pt>
                <c:pt idx="439">
                  <c:v>-50.297270129748163</c:v>
                </c:pt>
                <c:pt idx="440">
                  <c:v>-50.372278427236253</c:v>
                </c:pt>
                <c:pt idx="441">
                  <c:v>-50.446975815816089</c:v>
                </c:pt>
                <c:pt idx="442">
                  <c:v>-50.521364952967581</c:v>
                </c:pt>
                <c:pt idx="443">
                  <c:v>-50.595448462599215</c:v>
                </c:pt>
                <c:pt idx="444">
                  <c:v>-50.669228935609574</c:v>
                </c:pt>
                <c:pt idx="445">
                  <c:v>-50.742708930437388</c:v>
                </c:pt>
                <c:pt idx="446">
                  <c:v>-50.815890973600098</c:v>
                </c:pt>
                <c:pt idx="447">
                  <c:v>-50.888777560221321</c:v>
                </c:pt>
                <c:pt idx="448">
                  <c:v>-50.96137115454745</c:v>
                </c:pt>
                <c:pt idx="449">
                  <c:v>-51.033674190453809</c:v>
                </c:pt>
                <c:pt idx="450">
                  <c:v>-51.105689071940333</c:v>
                </c:pt>
                <c:pt idx="451">
                  <c:v>-51.177418173617291</c:v>
                </c:pt>
                <c:pt idx="452">
                  <c:v>-51.248863841181191</c:v>
                </c:pt>
                <c:pt idx="453">
                  <c:v>-51.320028391881024</c:v>
                </c:pt>
                <c:pt idx="454">
                  <c:v>-51.390914114975274</c:v>
                </c:pt>
                <c:pt idx="455">
                  <c:v>-51.461523272179697</c:v>
                </c:pt>
                <c:pt idx="456">
                  <c:v>-51.531858098106284</c:v>
                </c:pt>
                <c:pt idx="457">
                  <c:v>-51.601920800693392</c:v>
                </c:pt>
                <c:pt idx="458">
                  <c:v>-51.671713561627556</c:v>
                </c:pt>
                <c:pt idx="459">
                  <c:v>-51.741238536756896</c:v>
                </c:pt>
                <c:pt idx="460">
                  <c:v>-51.810497856496418</c:v>
                </c:pt>
                <c:pt idx="461">
                  <c:v>-51.879493626225461</c:v>
                </c:pt>
                <c:pt idx="462">
                  <c:v>-51.948227926677419</c:v>
                </c:pt>
                <c:pt idx="463">
                  <c:v>-52.01670281432186</c:v>
                </c:pt>
                <c:pt idx="464">
                  <c:v>-52.084920321739361</c:v>
                </c:pt>
                <c:pt idx="465">
                  <c:v>-52.152882457989037</c:v>
                </c:pt>
                <c:pt idx="466">
                  <c:v>-52.22059120896914</c:v>
                </c:pt>
                <c:pt idx="467">
                  <c:v>-52.288048537770692</c:v>
                </c:pt>
                <c:pt idx="468">
                  <c:v>-52.355256385024475</c:v>
                </c:pt>
                <c:pt idx="469">
                  <c:v>-52.422216669241386</c:v>
                </c:pt>
                <c:pt idx="470">
                  <c:v>-52.48893128714645</c:v>
                </c:pt>
                <c:pt idx="471">
                  <c:v>-52.555402114006462</c:v>
                </c:pt>
                <c:pt idx="472">
                  <c:v>-52.621631003951627</c:v>
                </c:pt>
                <c:pt idx="473">
                  <c:v>-52.687619790291038</c:v>
                </c:pt>
                <c:pt idx="474">
                  <c:v>-52.753370285822456</c:v>
                </c:pt>
                <c:pt idx="475">
                  <c:v>-52.818884283136242</c:v>
                </c:pt>
                <c:pt idx="476">
                  <c:v>-52.884163554913755</c:v>
                </c:pt>
                <c:pt idx="477">
                  <c:v>-52.949209854220236</c:v>
                </c:pt>
                <c:pt idx="478">
                  <c:v>-53.014024914792266</c:v>
                </c:pt>
                <c:pt idx="479">
                  <c:v>-53.078610451320138</c:v>
                </c:pt>
                <c:pt idx="480">
                  <c:v>-53.142968159724973</c:v>
                </c:pt>
                <c:pt idx="481">
                  <c:v>-53.207099717430815</c:v>
                </c:pt>
                <c:pt idx="482">
                  <c:v>-53.271006783631904</c:v>
                </c:pt>
                <c:pt idx="483">
                  <c:v>-53.334690999555036</c:v>
                </c:pt>
                <c:pt idx="484">
                  <c:v>-53.398153988717318</c:v>
                </c:pt>
                <c:pt idx="485">
                  <c:v>-53.461397357179266</c:v>
                </c:pt>
                <c:pt idx="486">
                  <c:v>-53.524422693793397</c:v>
                </c:pt>
                <c:pt idx="487">
                  <c:v>-53.587231570448481</c:v>
                </c:pt>
                <c:pt idx="488">
                  <c:v>-53.649825542309351</c:v>
                </c:pt>
                <c:pt idx="489">
                  <c:v>-53.71220614805263</c:v>
                </c:pt>
                <c:pt idx="490">
                  <c:v>-53.774374910098246</c:v>
                </c:pt>
                <c:pt idx="491">
                  <c:v>-53.836333334836894</c:v>
                </c:pt>
                <c:pt idx="492">
                  <c:v>-53.898082912853589</c:v>
                </c:pt>
                <c:pt idx="493">
                  <c:v>-53.959625119147283</c:v>
                </c:pt>
                <c:pt idx="494">
                  <c:v>-54.020961413346711</c:v>
                </c:pt>
                <c:pt idx="495">
                  <c:v>-54.082093239922521</c:v>
                </c:pt>
                <c:pt idx="496">
                  <c:v>-54.143022028395713</c:v>
                </c:pt>
                <c:pt idx="497">
                  <c:v>-54.203749193542585</c:v>
                </c:pt>
                <c:pt idx="498">
                  <c:v>-54.26427613559612</c:v>
                </c:pt>
                <c:pt idx="499">
                  <c:v>-54.324604240443961</c:v>
                </c:pt>
                <c:pt idx="500">
                  <c:v>-54.384734879823064</c:v>
                </c:pt>
                <c:pt idx="501">
                  <c:v>-54.444669411510979</c:v>
                </c:pt>
                <c:pt idx="502">
                  <c:v>-54.504409179514042</c:v>
                </c:pt>
                <c:pt idx="503">
                  <c:v>-54.563955514252257</c:v>
                </c:pt>
                <c:pt idx="504">
                  <c:v>-54.623309732741241</c:v>
                </c:pt>
                <c:pt idx="505">
                  <c:v>-54.682473138770995</c:v>
                </c:pt>
                <c:pt idx="506">
                  <c:v>-54.741447023081761</c:v>
                </c:pt>
                <c:pt idx="507">
                  <c:v>-54.800232663537031</c:v>
                </c:pt>
                <c:pt idx="508">
                  <c:v>-54.8588313252936</c:v>
                </c:pt>
                <c:pt idx="509">
                  <c:v>-54.917244260968879</c:v>
                </c:pt>
                <c:pt idx="510">
                  <c:v>-54.975472710805448</c:v>
                </c:pt>
                <c:pt idx="511">
                  <c:v>-55.033517902832891</c:v>
                </c:pt>
                <c:pt idx="512">
                  <c:v>-55.091381053027071</c:v>
                </c:pt>
                <c:pt idx="513">
                  <c:v>-55.149063365466731</c:v>
                </c:pt>
                <c:pt idx="514">
                  <c:v>-55.206566032487636</c:v>
                </c:pt>
                <c:pt idx="515">
                  <c:v>-55.263890234834179</c:v>
                </c:pt>
                <c:pt idx="516">
                  <c:v>-55.321037141808546</c:v>
                </c:pt>
                <c:pt idx="517">
                  <c:v>-55.378007911417512</c:v>
                </c:pt>
                <c:pt idx="518">
                  <c:v>-55.434803690516901</c:v>
                </c:pt>
                <c:pt idx="519">
                  <c:v>-55.491425614953741</c:v>
                </c:pt>
                <c:pt idx="520">
                  <c:v>-55.547874809706101</c:v>
                </c:pt>
                <c:pt idx="521">
                  <c:v>-55.604152389020811</c:v>
                </c:pt>
                <c:pt idx="522">
                  <c:v>-55.660259456548935</c:v>
                </c:pt>
                <c:pt idx="523">
                  <c:v>-55.716197105479139</c:v>
                </c:pt>
                <c:pt idx="524">
                  <c:v>-55.771966418668995</c:v>
                </c:pt>
                <c:pt idx="525">
                  <c:v>-55.827568468774174</c:v>
                </c:pt>
                <c:pt idx="526">
                  <c:v>-55.883004318375669</c:v>
                </c:pt>
                <c:pt idx="527">
                  <c:v>-55.93827502010506</c:v>
                </c:pt>
                <c:pt idx="528">
                  <c:v>-55.993381616767735</c:v>
                </c:pt>
                <c:pt idx="529">
                  <c:v>-56.048325141464368</c:v>
                </c:pt>
                <c:pt idx="530">
                  <c:v>-56.103106617710374</c:v>
                </c:pt>
                <c:pt idx="531">
                  <c:v>-56.15772705955365</c:v>
                </c:pt>
                <c:pt idx="532">
                  <c:v>-56.212187471690427</c:v>
                </c:pt>
                <c:pt idx="533">
                  <c:v>-56.266488849579417</c:v>
                </c:pt>
                <c:pt idx="534">
                  <c:v>-56.320632179554181</c:v>
                </c:pt>
                <c:pt idx="535">
                  <c:v>-56.374618438933823</c:v>
                </c:pt>
                <c:pt idx="536">
                  <c:v>-56.428448596131972</c:v>
                </c:pt>
                <c:pt idx="537">
                  <c:v>-56.482123610764233</c:v>
                </c:pt>
                <c:pt idx="538">
                  <c:v>-56.535644433753802</c:v>
                </c:pt>
                <c:pt idx="539">
                  <c:v>-56.589012007435798</c:v>
                </c:pt>
                <c:pt idx="540">
                  <c:v>-56.642227265659749</c:v>
                </c:pt>
                <c:pt idx="541">
                  <c:v>-56.695291133890713</c:v>
                </c:pt>
                <c:pt idx="542">
                  <c:v>-56.748204529308936</c:v>
                </c:pt>
                <c:pt idx="543">
                  <c:v>-56.800968360907831</c:v>
                </c:pt>
                <c:pt idx="544">
                  <c:v>-56.853583529590793</c:v>
                </c:pt>
                <c:pt idx="545">
                  <c:v>-56.906050928266311</c:v>
                </c:pt>
                <c:pt idx="546">
                  <c:v>-56.958371441941907</c:v>
                </c:pt>
                <c:pt idx="547">
                  <c:v>-57.010545947816539</c:v>
                </c:pt>
                <c:pt idx="548">
                  <c:v>-57.062575315371774</c:v>
                </c:pt>
                <c:pt idx="549">
                  <c:v>-57.114460406461561</c:v>
                </c:pt>
                <c:pt idx="550">
                  <c:v>-57.166202075400747</c:v>
                </c:pt>
                <c:pt idx="551">
                  <c:v>-57.217801169052265</c:v>
                </c:pt>
                <c:pt idx="552">
                  <c:v>-57.269258526913099</c:v>
                </c:pt>
                <c:pt idx="553">
                  <c:v>-57.320574981199059</c:v>
                </c:pt>
                <c:pt idx="554">
                  <c:v>-57.3717513569282</c:v>
                </c:pt>
                <c:pt idx="555">
                  <c:v>-57.422788472003219</c:v>
                </c:pt>
                <c:pt idx="556">
                  <c:v>-57.473687137292551</c:v>
                </c:pt>
                <c:pt idx="557">
                  <c:v>-57.52444815671037</c:v>
                </c:pt>
                <c:pt idx="558">
                  <c:v>-57.575072327295445</c:v>
                </c:pt>
                <c:pt idx="559">
                  <c:v>-57.62556043928889</c:v>
                </c:pt>
                <c:pt idx="560">
                  <c:v>-57.675913276210778</c:v>
                </c:pt>
                <c:pt idx="561">
                  <c:v>-57.726131614935746</c:v>
                </c:pt>
                <c:pt idx="562">
                  <c:v>-57.77621622576752</c:v>
                </c:pt>
                <c:pt idx="563">
                  <c:v>-57.826167872512279</c:v>
                </c:pt>
                <c:pt idx="564">
                  <c:v>-57.875987312551224</c:v>
                </c:pt>
                <c:pt idx="565">
                  <c:v>-57.925675296911969</c:v>
                </c:pt>
                <c:pt idx="566">
                  <c:v>-57.975232570338939</c:v>
                </c:pt>
                <c:pt idx="567">
                  <c:v>-58.024659871362928</c:v>
                </c:pt>
                <c:pt idx="568">
                  <c:v>-58.073957932369552</c:v>
                </c:pt>
                <c:pt idx="569">
                  <c:v>-58.123127479666856</c:v>
                </c:pt>
                <c:pt idx="570">
                  <c:v>-58.172169233551955</c:v>
                </c:pt>
                <c:pt idx="571">
                  <c:v>-58.221083908376741</c:v>
                </c:pt>
                <c:pt idx="572">
                  <c:v>-58.269872212612803</c:v>
                </c:pt>
                <c:pt idx="573">
                  <c:v>-58.318534848915284</c:v>
                </c:pt>
                <c:pt idx="574">
                  <c:v>-58.367072514186056</c:v>
                </c:pt>
                <c:pt idx="575">
                  <c:v>-58.415485899635925</c:v>
                </c:pt>
                <c:pt idx="576">
                  <c:v>-58.463775690846006</c:v>
                </c:pt>
                <c:pt idx="577">
                  <c:v>-58.511942567828363</c:v>
                </c:pt>
                <c:pt idx="578">
                  <c:v>-58.559987205085719</c:v>
                </c:pt>
                <c:pt idx="579">
                  <c:v>-58.607910271670427</c:v>
                </c:pt>
                <c:pt idx="580">
                  <c:v>-58.655712431242662</c:v>
                </c:pt>
                <c:pt idx="581">
                  <c:v>-58.703394342127815</c:v>
                </c:pt>
                <c:pt idx="582">
                  <c:v>-58.750956657373116</c:v>
                </c:pt>
                <c:pt idx="583">
                  <c:v>-58.798400024803556</c:v>
                </c:pt>
                <c:pt idx="584">
                  <c:v>-58.845725087077014</c:v>
                </c:pt>
                <c:pt idx="585">
                  <c:v>-58.892932481738697</c:v>
                </c:pt>
                <c:pt idx="586">
                  <c:v>-58.940022841274846</c:v>
                </c:pt>
                <c:pt idx="587">
                  <c:v>-58.986996793165758</c:v>
                </c:pt>
                <c:pt idx="588">
                  <c:v>-59.03385495993809</c:v>
                </c:pt>
                <c:pt idx="589">
                  <c:v>-59.080597959216462</c:v>
                </c:pt>
                <c:pt idx="590">
                  <c:v>-59.127226403774515</c:v>
                </c:pt>
                <c:pt idx="591">
                  <c:v>-59.173740901585099</c:v>
                </c:pt>
                <c:pt idx="592">
                  <c:v>-59.220142055870006</c:v>
                </c:pt>
                <c:pt idx="593">
                  <c:v>-59.266430465148936</c:v>
                </c:pt>
                <c:pt idx="594">
                  <c:v>-59.312606723287942</c:v>
                </c:pt>
                <c:pt idx="595">
                  <c:v>-59.358671419547107</c:v>
                </c:pt>
                <c:pt idx="596">
                  <c:v>-59.404625138627779</c:v>
                </c:pt>
                <c:pt idx="597">
                  <c:v>-59.45046846071903</c:v>
                </c:pt>
                <c:pt idx="598">
                  <c:v>-59.496201961543704</c:v>
                </c:pt>
                <c:pt idx="599">
                  <c:v>-59.54182621240372</c:v>
                </c:pt>
                <c:pt idx="600">
                  <c:v>-59.587341780224932</c:v>
                </c:pt>
                <c:pt idx="601">
                  <c:v>-59.632749227601295</c:v>
                </c:pt>
                <c:pt idx="602">
                  <c:v>-59.678049112838593</c:v>
                </c:pt>
                <c:pt idx="603">
                  <c:v>-59.723241989997533</c:v>
                </c:pt>
                <c:pt idx="604">
                  <c:v>-59.768328408936355</c:v>
                </c:pt>
                <c:pt idx="605">
                  <c:v>-59.813308915352863</c:v>
                </c:pt>
                <c:pt idx="606">
                  <c:v>-61.938256640342821</c:v>
                </c:pt>
                <c:pt idx="607">
                  <c:v>-63.854973354143851</c:v>
                </c:pt>
                <c:pt idx="608">
                  <c:v>-65.604206018997374</c:v>
                </c:pt>
                <c:pt idx="609">
                  <c:v>-67.215901505181279</c:v>
                </c:pt>
                <c:pt idx="610">
                  <c:v>-68.712676329948607</c:v>
                </c:pt>
                <c:pt idx="611">
                  <c:v>-70.111998801491623</c:v>
                </c:pt>
                <c:pt idx="612">
                  <c:v>-71.427617949760304</c:v>
                </c:pt>
                <c:pt idx="613">
                  <c:v>-72.670531397296457</c:v>
                </c:pt>
                <c:pt idx="614">
                  <c:v>-73.849659991956528</c:v>
                </c:pt>
                <c:pt idx="615">
                  <c:v>-74.97232972663052</c:v>
                </c:pt>
                <c:pt idx="616">
                  <c:v>-76.044623367161975</c:v>
                </c:pt>
                <c:pt idx="617">
                  <c:v>-77.071641782340336</c:v>
                </c:pt>
                <c:pt idx="618">
                  <c:v>-77.469976103902582</c:v>
                </c:pt>
                <c:pt idx="619">
                  <c:v>-77.862022152573857</c:v>
                </c:pt>
                <c:pt idx="620">
                  <c:v>-78.248011990792932</c:v>
                </c:pt>
                <c:pt idx="621">
                  <c:v>-78.62816390551761</c:v>
                </c:pt>
                <c:pt idx="622">
                  <c:v>-79.002683470517439</c:v>
                </c:pt>
                <c:pt idx="623">
                  <c:v>-79.371764511176792</c:v>
                </c:pt>
                <c:pt idx="624">
                  <c:v>-79.735589982160988</c:v>
                </c:pt>
                <c:pt idx="625">
                  <c:v>-80.094332767040996</c:v>
                </c:pt>
                <c:pt idx="626">
                  <c:v>-80.448156407887822</c:v>
                </c:pt>
                <c:pt idx="627">
                  <c:v>-80.797215771908938</c:v>
                </c:pt>
                <c:pt idx="628">
                  <c:v>-81.141657661384428</c:v>
                </c:pt>
                <c:pt idx="629">
                  <c:v>-81.481621372452508</c:v>
                </c:pt>
                <c:pt idx="630">
                  <c:v>-81.817239207675243</c:v>
                </c:pt>
                <c:pt idx="631">
                  <c:v>-82.148636946775923</c:v>
                </c:pt>
                <c:pt idx="632">
                  <c:v>-82.475934279464994</c:v>
                </c:pt>
                <c:pt idx="633">
                  <c:v>-82.799245203856145</c:v>
                </c:pt>
                <c:pt idx="634">
                  <c:v>-83.118678393607709</c:v>
                </c:pt>
                <c:pt idx="635">
                  <c:v>-83.434337536601092</c:v>
                </c:pt>
                <c:pt idx="636">
                  <c:v>-83.746321647683232</c:v>
                </c:pt>
                <c:pt idx="637">
                  <c:v>-84.054725357745582</c:v>
                </c:pt>
                <c:pt idx="638">
                  <c:v>-84.359639181189323</c:v>
                </c:pt>
                <c:pt idx="639">
                  <c:v>-84.661149763625218</c:v>
                </c:pt>
                <c:pt idx="640">
                  <c:v>-84.959340111479591</c:v>
                </c:pt>
                <c:pt idx="641">
                  <c:v>-85.254289805019027</c:v>
                </c:pt>
                <c:pt idx="642">
                  <c:v>-85.546075196164338</c:v>
                </c:pt>
                <c:pt idx="643">
                  <c:v>-85.834769592337267</c:v>
                </c:pt>
                <c:pt idx="644">
                  <c:v>-86.120443427469951</c:v>
                </c:pt>
                <c:pt idx="645">
                  <c:v>-86.403164421204579</c:v>
                </c:pt>
                <c:pt idx="646">
                  <c:v>-86.682997727218591</c:v>
                </c:pt>
                <c:pt idx="647">
                  <c:v>-86.960006071528426</c:v>
                </c:pt>
                <c:pt idx="648">
                  <c:v>-87.234249881549601</c:v>
                </c:pt>
                <c:pt idx="649">
                  <c:v>-87.505787406623924</c:v>
                </c:pt>
                <c:pt idx="650">
                  <c:v>-87.774674830663528</c:v>
                </c:pt>
                <c:pt idx="651">
                  <c:v>-88.040966377505981</c:v>
                </c:pt>
                <c:pt idx="652">
                  <c:v>-88.304714409525374</c:v>
                </c:pt>
                <c:pt idx="653">
                  <c:v>-88.565969519998248</c:v>
                </c:pt>
                <c:pt idx="654">
                  <c:v>-88.824780619682272</c:v>
                </c:pt>
                <c:pt idx="655">
                  <c:v>-89.081195018028723</c:v>
                </c:pt>
                <c:pt idx="656">
                  <c:v>-89.335258499414479</c:v>
                </c:pt>
                <c:pt idx="657">
                  <c:v>-89.587015394749599</c:v>
                </c:pt>
                <c:pt idx="658">
                  <c:v>-89.83650864878723</c:v>
                </c:pt>
                <c:pt idx="659">
                  <c:v>-90.083779883437273</c:v>
                </c:pt>
                <c:pt idx="660">
                  <c:v>-90.328869457361691</c:v>
                </c:pt>
                <c:pt idx="661">
                  <c:v>-90.571816522107227</c:v>
                </c:pt>
                <c:pt idx="662">
                  <c:v>-90.812659075012391</c:v>
                </c:pt>
                <c:pt idx="663">
                  <c:v>-91.051434009106785</c:v>
                </c:pt>
                <c:pt idx="664">
                  <c:v>-91.288177160204867</c:v>
                </c:pt>
                <c:pt idx="665">
                  <c:v>-91.522923351380499</c:v>
                </c:pt>
                <c:pt idx="666">
                  <c:v>-91.75570643499529</c:v>
                </c:pt>
                <c:pt idx="667">
                  <c:v>-91.986559332440493</c:v>
                </c:pt>
              </c:numCache>
            </c:numRef>
          </c:yVal>
          <c:smooth val="1"/>
          <c:extLst>
            <c:ext xmlns:c16="http://schemas.microsoft.com/office/drawing/2014/chart" uri="{C3380CC4-5D6E-409C-BE32-E72D297353CC}">
              <c16:uniqueId val="{00000001-C323-45F5-AD89-2A9969707A73}"/>
            </c:ext>
          </c:extLst>
        </c:ser>
        <c:dLbls>
          <c:showLegendKey val="0"/>
          <c:showVal val="0"/>
          <c:showCatName val="0"/>
          <c:showSerName val="0"/>
          <c:showPercent val="0"/>
          <c:showBubbleSize val="0"/>
        </c:dLbls>
        <c:axId val="177420544"/>
        <c:axId val="177426816"/>
      </c:scatterChart>
      <c:scatterChart>
        <c:scatterStyle val="lineMarker"/>
        <c:varyColors val="0"/>
        <c:ser>
          <c:idx val="1"/>
          <c:order val="1"/>
          <c:tx>
            <c:v>PhaseMargin</c:v>
          </c:tx>
          <c:spPr>
            <a:ln w="12700">
              <a:solidFill>
                <a:srgbClr val="000000"/>
              </a:solidFill>
              <a:prstDash val="lgDash"/>
            </a:ln>
          </c:spPr>
          <c:marker>
            <c:symbol val="square"/>
            <c:size val="3"/>
            <c:spPr>
              <a:noFill/>
              <a:ln w="9525">
                <a:noFill/>
              </a:ln>
            </c:spPr>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Calculations'!$Z$9:$Z$676</c:f>
              <c:numCache>
                <c:formatCode>General</c:formatCode>
                <c:ptCount val="668"/>
                <c:pt idx="0">
                  <c:v>90.027191000972138</c:v>
                </c:pt>
                <c:pt idx="1">
                  <c:v>90.054381996342386</c:v>
                </c:pt>
                <c:pt idx="2">
                  <c:v>90.081572980508909</c:v>
                </c:pt>
                <c:pt idx="3">
                  <c:v>90.108763947869846</c:v>
                </c:pt>
                <c:pt idx="4">
                  <c:v>90.135954892823349</c:v>
                </c:pt>
                <c:pt idx="5">
                  <c:v>90.163145809767599</c:v>
                </c:pt>
                <c:pt idx="6">
                  <c:v>90.190336693100804</c:v>
                </c:pt>
                <c:pt idx="7">
                  <c:v>90.21752753722113</c:v>
                </c:pt>
                <c:pt idx="8">
                  <c:v>90.24471833652683</c:v>
                </c:pt>
                <c:pt idx="9">
                  <c:v>90.271909085416212</c:v>
                </c:pt>
                <c:pt idx="10">
                  <c:v>90.543812569058744</c:v>
                </c:pt>
                <c:pt idx="11">
                  <c:v>90.815704849530164</c:v>
                </c:pt>
                <c:pt idx="12">
                  <c:v>91.087580326185034</c:v>
                </c:pt>
                <c:pt idx="13">
                  <c:v>91.359433399505946</c:v>
                </c:pt>
                <c:pt idx="14">
                  <c:v>91.631258471478887</c:v>
                </c:pt>
                <c:pt idx="15">
                  <c:v>91.90304994596822</c:v>
                </c:pt>
                <c:pt idx="16">
                  <c:v>92.174802229091213</c:v>
                </c:pt>
                <c:pt idx="17">
                  <c:v>92.44650972959181</c:v>
                </c:pt>
                <c:pt idx="18">
                  <c:v>92.718166859213625</c:v>
                </c:pt>
                <c:pt idx="19">
                  <c:v>95.430741227147308</c:v>
                </c:pt>
                <c:pt idx="20">
                  <c:v>98.13216786077642</c:v>
                </c:pt>
                <c:pt idx="21">
                  <c:v>100.81696492052794</c:v>
                </c:pt>
                <c:pt idx="22">
                  <c:v>103.47975798087997</c:v>
                </c:pt>
                <c:pt idx="23">
                  <c:v>106.11531092474354</c:v>
                </c:pt>
                <c:pt idx="24">
                  <c:v>108.71855286238257</c:v>
                </c:pt>
                <c:pt idx="25">
                  <c:v>111.28460035228713</c:v>
                </c:pt>
                <c:pt idx="26">
                  <c:v>113.80877435271027</c:v>
                </c:pt>
                <c:pt idx="27">
                  <c:v>116.28661148822738</c:v>
                </c:pt>
                <c:pt idx="28">
                  <c:v>127.83978170807723</c:v>
                </c:pt>
                <c:pt idx="29">
                  <c:v>137.68121296918645</c:v>
                </c:pt>
                <c:pt idx="30">
                  <c:v>145.4175556401097</c:v>
                </c:pt>
                <c:pt idx="31">
                  <c:v>150.56473956883738</c:v>
                </c:pt>
                <c:pt idx="32">
                  <c:v>152.24377052252933</c:v>
                </c:pt>
                <c:pt idx="33">
                  <c:v>148.56349204840427</c:v>
                </c:pt>
                <c:pt idx="34">
                  <c:v>135.73246146818556</c:v>
                </c:pt>
                <c:pt idx="35">
                  <c:v>111.06429734249703</c:v>
                </c:pt>
                <c:pt idx="36">
                  <c:v>85.577256887229325</c:v>
                </c:pt>
                <c:pt idx="37">
                  <c:v>70.503128627415634</c:v>
                </c:pt>
                <c:pt idx="38">
                  <c:v>63.223799422232446</c:v>
                </c:pt>
                <c:pt idx="39">
                  <c:v>59.852079013178852</c:v>
                </c:pt>
                <c:pt idx="40">
                  <c:v>58.404294667949202</c:v>
                </c:pt>
                <c:pt idx="41">
                  <c:v>57.948193992086786</c:v>
                </c:pt>
                <c:pt idx="42">
                  <c:v>58.023135348968509</c:v>
                </c:pt>
                <c:pt idx="43">
                  <c:v>58.386997575216185</c:v>
                </c:pt>
                <c:pt idx="44">
                  <c:v>58.905784974783074</c:v>
                </c:pt>
                <c:pt idx="45">
                  <c:v>59.502426854493692</c:v>
                </c:pt>
                <c:pt idx="46">
                  <c:v>60.131417655775309</c:v>
                </c:pt>
                <c:pt idx="47">
                  <c:v>60.765501069290963</c:v>
                </c:pt>
                <c:pt idx="48">
                  <c:v>61.388324486417432</c:v>
                </c:pt>
                <c:pt idx="49">
                  <c:v>61.990217032567386</c:v>
                </c:pt>
                <c:pt idx="50">
                  <c:v>62.565679051280711</c:v>
                </c:pt>
                <c:pt idx="51">
                  <c:v>63.11184689405377</c:v>
                </c:pt>
                <c:pt idx="52">
                  <c:v>63.627532386489733</c:v>
                </c:pt>
                <c:pt idx="53">
                  <c:v>64.112610667738679</c:v>
                </c:pt>
                <c:pt idx="54">
                  <c:v>64.567624383309507</c:v>
                </c:pt>
                <c:pt idx="55">
                  <c:v>64.993525028425012</c:v>
                </c:pt>
                <c:pt idx="56">
                  <c:v>65.391502754999038</c:v>
                </c:pt>
                <c:pt idx="57">
                  <c:v>65.762874072421269</c:v>
                </c:pt>
                <c:pt idx="58">
                  <c:v>66.109007889789808</c:v>
                </c:pt>
                <c:pt idx="59">
                  <c:v>66.431277191195207</c:v>
                </c:pt>
                <c:pt idx="60">
                  <c:v>66.731027968021351</c:v>
                </c:pt>
                <c:pt idx="61">
                  <c:v>67.009559821021185</c:v>
                </c:pt>
                <c:pt idx="62">
                  <c:v>67.268114467005603</c:v>
                </c:pt>
                <c:pt idx="63">
                  <c:v>67.507869591278549</c:v>
                </c:pt>
                <c:pt idx="64">
                  <c:v>67.72993629493736</c:v>
                </c:pt>
                <c:pt idx="65">
                  <c:v>67.935358932947182</c:v>
                </c:pt>
                <c:pt idx="66">
                  <c:v>68.125116512248312</c:v>
                </c:pt>
                <c:pt idx="67">
                  <c:v>68.30012507605413</c:v>
                </c:pt>
                <c:pt idx="68">
                  <c:v>68.461240678403897</c:v>
                </c:pt>
                <c:pt idx="69">
                  <c:v>68.609262676893238</c:v>
                </c:pt>
                <c:pt idx="70">
                  <c:v>68.744937158062655</c:v>
                </c:pt>
                <c:pt idx="71">
                  <c:v>68.868960370581092</c:v>
                </c:pt>
                <c:pt idx="72">
                  <c:v>68.981982083902111</c:v>
                </c:pt>
                <c:pt idx="73">
                  <c:v>69.084608819888231</c:v>
                </c:pt>
                <c:pt idx="74">
                  <c:v>69.177406925738097</c:v>
                </c:pt>
                <c:pt idx="75">
                  <c:v>69.260905471034818</c:v>
                </c:pt>
                <c:pt idx="76">
                  <c:v>69.335598961704633</c:v>
                </c:pt>
                <c:pt idx="77">
                  <c:v>69.401949870450792</c:v>
                </c:pt>
                <c:pt idx="78">
                  <c:v>69.460390987723514</c:v>
                </c:pt>
                <c:pt idx="79">
                  <c:v>69.511327600177694</c:v>
                </c:pt>
                <c:pt idx="80">
                  <c:v>69.555139505322188</c:v>
                </c:pt>
                <c:pt idx="81">
                  <c:v>69.592182872022647</c:v>
                </c:pt>
                <c:pt idx="82">
                  <c:v>69.622791956923351</c:v>
                </c:pt>
                <c:pt idx="83">
                  <c:v>69.647280686881572</c:v>
                </c:pt>
                <c:pt idx="84">
                  <c:v>69.665944117281867</c:v>
                </c:pt>
                <c:pt idx="85">
                  <c:v>69.679059775709263</c:v>
                </c:pt>
                <c:pt idx="86">
                  <c:v>69.686888899974136</c:v>
                </c:pt>
                <c:pt idx="87">
                  <c:v>69.68967757893617</c:v>
                </c:pt>
                <c:pt idx="88">
                  <c:v>69.687657804012986</c:v>
                </c:pt>
                <c:pt idx="89">
                  <c:v>69.681048438688265</c:v>
                </c:pt>
                <c:pt idx="90">
                  <c:v>69.670056112781197</c:v>
                </c:pt>
                <c:pt idx="91">
                  <c:v>69.654876047707461</c:v>
                </c:pt>
                <c:pt idx="92">
                  <c:v>69.635692818453492</c:v>
                </c:pt>
                <c:pt idx="93">
                  <c:v>69.612681057516795</c:v>
                </c:pt>
                <c:pt idx="94">
                  <c:v>69.586006105619489</c:v>
                </c:pt>
                <c:pt idx="95">
                  <c:v>69.555824613595064</c:v>
                </c:pt>
                <c:pt idx="96">
                  <c:v>69.522285099471191</c:v>
                </c:pt>
                <c:pt idx="97">
                  <c:v>69.485528464423538</c:v>
                </c:pt>
                <c:pt idx="98">
                  <c:v>69.445688470958487</c:v>
                </c:pt>
                <c:pt idx="99">
                  <c:v>69.402892186390659</c:v>
                </c:pt>
                <c:pt idx="100">
                  <c:v>69.357260394417011</c:v>
                </c:pt>
                <c:pt idx="101">
                  <c:v>69.308907977344688</c:v>
                </c:pt>
                <c:pt idx="102">
                  <c:v>69.257944271310961</c:v>
                </c:pt>
                <c:pt idx="103">
                  <c:v>69.20447339663022</c:v>
                </c:pt>
                <c:pt idx="104">
                  <c:v>69.148594565222069</c:v>
                </c:pt>
                <c:pt idx="105">
                  <c:v>69.090402366904513</c:v>
                </c:pt>
                <c:pt idx="106">
                  <c:v>69.029987036188842</c:v>
                </c:pt>
                <c:pt idx="107">
                  <c:v>68.967434701069465</c:v>
                </c:pt>
                <c:pt idx="108">
                  <c:v>68.902827615180783</c:v>
                </c:pt>
                <c:pt idx="109">
                  <c:v>68.836244374575614</c:v>
                </c:pt>
                <c:pt idx="110">
                  <c:v>68.767760120276677</c:v>
                </c:pt>
                <c:pt idx="111">
                  <c:v>68.697446727658232</c:v>
                </c:pt>
                <c:pt idx="112">
                  <c:v>68.625372983626164</c:v>
                </c:pt>
                <c:pt idx="113">
                  <c:v>68.551604752488785</c:v>
                </c:pt>
                <c:pt idx="114">
                  <c:v>68.47620513133667</c:v>
                </c:pt>
                <c:pt idx="115">
                  <c:v>68.399234595684391</c:v>
                </c:pt>
                <c:pt idx="116">
                  <c:v>68.320751136067926</c:v>
                </c:pt>
                <c:pt idx="117">
                  <c:v>68.24081038623612</c:v>
                </c:pt>
                <c:pt idx="118">
                  <c:v>68.159465743524066</c:v>
                </c:pt>
                <c:pt idx="119">
                  <c:v>68.076768481951717</c:v>
                </c:pt>
                <c:pt idx="120">
                  <c:v>67.992767858547751</c:v>
                </c:pt>
                <c:pt idx="121">
                  <c:v>67.907511213361332</c:v>
                </c:pt>
                <c:pt idx="122">
                  <c:v>67.821044063589028</c:v>
                </c:pt>
                <c:pt idx="123">
                  <c:v>67.733410192211196</c:v>
                </c:pt>
                <c:pt idx="124">
                  <c:v>67.644651731503899</c:v>
                </c:pt>
                <c:pt idx="125">
                  <c:v>67.554809241764033</c:v>
                </c:pt>
                <c:pt idx="126">
                  <c:v>67.463921785561084</c:v>
                </c:pt>
                <c:pt idx="127">
                  <c:v>67.372026997806117</c:v>
                </c:pt>
                <c:pt idx="128">
                  <c:v>67.279161151906692</c:v>
                </c:pt>
                <c:pt idx="129">
                  <c:v>67.185359222258214</c:v>
                </c:pt>
                <c:pt idx="130">
                  <c:v>67.090654943303534</c:v>
                </c:pt>
                <c:pt idx="131">
                  <c:v>66.99508086537611</c:v>
                </c:pt>
                <c:pt idx="132">
                  <c:v>66.898668407527495</c:v>
                </c:pt>
                <c:pt idx="133">
                  <c:v>66.801447907525883</c:v>
                </c:pt>
                <c:pt idx="134">
                  <c:v>66.703448669198082</c:v>
                </c:pt>
                <c:pt idx="135">
                  <c:v>66.604699007278185</c:v>
                </c:pt>
                <c:pt idx="136">
                  <c:v>66.505226289911874</c:v>
                </c:pt>
                <c:pt idx="137">
                  <c:v>66.405056978958072</c:v>
                </c:pt>
                <c:pt idx="138">
                  <c:v>66.304216668217734</c:v>
                </c:pt>
                <c:pt idx="139">
                  <c:v>66.20273011971328</c:v>
                </c:pt>
                <c:pt idx="140">
                  <c:v>66.100621298131614</c:v>
                </c:pt>
                <c:pt idx="141">
                  <c:v>65.997913403538149</c:v>
                </c:pt>
                <c:pt idx="142">
                  <c:v>65.894628902461093</c:v>
                </c:pt>
                <c:pt idx="143">
                  <c:v>65.790789557439794</c:v>
                </c:pt>
                <c:pt idx="144">
                  <c:v>65.686416455123563</c:v>
                </c:pt>
                <c:pt idx="145">
                  <c:v>65.581530033003631</c:v>
                </c:pt>
                <c:pt idx="146">
                  <c:v>65.476150104853872</c:v>
                </c:pt>
                <c:pt idx="147">
                  <c:v>65.370295884952796</c:v>
                </c:pt>
                <c:pt idx="148">
                  <c:v>65.26398601115342</c:v>
                </c:pt>
                <c:pt idx="149">
                  <c:v>65.157238566864763</c:v>
                </c:pt>
                <c:pt idx="150">
                  <c:v>65.050071102003159</c:v>
                </c:pt>
                <c:pt idx="151">
                  <c:v>64.94250065297031</c:v>
                </c:pt>
                <c:pt idx="152">
                  <c:v>64.834543761709085</c:v>
                </c:pt>
                <c:pt idx="153">
                  <c:v>64.726216493887208</c:v>
                </c:pt>
                <c:pt idx="154">
                  <c:v>64.617534456253466</c:v>
                </c:pt>
                <c:pt idx="155">
                  <c:v>64.508512813212292</c:v>
                </c:pt>
                <c:pt idx="156">
                  <c:v>64.399166302654478</c:v>
                </c:pt>
                <c:pt idx="157">
                  <c:v>64.289509251085263</c:v>
                </c:pt>
                <c:pt idx="158">
                  <c:v>64.179555588084497</c:v>
                </c:pt>
                <c:pt idx="159">
                  <c:v>64.069318860133151</c:v>
                </c:pt>
                <c:pt idx="160">
                  <c:v>63.958812243838736</c:v>
                </c:pt>
                <c:pt idx="161">
                  <c:v>63.848048558589838</c:v>
                </c:pt>
                <c:pt idx="162">
                  <c:v>63.73704027866809</c:v>
                </c:pt>
                <c:pt idx="163">
                  <c:v>63.625799544845094</c:v>
                </c:pt>
                <c:pt idx="164">
                  <c:v>63.514338175489527</c:v>
                </c:pt>
                <c:pt idx="165">
                  <c:v>63.402667677208228</c:v>
                </c:pt>
                <c:pt idx="166">
                  <c:v>63.29079925504449</c:v>
                </c:pt>
                <c:pt idx="167">
                  <c:v>63.178743822254987</c:v>
                </c:pt>
                <c:pt idx="168">
                  <c:v>63.066512009685411</c:v>
                </c:pt>
                <c:pt idx="169">
                  <c:v>62.954114174764285</c:v>
                </c:pt>
                <c:pt idx="170">
                  <c:v>62.841560410133013</c:v>
                </c:pt>
                <c:pt idx="171">
                  <c:v>62.728860551929429</c:v>
                </c:pt>
                <c:pt idx="172">
                  <c:v>62.616024187741417</c:v>
                </c:pt>
                <c:pt idx="173">
                  <c:v>62.503060664245496</c:v>
                </c:pt>
                <c:pt idx="174">
                  <c:v>62.389979094545538</c:v>
                </c:pt>
                <c:pt idx="175">
                  <c:v>62.2767883652253</c:v>
                </c:pt>
                <c:pt idx="176">
                  <c:v>62.163497143127557</c:v>
                </c:pt>
                <c:pt idx="177">
                  <c:v>62.050113881873301</c:v>
                </c:pt>
                <c:pt idx="178">
                  <c:v>61.9366468281317</c:v>
                </c:pt>
                <c:pt idx="179">
                  <c:v>61.823104027652292</c:v>
                </c:pt>
                <c:pt idx="180">
                  <c:v>61.709493331071585</c:v>
                </c:pt>
                <c:pt idx="181">
                  <c:v>61.595822399501245</c:v>
                </c:pt>
                <c:pt idx="182">
                  <c:v>61.482098709910431</c:v>
                </c:pt>
                <c:pt idx="183">
                  <c:v>61.368329560309846</c:v>
                </c:pt>
                <c:pt idx="184">
                  <c:v>61.254522074746063</c:v>
                </c:pt>
                <c:pt idx="185">
                  <c:v>61.140683208115561</c:v>
                </c:pt>
                <c:pt idx="186">
                  <c:v>61.026819750804947</c:v>
                </c:pt>
                <c:pt idx="187">
                  <c:v>60.912938333165897</c:v>
                </c:pt>
                <c:pt idx="188">
                  <c:v>60.799045429831338</c:v>
                </c:pt>
                <c:pt idx="189">
                  <c:v>60.685147363879778</c:v>
                </c:pt>
                <c:pt idx="190">
                  <c:v>60.571250310854168</c:v>
                </c:pt>
                <c:pt idx="191">
                  <c:v>60.457360302642044</c:v>
                </c:pt>
                <c:pt idx="192">
                  <c:v>60.343483231221001</c:v>
                </c:pt>
                <c:pt idx="193">
                  <c:v>60.22962485227815</c:v>
                </c:pt>
                <c:pt idx="194">
                  <c:v>60.115790788705098</c:v>
                </c:pt>
                <c:pt idx="195">
                  <c:v>60.001986533976876</c:v>
                </c:pt>
                <c:pt idx="196">
                  <c:v>59.888217455417291</c:v>
                </c:pt>
                <c:pt idx="197">
                  <c:v>59.774488797356824</c:v>
                </c:pt>
                <c:pt idx="198">
                  <c:v>59.660805684186272</c:v>
                </c:pt>
                <c:pt idx="199">
                  <c:v>59.547173123311282</c:v>
                </c:pt>
                <c:pt idx="200">
                  <c:v>59.433596008010952</c:v>
                </c:pt>
                <c:pt idx="201">
                  <c:v>59.320079120205492</c:v>
                </c:pt>
                <c:pt idx="202">
                  <c:v>59.206627133134447</c:v>
                </c:pt>
                <c:pt idx="203">
                  <c:v>59.093244613951995</c:v>
                </c:pt>
                <c:pt idx="204">
                  <c:v>58.979936026239301</c:v>
                </c:pt>
                <c:pt idx="205">
                  <c:v>58.866705732440195</c:v>
                </c:pt>
                <c:pt idx="206">
                  <c:v>58.753557996220692</c:v>
                </c:pt>
                <c:pt idx="207">
                  <c:v>58.640496984756894</c:v>
                </c:pt>
                <c:pt idx="208">
                  <c:v>58.52752677095306</c:v>
                </c:pt>
                <c:pt idx="209">
                  <c:v>58.414651335593589</c:v>
                </c:pt>
                <c:pt idx="210">
                  <c:v>58.301874569429799</c:v>
                </c:pt>
                <c:pt idx="211">
                  <c:v>58.189200275205692</c:v>
                </c:pt>
                <c:pt idx="212">
                  <c:v>58.076632169623849</c:v>
                </c:pt>
                <c:pt idx="213">
                  <c:v>57.964173885254041</c:v>
                </c:pt>
                <c:pt idx="214">
                  <c:v>57.851828972386642</c:v>
                </c:pt>
                <c:pt idx="215">
                  <c:v>57.739600900833068</c:v>
                </c:pt>
                <c:pt idx="216">
                  <c:v>57.627493061674997</c:v>
                </c:pt>
                <c:pt idx="217">
                  <c:v>57.515508768964153</c:v>
                </c:pt>
                <c:pt idx="218">
                  <c:v>57.403651261374293</c:v>
                </c:pt>
                <c:pt idx="219">
                  <c:v>57.291923703808308</c:v>
                </c:pt>
                <c:pt idx="220">
                  <c:v>57.180329188959846</c:v>
                </c:pt>
                <c:pt idx="221">
                  <c:v>57.068870738833368</c:v>
                </c:pt>
                <c:pt idx="222">
                  <c:v>56.957551306222399</c:v>
                </c:pt>
                <c:pt idx="223">
                  <c:v>56.846373776148667</c:v>
                </c:pt>
                <c:pt idx="224">
                  <c:v>56.735340967262417</c:v>
                </c:pt>
                <c:pt idx="225">
                  <c:v>56.624455633205926</c:v>
                </c:pt>
                <c:pt idx="226">
                  <c:v>55.524275287942103</c:v>
                </c:pt>
                <c:pt idx="227">
                  <c:v>54.441435808702508</c:v>
                </c:pt>
                <c:pt idx="228">
                  <c:v>53.377798057297142</c:v>
                </c:pt>
                <c:pt idx="229">
                  <c:v>52.334797539775323</c:v>
                </c:pt>
                <c:pt idx="230">
                  <c:v>51.313516170318366</c:v>
                </c:pt>
                <c:pt idx="231">
                  <c:v>50.314740620041817</c:v>
                </c:pt>
                <c:pt idx="232">
                  <c:v>49.339010418694983</c:v>
                </c:pt>
                <c:pt idx="233">
                  <c:v>48.386658058254454</c:v>
                </c:pt>
                <c:pt idx="234">
                  <c:v>47.457842727129417</c:v>
                </c:pt>
                <c:pt idx="235">
                  <c:v>46.552578879540363</c:v>
                </c:pt>
                <c:pt idx="236">
                  <c:v>45.670760550552785</c:v>
                </c:pt>
                <c:pt idx="237">
                  <c:v>44.812182120212157</c:v>
                </c:pt>
                <c:pt idx="238">
                  <c:v>43.976556081963224</c:v>
                </c:pt>
                <c:pt idx="239">
                  <c:v>43.163528262320909</c:v>
                </c:pt>
                <c:pt idx="240">
                  <c:v>42.372690858108115</c:v>
                </c:pt>
                <c:pt idx="241">
                  <c:v>41.60359359612977</c:v>
                </c:pt>
                <c:pt idx="242">
                  <c:v>40.855753272265588</c:v>
                </c:pt>
                <c:pt idx="243">
                  <c:v>40.128661888827992</c:v>
                </c:pt>
                <c:pt idx="244">
                  <c:v>39.421793578031895</c:v>
                </c:pt>
                <c:pt idx="245">
                  <c:v>38.734610473765002</c:v>
                </c:pt>
                <c:pt idx="246">
                  <c:v>38.066567672291171</c:v>
                </c:pt>
                <c:pt idx="247">
                  <c:v>37.417117404173382</c:v>
                </c:pt>
                <c:pt idx="248">
                  <c:v>36.785712523948177</c:v>
                </c:pt>
                <c:pt idx="249">
                  <c:v>36.171809410443132</c:v>
                </c:pt>
                <c:pt idx="250">
                  <c:v>35.57487035876872</c:v>
                </c:pt>
                <c:pt idx="251">
                  <c:v>34.994365534658186</c:v>
                </c:pt>
                <c:pt idx="252">
                  <c:v>34.429774552767213</c:v>
                </c:pt>
                <c:pt idx="253">
                  <c:v>33.880587732603942</c:v>
                </c:pt>
                <c:pt idx="254">
                  <c:v>33.346307078799015</c:v>
                </c:pt>
                <c:pt idx="255">
                  <c:v>32.826447026323507</c:v>
                </c:pt>
                <c:pt idx="256">
                  <c:v>32.320534985913014</c:v>
                </c:pt>
                <c:pt idx="257">
                  <c:v>31.82811172027192</c:v>
                </c:pt>
                <c:pt idx="258">
                  <c:v>31.348731577535432</c:v>
                </c:pt>
                <c:pt idx="259">
                  <c:v>30.881962604880727</c:v>
                </c:pt>
                <c:pt idx="260">
                  <c:v>30.427386562050515</c:v>
                </c:pt>
                <c:pt idx="261">
                  <c:v>29.984598851822142</c:v>
                </c:pt>
                <c:pt idx="262">
                  <c:v>29.553208382076519</c:v>
                </c:pt>
                <c:pt idx="263">
                  <c:v>29.132837372049238</c:v>
                </c:pt>
                <c:pt idx="264">
                  <c:v>28.72312111354708</c:v>
                </c:pt>
                <c:pt idx="265">
                  <c:v>28.323707696349146</c:v>
                </c:pt>
                <c:pt idx="266">
                  <c:v>27.934257705654659</c:v>
                </c:pt>
                <c:pt idx="267">
                  <c:v>27.554443898265475</c:v>
                </c:pt>
                <c:pt idx="268">
                  <c:v>27.183950863173521</c:v>
                </c:pt>
                <c:pt idx="269">
                  <c:v>26.822474671344651</c:v>
                </c:pt>
                <c:pt idx="270">
                  <c:v>26.469722518731828</c:v>
                </c:pt>
                <c:pt idx="271">
                  <c:v>26.125412365895301</c:v>
                </c:pt>
                <c:pt idx="272">
                  <c:v>25.789272577045892</c:v>
                </c:pt>
                <c:pt idx="273">
                  <c:v>25.461041560842034</c:v>
                </c:pt>
                <c:pt idx="274">
                  <c:v>25.140467414856317</c:v>
                </c:pt>
                <c:pt idx="275">
                  <c:v>24.827307575271391</c:v>
                </c:pt>
                <c:pt idx="276">
                  <c:v>24.521328473060834</c:v>
                </c:pt>
                <c:pt idx="277">
                  <c:v>24.222305197650456</c:v>
                </c:pt>
                <c:pt idx="278">
                  <c:v>23.930021168834969</c:v>
                </c:pt>
                <c:pt idx="279">
                  <c:v>23.644267817537298</c:v>
                </c:pt>
                <c:pt idx="280">
                  <c:v>23.36484427583855</c:v>
                </c:pt>
                <c:pt idx="281">
                  <c:v>23.091557076573281</c:v>
                </c:pt>
                <c:pt idx="282">
                  <c:v>22.82421986267201</c:v>
                </c:pt>
                <c:pt idx="283">
                  <c:v>22.56265310633799</c:v>
                </c:pt>
                <c:pt idx="284">
                  <c:v>22.306683838068977</c:v>
                </c:pt>
                <c:pt idx="285">
                  <c:v>22.056145385467801</c:v>
                </c:pt>
                <c:pt idx="286">
                  <c:v>21.810877121733682</c:v>
                </c:pt>
                <c:pt idx="287">
                  <c:v>21.570724223684067</c:v>
                </c:pt>
                <c:pt idx="288">
                  <c:v>21.335537439119634</c:v>
                </c:pt>
                <c:pt idx="289">
                  <c:v>21.105172863321172</c:v>
                </c:pt>
                <c:pt idx="290">
                  <c:v>20.879491724442659</c:v>
                </c:pt>
                <c:pt idx="291">
                  <c:v>20.658360177551884</c:v>
                </c:pt>
                <c:pt idx="292">
                  <c:v>20.44164910705635</c:v>
                </c:pt>
                <c:pt idx="293">
                  <c:v>20.22923393724534</c:v>
                </c:pt>
                <c:pt idx="294">
                  <c:v>20.020994450674408</c:v>
                </c:pt>
                <c:pt idx="295">
                  <c:v>19.816814614117362</c:v>
                </c:pt>
                <c:pt idx="296">
                  <c:v>19.616582411808025</c:v>
                </c:pt>
                <c:pt idx="297">
                  <c:v>19.420189685700564</c:v>
                </c:pt>
                <c:pt idx="298">
                  <c:v>19.227531982475682</c:v>
                </c:pt>
                <c:pt idx="299">
                  <c:v>19.038508407028985</c:v>
                </c:pt>
                <c:pt idx="300">
                  <c:v>18.853021482179798</c:v>
                </c:pt>
                <c:pt idx="301">
                  <c:v>18.670977014347272</c:v>
                </c:pt>
                <c:pt idx="302">
                  <c:v>18.492283964946012</c:v>
                </c:pt>
                <c:pt idx="303">
                  <c:v>18.316854327262206</c:v>
                </c:pt>
                <c:pt idx="304">
                  <c:v>18.144603008577036</c:v>
                </c:pt>
                <c:pt idx="305">
                  <c:v>17.975447717313074</c:v>
                </c:pt>
                <c:pt idx="306">
                  <c:v>17.809308854987165</c:v>
                </c:pt>
                <c:pt idx="307">
                  <c:v>17.646109412760694</c:v>
                </c:pt>
                <c:pt idx="308">
                  <c:v>17.485774872386031</c:v>
                </c:pt>
                <c:pt idx="309">
                  <c:v>17.328233111356724</c:v>
                </c:pt>
                <c:pt idx="310">
                  <c:v>17.173414312074954</c:v>
                </c:pt>
                <c:pt idx="311">
                  <c:v>17.021250874859589</c:v>
                </c:pt>
                <c:pt idx="312">
                  <c:v>16.871677334622689</c:v>
                </c:pt>
                <c:pt idx="313">
                  <c:v>16.72463028105301</c:v>
                </c:pt>
                <c:pt idx="314">
                  <c:v>16.580048282148283</c:v>
                </c:pt>
                <c:pt idx="315">
                  <c:v>16.437871810948337</c:v>
                </c:pt>
                <c:pt idx="316">
                  <c:v>16.298043175324779</c:v>
                </c:pt>
                <c:pt idx="317">
                  <c:v>16.160506450691514</c:v>
                </c:pt>
                <c:pt idx="318">
                  <c:v>16.025207415505093</c:v>
                </c:pt>
                <c:pt idx="319">
                  <c:v>15.892093489429811</c:v>
                </c:pt>
                <c:pt idx="320">
                  <c:v>15.76111367404954</c:v>
                </c:pt>
                <c:pt idx="321">
                  <c:v>15.632218496011689</c:v>
                </c:pt>
                <c:pt idx="322">
                  <c:v>15.505359952495041</c:v>
                </c:pt>
                <c:pt idx="323">
                  <c:v>15.380491458898888</c:v>
                </c:pt>
                <c:pt idx="324">
                  <c:v>15.257567798653355</c:v>
                </c:pt>
                <c:pt idx="325">
                  <c:v>15.136545075057569</c:v>
                </c:pt>
                <c:pt idx="326">
                  <c:v>15.017380665056351</c:v>
                </c:pt>
                <c:pt idx="327">
                  <c:v>14.900033174868639</c:v>
                </c:pt>
                <c:pt idx="328">
                  <c:v>14.784462397387102</c:v>
                </c:pt>
                <c:pt idx="329">
                  <c:v>14.670629271270059</c:v>
                </c:pt>
                <c:pt idx="330">
                  <c:v>14.558495841652928</c:v>
                </c:pt>
                <c:pt idx="331">
                  <c:v>14.448025222406528</c:v>
                </c:pt>
                <c:pt idx="332">
                  <c:v>14.339181559876437</c:v>
                </c:pt>
                <c:pt idx="333">
                  <c:v>14.231929998038396</c:v>
                </c:pt>
                <c:pt idx="334">
                  <c:v>14.12623664500785</c:v>
                </c:pt>
                <c:pt idx="335">
                  <c:v>14.022068540846078</c:v>
                </c:pt>
                <c:pt idx="336">
                  <c:v>13.919393626606791</c:v>
                </c:pt>
                <c:pt idx="337">
                  <c:v>13.818180714569223</c:v>
                </c:pt>
                <c:pt idx="338">
                  <c:v>13.718399459608349</c:v>
                </c:pt>
                <c:pt idx="339">
                  <c:v>13.620020331652654</c:v>
                </c:pt>
                <c:pt idx="340">
                  <c:v>13.523014589183703</c:v>
                </c:pt>
                <c:pt idx="341">
                  <c:v>13.42735425373337</c:v>
                </c:pt>
                <c:pt idx="342">
                  <c:v>13.333012085337174</c:v>
                </c:pt>
                <c:pt idx="343">
                  <c:v>13.23996155890228</c:v>
                </c:pt>
                <c:pt idx="344">
                  <c:v>13.148176841453846</c:v>
                </c:pt>
                <c:pt idx="345">
                  <c:v>13.057632770221062</c:v>
                </c:pt>
                <c:pt idx="346">
                  <c:v>12.968304831529792</c:v>
                </c:pt>
                <c:pt idx="347">
                  <c:v>12.880169140467245</c:v>
                </c:pt>
                <c:pt idx="348">
                  <c:v>12.793202421287731</c:v>
                </c:pt>
                <c:pt idx="349">
                  <c:v>12.70738198852834</c:v>
                </c:pt>
                <c:pt idx="350">
                  <c:v>12.622685728806545</c:v>
                </c:pt>
                <c:pt idx="351">
                  <c:v>12.539092083270674</c:v>
                </c:pt>
                <c:pt idx="352">
                  <c:v>12.456580030678452</c:v>
                </c:pt>
                <c:pt idx="353">
                  <c:v>12.375129071076714</c:v>
                </c:pt>
                <c:pt idx="354">
                  <c:v>12.294719210059071</c:v>
                </c:pt>
                <c:pt idx="355">
                  <c:v>12.215330943578238</c:v>
                </c:pt>
                <c:pt idx="356">
                  <c:v>12.136945243290768</c:v>
                </c:pt>
                <c:pt idx="357">
                  <c:v>12.05954354241311</c:v>
                </c:pt>
                <c:pt idx="358">
                  <c:v>11.983107722069235</c:v>
                </c:pt>
                <c:pt idx="359">
                  <c:v>11.907620098109504</c:v>
                </c:pt>
                <c:pt idx="360">
                  <c:v>11.833063408383623</c:v>
                </c:pt>
                <c:pt idx="361">
                  <c:v>11.759420800448765</c:v>
                </c:pt>
                <c:pt idx="362">
                  <c:v>11.686675819696944</c:v>
                </c:pt>
                <c:pt idx="363">
                  <c:v>11.614812397884663</c:v>
                </c:pt>
                <c:pt idx="364">
                  <c:v>11.54381484205004</c:v>
                </c:pt>
                <c:pt idx="365">
                  <c:v>11.473667823801719</c:v>
                </c:pt>
                <c:pt idx="366">
                  <c:v>11.404356368966461</c:v>
                </c:pt>
                <c:pt idx="367">
                  <c:v>11.335865847580862</c:v>
                </c:pt>
                <c:pt idx="368">
                  <c:v>11.268181964214591</c:v>
                </c:pt>
                <c:pt idx="369">
                  <c:v>11.201290748612479</c:v>
                </c:pt>
                <c:pt idx="370">
                  <c:v>11.135178546644084</c:v>
                </c:pt>
                <c:pt idx="371">
                  <c:v>11.069832011548129</c:v>
                </c:pt>
                <c:pt idx="372">
                  <c:v>11.005238095461891</c:v>
                </c:pt>
                <c:pt idx="373">
                  <c:v>10.941384041224751</c:v>
                </c:pt>
                <c:pt idx="374">
                  <c:v>10.878257374445241</c:v>
                </c:pt>
                <c:pt idx="375">
                  <c:v>10.815845895822804</c:v>
                </c:pt>
                <c:pt idx="376">
                  <c:v>10.754137673714013</c:v>
                </c:pt>
                <c:pt idx="377">
                  <c:v>10.693121036935281</c:v>
                </c:pt>
                <c:pt idx="378">
                  <c:v>10.632784567792896</c:v>
                </c:pt>
                <c:pt idx="379">
                  <c:v>10.573117095332094</c:v>
                </c:pt>
                <c:pt idx="380">
                  <c:v>10.514107688797992</c:v>
                </c:pt>
                <c:pt idx="381">
                  <c:v>10.45574565130002</c:v>
                </c:pt>
                <c:pt idx="382">
                  <c:v>10.398020513673202</c:v>
                </c:pt>
                <c:pt idx="383">
                  <c:v>10.340922028528894</c:v>
                </c:pt>
                <c:pt idx="384">
                  <c:v>10.284440164488359</c:v>
                </c:pt>
                <c:pt idx="385">
                  <c:v>10.228565100593357</c:v>
                </c:pt>
                <c:pt idx="386">
                  <c:v>10.173287220886266</c:v>
                </c:pt>
                <c:pt idx="387">
                  <c:v>10.118597109155417</c:v>
                </c:pt>
                <c:pt idx="388">
                  <c:v>10.06448554383843</c:v>
                </c:pt>
                <c:pt idx="389">
                  <c:v>10.010943493079395</c:v>
                </c:pt>
                <c:pt idx="390">
                  <c:v>9.9579621099333053</c:v>
                </c:pt>
                <c:pt idx="391">
                  <c:v>9.9055327277141032</c:v>
                </c:pt>
                <c:pt idx="392">
                  <c:v>9.8536468554799512</c:v>
                </c:pt>
                <c:pt idx="393">
                  <c:v>9.8022961736525644</c:v>
                </c:pt>
                <c:pt idx="394">
                  <c:v>9.7514725297646407</c:v>
                </c:pt>
                <c:pt idx="395">
                  <c:v>9.7011679343324317</c:v>
                </c:pt>
                <c:pt idx="396">
                  <c:v>9.6513745568480545</c:v>
                </c:pt>
                <c:pt idx="397">
                  <c:v>9.6020847218883318</c:v>
                </c:pt>
                <c:pt idx="398">
                  <c:v>9.5532909053360697</c:v>
                </c:pt>
                <c:pt idx="399">
                  <c:v>9.5049857307098478</c:v>
                </c:pt>
                <c:pt idx="400">
                  <c:v>9.4571619655990844</c:v>
                </c:pt>
                <c:pt idx="401">
                  <c:v>9.4098125182006243</c:v>
                </c:pt>
                <c:pt idx="402">
                  <c:v>9.3629304339537782</c:v>
                </c:pt>
                <c:pt idx="403">
                  <c:v>9.316508892270349</c:v>
                </c:pt>
                <c:pt idx="404">
                  <c:v>9.2705412033566859</c:v>
                </c:pt>
                <c:pt idx="405">
                  <c:v>9.2250208051249274</c:v>
                </c:pt>
                <c:pt idx="406">
                  <c:v>9.1799412601903612</c:v>
                </c:pt>
                <c:pt idx="407">
                  <c:v>9.1352962529523722</c:v>
                </c:pt>
                <c:pt idx="408">
                  <c:v>9.0910795867556828</c:v>
                </c:pt>
                <c:pt idx="409">
                  <c:v>9.0472851811305759</c:v>
                </c:pt>
                <c:pt idx="410">
                  <c:v>9.0039070691080099</c:v>
                </c:pt>
                <c:pt idx="411">
                  <c:v>8.9609393946087437</c:v>
                </c:pt>
                <c:pt idx="412">
                  <c:v>8.9183764099033453</c:v>
                </c:pt>
                <c:pt idx="413">
                  <c:v>8.8762124731403844</c:v>
                </c:pt>
                <c:pt idx="414">
                  <c:v>8.8344420459425237</c:v>
                </c:pt>
                <c:pt idx="415">
                  <c:v>8.793059691066162</c:v>
                </c:pt>
                <c:pt idx="416">
                  <c:v>8.7520600701239744</c:v>
                </c:pt>
                <c:pt idx="417">
                  <c:v>8.7114379413685299</c:v>
                </c:pt>
                <c:pt idx="418">
                  <c:v>8.6711881575342886</c:v>
                </c:pt>
                <c:pt idx="419">
                  <c:v>8.6313056637366117</c:v>
                </c:pt>
                <c:pt idx="420">
                  <c:v>8.5917854954267341</c:v>
                </c:pt>
                <c:pt idx="421">
                  <c:v>8.5526227763992893</c:v>
                </c:pt>
                <c:pt idx="422">
                  <c:v>8.5138127168528399</c:v>
                </c:pt>
                <c:pt idx="423">
                  <c:v>8.4753506115001471</c:v>
                </c:pt>
                <c:pt idx="424">
                  <c:v>8.4372318377279498</c:v>
                </c:pt>
                <c:pt idx="425">
                  <c:v>8.3994518538036687</c:v>
                </c:pt>
                <c:pt idx="426">
                  <c:v>8.3620061971286077</c:v>
                </c:pt>
                <c:pt idx="427">
                  <c:v>8.3248904825356362</c:v>
                </c:pt>
                <c:pt idx="428">
                  <c:v>8.2881004006302703</c:v>
                </c:pt>
                <c:pt idx="429">
                  <c:v>8.2516317161740744</c:v>
                </c:pt>
                <c:pt idx="430">
                  <c:v>8.215480266508564</c:v>
                </c:pt>
                <c:pt idx="431">
                  <c:v>8.1796419600190973</c:v>
                </c:pt>
                <c:pt idx="432">
                  <c:v>8.1441127746373638</c:v>
                </c:pt>
                <c:pt idx="433">
                  <c:v>8.1088887563810204</c:v>
                </c:pt>
                <c:pt idx="434">
                  <c:v>8.073966017929763</c:v>
                </c:pt>
                <c:pt idx="435">
                  <c:v>8.0393407372369836</c:v>
                </c:pt>
                <c:pt idx="436">
                  <c:v>8.0050091561754471</c:v>
                </c:pt>
                <c:pt idx="437">
                  <c:v>7.9709675792159942</c:v>
                </c:pt>
                <c:pt idx="438">
                  <c:v>7.9372123721394985</c:v>
                </c:pt>
                <c:pt idx="439">
                  <c:v>7.9037399607793475</c:v>
                </c:pt>
                <c:pt idx="440">
                  <c:v>7.8705468297952166</c:v>
                </c:pt>
                <c:pt idx="441">
                  <c:v>7.8376295214761171</c:v>
                </c:pt>
                <c:pt idx="442">
                  <c:v>7.8049846345722926</c:v>
                </c:pt>
                <c:pt idx="443">
                  <c:v>7.7726088231557355</c:v>
                </c:pt>
                <c:pt idx="444">
                  <c:v>7.7404987955073636</c:v>
                </c:pt>
                <c:pt idx="445">
                  <c:v>7.7086513130311118</c:v>
                </c:pt>
                <c:pt idx="446">
                  <c:v>7.6770631891940297</c:v>
                </c:pt>
                <c:pt idx="447">
                  <c:v>7.645731288490623</c:v>
                </c:pt>
                <c:pt idx="448">
                  <c:v>7.6146525254328878</c:v>
                </c:pt>
                <c:pt idx="449">
                  <c:v>7.583823863563083</c:v>
                </c:pt>
                <c:pt idx="450">
                  <c:v>7.5532423144899781</c:v>
                </c:pt>
                <c:pt idx="451">
                  <c:v>7.5229049369478105</c:v>
                </c:pt>
                <c:pt idx="452">
                  <c:v>7.4928088358766161</c:v>
                </c:pt>
                <c:pt idx="453">
                  <c:v>7.4629511615244724</c:v>
                </c:pt>
                <c:pt idx="454">
                  <c:v>7.4333291085697795</c:v>
                </c:pt>
                <c:pt idx="455">
                  <c:v>7.403939915264516</c:v>
                </c:pt>
                <c:pt idx="456">
                  <c:v>7.374780862596424</c:v>
                </c:pt>
                <c:pt idx="457">
                  <c:v>7.3458492734707193</c:v>
                </c:pt>
                <c:pt idx="458">
                  <c:v>7.3171425119101059</c:v>
                </c:pt>
                <c:pt idx="459">
                  <c:v>7.2886579822734916</c:v>
                </c:pt>
                <c:pt idx="460">
                  <c:v>7.2603931284915859</c:v>
                </c:pt>
                <c:pt idx="461">
                  <c:v>7.2323454333203472</c:v>
                </c:pt>
                <c:pt idx="462">
                  <c:v>7.204512417610772</c:v>
                </c:pt>
                <c:pt idx="463">
                  <c:v>7.1768916395954534</c:v>
                </c:pt>
                <c:pt idx="464">
                  <c:v>7.1494806941900038</c:v>
                </c:pt>
                <c:pt idx="465">
                  <c:v>7.122277212311559</c:v>
                </c:pt>
                <c:pt idx="466">
                  <c:v>7.0952788602108683</c:v>
                </c:pt>
                <c:pt idx="467">
                  <c:v>7.068483338819874</c:v>
                </c:pt>
                <c:pt idx="468">
                  <c:v>7.0418883831137009</c:v>
                </c:pt>
                <c:pt idx="469">
                  <c:v>7.0154917614859471</c:v>
                </c:pt>
                <c:pt idx="470">
                  <c:v>6.9892912751380436</c:v>
                </c:pt>
                <c:pt idx="471">
                  <c:v>6.9632847574823415</c:v>
                </c:pt>
                <c:pt idx="472">
                  <c:v>6.9374700735568808</c:v>
                </c:pt>
                <c:pt idx="473">
                  <c:v>6.9118451194540285</c:v>
                </c:pt>
                <c:pt idx="474">
                  <c:v>6.8864078217609119</c:v>
                </c:pt>
                <c:pt idx="475">
                  <c:v>6.8611561370113634</c:v>
                </c:pt>
                <c:pt idx="476">
                  <c:v>6.8360880511504547</c:v>
                </c:pt>
                <c:pt idx="477">
                  <c:v>6.811201579009861</c:v>
                </c:pt>
                <c:pt idx="478">
                  <c:v>6.7864947637945932</c:v>
                </c:pt>
                <c:pt idx="479">
                  <c:v>6.7619656765802461</c:v>
                </c:pt>
                <c:pt idx="480">
                  <c:v>6.7376124158213599</c:v>
                </c:pt>
                <c:pt idx="481">
                  <c:v>6.7134331068695019</c:v>
                </c:pt>
                <c:pt idx="482">
                  <c:v>6.6894259015020623</c:v>
                </c:pt>
                <c:pt idx="483">
                  <c:v>6.6655889774604304</c:v>
                </c:pt>
                <c:pt idx="484">
                  <c:v>6.64192053799772</c:v>
                </c:pt>
                <c:pt idx="485">
                  <c:v>6.6184188114363565</c:v>
                </c:pt>
                <c:pt idx="486">
                  <c:v>6.5950820507343337</c:v>
                </c:pt>
                <c:pt idx="487">
                  <c:v>6.571908533060423</c:v>
                </c:pt>
                <c:pt idx="488">
                  <c:v>6.5488965593787043</c:v>
                </c:pt>
                <c:pt idx="489">
                  <c:v>6.5260444540403171</c:v>
                </c:pt>
                <c:pt idx="490">
                  <c:v>6.5033505643851299</c:v>
                </c:pt>
                <c:pt idx="491">
                  <c:v>6.4808132603501747</c:v>
                </c:pt>
                <c:pt idx="492">
                  <c:v>6.4584309340868344</c:v>
                </c:pt>
                <c:pt idx="493">
                  <c:v>6.4362019995852506</c:v>
                </c:pt>
                <c:pt idx="494">
                  <c:v>6.4141248923064609</c:v>
                </c:pt>
                <c:pt idx="495">
                  <c:v>6.3921980688222106</c:v>
                </c:pt>
                <c:pt idx="496">
                  <c:v>6.370420006461444</c:v>
                </c:pt>
                <c:pt idx="497">
                  <c:v>6.3487892029641273</c:v>
                </c:pt>
                <c:pt idx="498">
                  <c:v>6.3273041761420075</c:v>
                </c:pt>
                <c:pt idx="499">
                  <c:v>6.3059634635457371</c:v>
                </c:pt>
                <c:pt idx="500">
                  <c:v>6.2847656221391901</c:v>
                </c:pt>
                <c:pt idx="501">
                  <c:v>6.2637092279794615</c:v>
                </c:pt>
                <c:pt idx="502">
                  <c:v>6.2427928759036604</c:v>
                </c:pt>
                <c:pt idx="503">
                  <c:v>6.2220151792216143</c:v>
                </c:pt>
                <c:pt idx="504">
                  <c:v>6.2013747694145707</c:v>
                </c:pt>
                <c:pt idx="505">
                  <c:v>6.1808702958398385</c:v>
                </c:pt>
                <c:pt idx="506">
                  <c:v>6.1605004254408584</c:v>
                </c:pt>
                <c:pt idx="507">
                  <c:v>6.1402638424634688</c:v>
                </c:pt>
                <c:pt idx="508">
                  <c:v>6.1201592481770604</c:v>
                </c:pt>
                <c:pt idx="509">
                  <c:v>6.1001853606011309</c:v>
                </c:pt>
                <c:pt idx="510">
                  <c:v>6.080340914237496</c:v>
                </c:pt>
                <c:pt idx="511">
                  <c:v>6.0606246598070754</c:v>
                </c:pt>
                <c:pt idx="512">
                  <c:v>6.0410353639921652</c:v>
                </c:pt>
                <c:pt idx="513">
                  <c:v>6.0215718091831434</c:v>
                </c:pt>
                <c:pt idx="514">
                  <c:v>6.0022327932303483</c:v>
                </c:pt>
                <c:pt idx="515">
                  <c:v>5.9830171292003058</c:v>
                </c:pt>
                <c:pt idx="516">
                  <c:v>5.9639236451368163</c:v>
                </c:pt>
                <c:pt idx="517">
                  <c:v>5.9449511838262197</c:v>
                </c:pt>
                <c:pt idx="518">
                  <c:v>5.9260986025674072</c:v>
                </c:pt>
                <c:pt idx="519">
                  <c:v>5.9073647729457264</c:v>
                </c:pt>
                <c:pt idx="520">
                  <c:v>5.8887485806114341</c:v>
                </c:pt>
                <c:pt idx="521">
                  <c:v>5.8702489250618157</c:v>
                </c:pt>
                <c:pt idx="522">
                  <c:v>5.8518647194279083</c:v>
                </c:pt>
                <c:pt idx="523">
                  <c:v>5.8335948902644645</c:v>
                </c:pt>
                <c:pt idx="524">
                  <c:v>5.8154383773445204</c:v>
                </c:pt>
                <c:pt idx="525">
                  <c:v>5.7973941334568337</c:v>
                </c:pt>
                <c:pt idx="526">
                  <c:v>5.7794611242078986</c:v>
                </c:pt>
                <c:pt idx="527">
                  <c:v>5.7616383278270291</c:v>
                </c:pt>
                <c:pt idx="528">
                  <c:v>5.7439247349749678</c:v>
                </c:pt>
                <c:pt idx="529">
                  <c:v>5.7263193485562738</c:v>
                </c:pt>
                <c:pt idx="530">
                  <c:v>5.7088211835346101</c:v>
                </c:pt>
                <c:pt idx="531">
                  <c:v>5.6914292667521806</c:v>
                </c:pt>
                <c:pt idx="532">
                  <c:v>5.6741426367510996</c:v>
                </c:pt>
                <c:pt idx="533">
                  <c:v>5.6569603435993656</c:v>
                </c:pt>
                <c:pt idx="534">
                  <c:v>5.6398814487188815</c:v>
                </c:pt>
                <c:pt idx="535">
                  <c:v>5.6229050247169994</c:v>
                </c:pt>
                <c:pt idx="536">
                  <c:v>5.6060301552211342</c:v>
                </c:pt>
                <c:pt idx="537">
                  <c:v>5.5892559347157942</c:v>
                </c:pt>
                <c:pt idx="538">
                  <c:v>5.5725814683832482</c:v>
                </c:pt>
                <c:pt idx="539">
                  <c:v>5.5560058719460415</c:v>
                </c:pt>
                <c:pt idx="540">
                  <c:v>5.5395282715130918</c:v>
                </c:pt>
                <c:pt idx="541">
                  <c:v>5.5231478034282873</c:v>
                </c:pt>
                <c:pt idx="542">
                  <c:v>5.5068636141211869</c:v>
                </c:pt>
                <c:pt idx="543">
                  <c:v>5.4906748599608761</c:v>
                </c:pt>
                <c:pt idx="544">
                  <c:v>5.4745807071124375</c:v>
                </c:pt>
                <c:pt idx="545">
                  <c:v>5.4585803313952397</c:v>
                </c:pt>
                <c:pt idx="546">
                  <c:v>5.442672918144325</c:v>
                </c:pt>
                <c:pt idx="547">
                  <c:v>5.4268576620737576</c:v>
                </c:pt>
                <c:pt idx="548">
                  <c:v>5.4111337671427293</c:v>
                </c:pt>
                <c:pt idx="549">
                  <c:v>5.3955004464233411</c:v>
                </c:pt>
                <c:pt idx="550">
                  <c:v>5.3799569219712566</c:v>
                </c:pt>
                <c:pt idx="551">
                  <c:v>5.3645024246981734</c:v>
                </c:pt>
                <c:pt idx="552">
                  <c:v>5.3491361942465119</c:v>
                </c:pt>
                <c:pt idx="553">
                  <c:v>5.333857478866264</c:v>
                </c:pt>
                <c:pt idx="554">
                  <c:v>5.3186655352940306</c:v>
                </c:pt>
                <c:pt idx="555">
                  <c:v>5.303559628633991</c:v>
                </c:pt>
                <c:pt idx="556">
                  <c:v>5.288539032240493</c:v>
                </c:pt>
                <c:pt idx="557">
                  <c:v>5.2736030276034001</c:v>
                </c:pt>
                <c:pt idx="558">
                  <c:v>5.2587509042346028</c:v>
                </c:pt>
                <c:pt idx="559">
                  <c:v>5.2439819595568906</c:v>
                </c:pt>
                <c:pt idx="560">
                  <c:v>5.2292954987943006</c:v>
                </c:pt>
                <c:pt idx="561">
                  <c:v>5.2146908348646548</c:v>
                </c:pt>
                <c:pt idx="562">
                  <c:v>5.200167288273434</c:v>
                </c:pt>
                <c:pt idx="563">
                  <c:v>5.1857241870099529</c:v>
                </c:pt>
                <c:pt idx="564">
                  <c:v>5.1713608664445871</c:v>
                </c:pt>
                <c:pt idx="565">
                  <c:v>5.1570766692282177</c:v>
                </c:pt>
                <c:pt idx="566">
                  <c:v>5.1428709451929819</c:v>
                </c:pt>
                <c:pt idx="567">
                  <c:v>5.128743051254844</c:v>
                </c:pt>
                <c:pt idx="568">
                  <c:v>5.114692351317558</c:v>
                </c:pt>
                <c:pt idx="569">
                  <c:v>5.1007182161784499</c:v>
                </c:pt>
                <c:pt idx="570">
                  <c:v>5.0868200234353367</c:v>
                </c:pt>
                <c:pt idx="571">
                  <c:v>5.0729971573952923</c:v>
                </c:pt>
                <c:pt idx="572">
                  <c:v>5.0592490089846649</c:v>
                </c:pt>
                <c:pt idx="573">
                  <c:v>5.0455749756607418</c:v>
                </c:pt>
                <c:pt idx="574">
                  <c:v>5.0319744613244382</c:v>
                </c:pt>
                <c:pt idx="575">
                  <c:v>5.0184468762350321</c:v>
                </c:pt>
                <c:pt idx="576">
                  <c:v>5.0049916369252969</c:v>
                </c:pt>
                <c:pt idx="577">
                  <c:v>4.9916081661190503</c:v>
                </c:pt>
                <c:pt idx="578">
                  <c:v>4.9782958926490721</c:v>
                </c:pt>
                <c:pt idx="579">
                  <c:v>4.9650542513770404</c:v>
                </c:pt>
                <c:pt idx="580">
                  <c:v>4.9518826831142349</c:v>
                </c:pt>
                <c:pt idx="581">
                  <c:v>4.9387806345436616</c:v>
                </c:pt>
                <c:pt idx="582">
                  <c:v>4.9257475581433994</c:v>
                </c:pt>
                <c:pt idx="583">
                  <c:v>4.9127829121112256</c:v>
                </c:pt>
                <c:pt idx="584">
                  <c:v>4.8998861602902082</c:v>
                </c:pt>
                <c:pt idx="585">
                  <c:v>4.8870567720955478</c:v>
                </c:pt>
                <c:pt idx="586">
                  <c:v>4.8742942224426145</c:v>
                </c:pt>
                <c:pt idx="587">
                  <c:v>4.8615979916760637</c:v>
                </c:pt>
                <c:pt idx="588">
                  <c:v>4.8489675655000042</c:v>
                </c:pt>
                <c:pt idx="589">
                  <c:v>4.8364024349092745</c:v>
                </c:pt>
                <c:pt idx="590">
                  <c:v>4.8239020961216568</c:v>
                </c:pt>
                <c:pt idx="591">
                  <c:v>4.8114660505113989</c:v>
                </c:pt>
                <c:pt idx="592">
                  <c:v>4.7990938045433609</c:v>
                </c:pt>
                <c:pt idx="593">
                  <c:v>4.7867848697085833</c:v>
                </c:pt>
                <c:pt idx="594">
                  <c:v>4.7745387624605655</c:v>
                </c:pt>
                <c:pt idx="595">
                  <c:v>4.7623550041523686</c:v>
                </c:pt>
                <c:pt idx="596">
                  <c:v>4.7502331209752242</c:v>
                </c:pt>
                <c:pt idx="597">
                  <c:v>4.7381726438974283</c:v>
                </c:pt>
                <c:pt idx="598">
                  <c:v>4.7261731086045131</c:v>
                </c:pt>
                <c:pt idx="599">
                  <c:v>4.7142340554401869</c:v>
                </c:pt>
                <c:pt idx="600">
                  <c:v>4.7023550293484959</c:v>
                </c:pt>
                <c:pt idx="601">
                  <c:v>4.6905355798160429</c:v>
                </c:pt>
                <c:pt idx="602">
                  <c:v>4.6787752608159678</c:v>
                </c:pt>
                <c:pt idx="603">
                  <c:v>4.6670736307523839</c:v>
                </c:pt>
                <c:pt idx="604">
                  <c:v>4.6554302524052389</c:v>
                </c:pt>
                <c:pt idx="605">
                  <c:v>4.6438446928767689</c:v>
                </c:pt>
                <c:pt idx="606">
                  <c:v>4.1298342518535947</c:v>
                </c:pt>
                <c:pt idx="607">
                  <c:v>3.7181222689853826</c:v>
                </c:pt>
                <c:pt idx="608">
                  <c:v>3.3809672104818276</c:v>
                </c:pt>
                <c:pt idx="609">
                  <c:v>3.0998172329988734</c:v>
                </c:pt>
                <c:pt idx="610">
                  <c:v>2.8617990769592723</c:v>
                </c:pt>
                <c:pt idx="611">
                  <c:v>2.6577013235053073</c:v>
                </c:pt>
                <c:pt idx="612">
                  <c:v>2.4807596106092547</c:v>
                </c:pt>
                <c:pt idx="613">
                  <c:v>2.3258950889974415</c:v>
                </c:pt>
                <c:pt idx="614">
                  <c:v>2.1892204747357198</c:v>
                </c:pt>
                <c:pt idx="615">
                  <c:v>2.0677101137789577</c:v>
                </c:pt>
                <c:pt idx="616">
                  <c:v>1.9589738794356037</c:v>
                </c:pt>
                <c:pt idx="617">
                  <c:v>1.8610986930742115</c:v>
                </c:pt>
                <c:pt idx="618">
                  <c:v>1.8246324677058965</c:v>
                </c:pt>
                <c:pt idx="619">
                  <c:v>1.7895673389981255</c:v>
                </c:pt>
                <c:pt idx="620">
                  <c:v>1.7558241058783608</c:v>
                </c:pt>
                <c:pt idx="621">
                  <c:v>1.7233294244618662</c:v>
                </c:pt>
                <c:pt idx="622">
                  <c:v>1.6920152765932244</c:v>
                </c:pt>
                <c:pt idx="623">
                  <c:v>1.6618184952064041</c:v>
                </c:pt>
                <c:pt idx="624">
                  <c:v>1.6326803395434126</c:v>
                </c:pt>
                <c:pt idx="625">
                  <c:v>1.6045461142271336</c:v>
                </c:pt>
                <c:pt idx="626">
                  <c:v>1.5773648269973535</c:v>
                </c:pt>
                <c:pt idx="627">
                  <c:v>1.5510888806089724</c:v>
                </c:pt>
                <c:pt idx="628">
                  <c:v>1.5256737949804346</c:v>
                </c:pt>
                <c:pt idx="629">
                  <c:v>1.5010779561839627</c:v>
                </c:pt>
                <c:pt idx="630">
                  <c:v>1.4772623893007619</c:v>
                </c:pt>
                <c:pt idx="631">
                  <c:v>1.4541905525360619</c:v>
                </c:pt>
                <c:pt idx="632">
                  <c:v>1.4318281503088599</c:v>
                </c:pt>
                <c:pt idx="633">
                  <c:v>1.4101429633073792</c:v>
                </c:pt>
                <c:pt idx="634">
                  <c:v>1.3891046937400802</c:v>
                </c:pt>
                <c:pt idx="635">
                  <c:v>1.3686848242221004</c:v>
                </c:pt>
                <c:pt idx="636">
                  <c:v>1.3488564889142935</c:v>
                </c:pt>
                <c:pt idx="637">
                  <c:v>1.3295943556931036</c:v>
                </c:pt>
                <c:pt idx="638">
                  <c:v>1.3108745182642281</c:v>
                </c:pt>
                <c:pt idx="639">
                  <c:v>1.2926743972553254</c:v>
                </c:pt>
                <c:pt idx="640">
                  <c:v>1.2749726494280367</c:v>
                </c:pt>
                <c:pt idx="641">
                  <c:v>1.2577490842421639</c:v>
                </c:pt>
                <c:pt idx="642">
                  <c:v>1.2409845870863307</c:v>
                </c:pt>
                <c:pt idx="643">
                  <c:v>1.2246610485632914</c:v>
                </c:pt>
                <c:pt idx="644">
                  <c:v>1.2087612992785637</c:v>
                </c:pt>
                <c:pt idx="645">
                  <c:v>1.1932690496398948</c:v>
                </c:pt>
                <c:pt idx="646">
                  <c:v>1.1781688342243513</c:v>
                </c:pt>
                <c:pt idx="647">
                  <c:v>1.1634459603132541</c:v>
                </c:pt>
                <c:pt idx="648">
                  <c:v>1.1490864602356794</c:v>
                </c:pt>
                <c:pt idx="649">
                  <c:v>1.1350770471952956</c:v>
                </c:pt>
                <c:pt idx="650">
                  <c:v>1.1214050742876793</c:v>
                </c:pt>
                <c:pt idx="651">
                  <c:v>1.1080584964420552</c:v>
                </c:pt>
                <c:pt idx="652">
                  <c:v>1.0950258350468971</c:v>
                </c:pt>
                <c:pt idx="653">
                  <c:v>1.0822961450416813</c:v>
                </c:pt>
                <c:pt idx="654">
                  <c:v>1.0698589842756405</c:v>
                </c:pt>
                <c:pt idx="655">
                  <c:v>1.0577043849543486</c:v>
                </c:pt>
                <c:pt idx="656">
                  <c:v>1.0458228270096015</c:v>
                </c:pt>
                <c:pt idx="657">
                  <c:v>1.0342052132428421</c:v>
                </c:pt>
                <c:pt idx="658">
                  <c:v>1.0228428461066414</c:v>
                </c:pt>
                <c:pt idx="659">
                  <c:v>1.0117274059987551</c:v>
                </c:pt>
                <c:pt idx="660">
                  <c:v>1.0008509309560907</c:v>
                </c:pt>
                <c:pt idx="661">
                  <c:v>0.99020579764302852</c:v>
                </c:pt>
                <c:pt idx="662">
                  <c:v>0.97978470354053115</c:v>
                </c:pt>
                <c:pt idx="663">
                  <c:v>0.96958065024691109</c:v>
                </c:pt>
                <c:pt idx="664">
                  <c:v>0.9595869278110456</c:v>
                </c:pt>
                <c:pt idx="665">
                  <c:v>0.94979710002425577</c:v>
                </c:pt>
                <c:pt idx="666">
                  <c:v>0.94020499060283669</c:v>
                </c:pt>
                <c:pt idx="667">
                  <c:v>0.93080467019910884</c:v>
                </c:pt>
              </c:numCache>
            </c:numRef>
          </c:yVal>
          <c:smooth val="0"/>
          <c:extLst>
            <c:ext xmlns:c16="http://schemas.microsoft.com/office/drawing/2014/chart" uri="{C3380CC4-5D6E-409C-BE32-E72D297353CC}">
              <c16:uniqueId val="{00000002-C323-45F5-AD89-2A9969707A73}"/>
            </c:ext>
          </c:extLst>
        </c:ser>
        <c:ser>
          <c:idx val="3"/>
          <c:order val="3"/>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Calculations'!$BI$9:$BI$676</c:f>
              <c:numCache>
                <c:formatCode>General</c:formatCode>
                <c:ptCount val="668"/>
                <c:pt idx="0">
                  <c:v>129.0150934241766</c:v>
                </c:pt>
                <c:pt idx="1">
                  <c:v>112.08835641572948</c:v>
                </c:pt>
                <c:pt idx="2">
                  <c:v>105.18097704007813</c:v>
                </c:pt>
                <c:pt idx="3">
                  <c:v>101.54842799713259</c:v>
                </c:pt>
                <c:pt idx="4">
                  <c:v>99.331417661037079</c:v>
                </c:pt>
                <c:pt idx="5">
                  <c:v>97.846050196487397</c:v>
                </c:pt>
                <c:pt idx="6">
                  <c:v>96.786070374696635</c:v>
                </c:pt>
                <c:pt idx="7">
                  <c:v>95.994687171274052</c:v>
                </c:pt>
                <c:pt idx="8">
                  <c:v>95.383542657200778</c:v>
                </c:pt>
                <c:pt idx="9">
                  <c:v>94.899126598570888</c:v>
                </c:pt>
                <c:pt idx="10">
                  <c:v>92.860573308802657</c:v>
                </c:pt>
                <c:pt idx="11">
                  <c:v>92.359982882268937</c:v>
                </c:pt>
                <c:pt idx="12">
                  <c:v>92.245179620299226</c:v>
                </c:pt>
                <c:pt idx="13">
                  <c:v>92.284805242631649</c:v>
                </c:pt>
                <c:pt idx="14">
                  <c:v>92.401655204509922</c:v>
                </c:pt>
                <c:pt idx="15">
                  <c:v>92.562623607625184</c:v>
                </c:pt>
                <c:pt idx="16">
                  <c:v>92.751150710979601</c:v>
                </c:pt>
                <c:pt idx="17">
                  <c:v>92.95803284375522</c:v>
                </c:pt>
                <c:pt idx="18">
                  <c:v>93.177745051170533</c:v>
                </c:pt>
                <c:pt idx="19">
                  <c:v>95.654257876827828</c:v>
                </c:pt>
                <c:pt idx="20">
                  <c:v>98.274205664965805</c:v>
                </c:pt>
                <c:pt idx="21">
                  <c:v>100.91617066679748</c:v>
                </c:pt>
                <c:pt idx="22">
                  <c:v>103.55159028423525</c:v>
                </c:pt>
                <c:pt idx="23">
                  <c:v>106.16749887299214</c:v>
                </c:pt>
                <c:pt idx="24">
                  <c:v>108.75551282683324</c:v>
                </c:pt>
                <c:pt idx="25">
                  <c:v>111.30909230094618</c:v>
                </c:pt>
                <c:pt idx="26">
                  <c:v>113.82263799170977</c:v>
                </c:pt>
                <c:pt idx="27">
                  <c:v>116.29113433322593</c:v>
                </c:pt>
                <c:pt idx="28">
                  <c:v>127.80789266734625</c:v>
                </c:pt>
                <c:pt idx="29">
                  <c:v>137.62061079590455</c:v>
                </c:pt>
                <c:pt idx="30">
                  <c:v>145.33129112821575</c:v>
                </c:pt>
                <c:pt idx="31">
                  <c:v>150.45430738541648</c:v>
                </c:pt>
                <c:pt idx="32">
                  <c:v>152.10999260747232</c:v>
                </c:pt>
                <c:pt idx="33">
                  <c:v>148.40684890915776</c:v>
                </c:pt>
                <c:pt idx="34">
                  <c:v>135.55323944265854</c:v>
                </c:pt>
                <c:pt idx="35">
                  <c:v>110.86266225206334</c:v>
                </c:pt>
                <c:pt idx="36">
                  <c:v>85.353294233252797</c:v>
                </c:pt>
                <c:pt idx="37">
                  <c:v>70.256867061879888</c:v>
                </c:pt>
                <c:pt idx="38">
                  <c:v>62.955225214270911</c:v>
                </c:pt>
                <c:pt idx="39">
                  <c:v>59.561145372386861</c:v>
                </c:pt>
                <c:pt idx="40">
                  <c:v>58.090927983602811</c:v>
                </c:pt>
                <c:pt idx="41">
                  <c:v>57.61229814651017</c:v>
                </c:pt>
                <c:pt idx="42">
                  <c:v>57.664594786354343</c:v>
                </c:pt>
                <c:pt idx="43">
                  <c:v>58.005679542236322</c:v>
                </c:pt>
                <c:pt idx="44">
                  <c:v>58.501541195925014</c:v>
                </c:pt>
                <c:pt idx="45">
                  <c:v>59.075094813014587</c:v>
                </c:pt>
                <c:pt idx="46">
                  <c:v>59.680821594186455</c:v>
                </c:pt>
                <c:pt idx="47">
                  <c:v>60.29145278702542</c:v>
                </c:pt>
                <c:pt idx="48">
                  <c:v>60.890623988683387</c:v>
                </c:pt>
                <c:pt idx="49">
                  <c:v>61.468653068624249</c:v>
                </c:pt>
                <c:pt idx="50">
                  <c:v>62.020029569652479</c:v>
                </c:pt>
                <c:pt idx="51">
                  <c:v>62.541879434770408</c:v>
                </c:pt>
                <c:pt idx="52">
                  <c:v>63.033004425222643</c:v>
                </c:pt>
                <c:pt idx="53">
                  <c:v>63.493269922964259</c:v>
                </c:pt>
                <c:pt idx="54">
                  <c:v>63.923209094930897</c:v>
                </c:pt>
                <c:pt idx="55">
                  <c:v>64.323764214298905</c:v>
                </c:pt>
                <c:pt idx="56">
                  <c:v>64.696116450343354</c:v>
                </c:pt>
                <c:pt idx="57">
                  <c:v>65.041573555974153</c:v>
                </c:pt>
                <c:pt idx="58">
                  <c:v>65.361495899754004</c:v>
                </c:pt>
                <c:pt idx="59">
                  <c:v>65.65724813336054</c:v>
                </c:pt>
                <c:pt idx="60">
                  <c:v>65.930168117964371</c:v>
                </c:pt>
                <c:pt idx="61">
                  <c:v>66.181547521894402</c:v>
                </c:pt>
                <c:pt idx="62">
                  <c:v>66.41262032412817</c:v>
                </c:pt>
                <c:pt idx="63">
                  <c:v>66.624556664499835</c:v>
                </c:pt>
                <c:pt idx="64">
                  <c:v>66.818460289555091</c:v>
                </c:pt>
                <c:pt idx="65">
                  <c:v>66.995368389809016</c:v>
                </c:pt>
                <c:pt idx="66">
                  <c:v>67.156252997543163</c:v>
                </c:pt>
                <c:pt idx="67">
                  <c:v>67.302023371197919</c:v>
                </c:pt>
                <c:pt idx="68">
                  <c:v>67.433528970344554</c:v>
                </c:pt>
                <c:pt idx="69">
                  <c:v>67.551562749091076</c:v>
                </c:pt>
                <c:pt idx="70">
                  <c:v>67.656864582348021</c:v>
                </c:pt>
                <c:pt idx="71">
                  <c:v>67.750124700043827</c:v>
                </c:pt>
                <c:pt idx="72">
                  <c:v>67.831987046929896</c:v>
                </c:pt>
                <c:pt idx="73">
                  <c:v>67.903052515438034</c:v>
                </c:pt>
                <c:pt idx="74">
                  <c:v>67.963882019897937</c:v>
                </c:pt>
                <c:pt idx="75">
                  <c:v>68.014999394909552</c:v>
                </c:pt>
                <c:pt idx="76">
                  <c:v>68.056894110640584</c:v>
                </c:pt>
                <c:pt idx="77">
                  <c:v>68.090023804596441</c:v>
                </c:pt>
                <c:pt idx="78">
                  <c:v>68.114816633909655</c:v>
                </c:pt>
                <c:pt idx="79">
                  <c:v>68.131673455087494</c:v>
                </c:pt>
                <c:pt idx="80">
                  <c:v>68.140969839911548</c:v>
                </c:pt>
                <c:pt idx="81">
                  <c:v>68.14305793714108</c:v>
                </c:pt>
                <c:pt idx="82">
                  <c:v>68.138268190078136</c:v>
                </c:pt>
                <c:pt idx="83">
                  <c:v>68.126910920080718</c:v>
                </c:pt>
                <c:pt idx="84">
                  <c:v>68.109277785884771</c:v>
                </c:pt>
                <c:pt idx="85">
                  <c:v>68.085643128209256</c:v>
                </c:pt>
                <c:pt idx="86">
                  <c:v>68.056265208631345</c:v>
                </c:pt>
                <c:pt idx="87">
                  <c:v>68.021387351176102</c:v>
                </c:pt>
                <c:pt idx="88">
                  <c:v>67.981238994501467</c:v>
                </c:pt>
                <c:pt idx="89">
                  <c:v>67.936036661990514</c:v>
                </c:pt>
                <c:pt idx="90">
                  <c:v>67.885984856510433</c:v>
                </c:pt>
                <c:pt idx="91">
                  <c:v>67.831276886064728</c:v>
                </c:pt>
                <c:pt idx="92">
                  <c:v>67.772095626059723</c:v>
                </c:pt>
                <c:pt idx="93">
                  <c:v>67.708614223434907</c:v>
                </c:pt>
                <c:pt idx="94">
                  <c:v>67.640996747463362</c:v>
                </c:pt>
                <c:pt idx="95">
                  <c:v>67.569398791620685</c:v>
                </c:pt>
                <c:pt idx="96">
                  <c:v>67.493968030544096</c:v>
                </c:pt>
                <c:pt idx="97">
                  <c:v>67.414844735755537</c:v>
                </c:pt>
                <c:pt idx="98">
                  <c:v>67.332162253505956</c:v>
                </c:pt>
                <c:pt idx="99">
                  <c:v>67.246047447806632</c:v>
                </c:pt>
                <c:pt idx="100">
                  <c:v>67.156621111447279</c:v>
                </c:pt>
                <c:pt idx="101">
                  <c:v>67.063998347560087</c:v>
                </c:pt>
                <c:pt idx="102">
                  <c:v>66.968288924065547</c:v>
                </c:pt>
                <c:pt idx="103">
                  <c:v>66.869597603137279</c:v>
                </c:pt>
                <c:pt idx="104">
                  <c:v>66.76802444763787</c:v>
                </c:pt>
                <c:pt idx="105">
                  <c:v>66.663665106312138</c:v>
                </c:pt>
                <c:pt idx="106">
                  <c:v>66.556611079372757</c:v>
                </c:pt>
                <c:pt idx="107">
                  <c:v>66.446949965973872</c:v>
                </c:pt>
                <c:pt idx="108">
                  <c:v>66.334765694944252</c:v>
                </c:pt>
                <c:pt idx="109">
                  <c:v>66.220138740035722</c:v>
                </c:pt>
                <c:pt idx="110">
                  <c:v>66.103146320839244</c:v>
                </c:pt>
                <c:pt idx="111">
                  <c:v>65.983862590426412</c:v>
                </c:pt>
                <c:pt idx="112">
                  <c:v>65.862358810686729</c:v>
                </c:pt>
                <c:pt idx="113">
                  <c:v>65.738703516252713</c:v>
                </c:pt>
                <c:pt idx="114">
                  <c:v>65.612962667833699</c:v>
                </c:pt>
                <c:pt idx="115">
                  <c:v>65.485199795712063</c:v>
                </c:pt>
                <c:pt idx="116">
                  <c:v>65.355476134097131</c:v>
                </c:pt>
                <c:pt idx="117">
                  <c:v>65.223850746977149</c:v>
                </c:pt>
                <c:pt idx="118">
                  <c:v>65.090380646058392</c:v>
                </c:pt>
                <c:pt idx="119">
                  <c:v>64.95512090133694</c:v>
                </c:pt>
                <c:pt idx="120">
                  <c:v>64.818124744804877</c:v>
                </c:pt>
                <c:pt idx="121">
                  <c:v>64.679443667755464</c:v>
                </c:pt>
                <c:pt idx="122">
                  <c:v>64.539127512116565</c:v>
                </c:pt>
                <c:pt idx="123">
                  <c:v>64.397224556209409</c:v>
                </c:pt>
                <c:pt idx="124">
                  <c:v>64.253781595299813</c:v>
                </c:pt>
                <c:pt idx="125">
                  <c:v>64.10884401728309</c:v>
                </c:pt>
                <c:pt idx="126">
                  <c:v>63.962455873817376</c:v>
                </c:pt>
                <c:pt idx="127">
                  <c:v>63.814659947199402</c:v>
                </c:pt>
                <c:pt idx="128">
                  <c:v>63.665497813252983</c:v>
                </c:pt>
                <c:pt idx="129">
                  <c:v>63.515009900484102</c:v>
                </c:pt>
                <c:pt idx="130">
                  <c:v>63.363235545736657</c:v>
                </c:pt>
                <c:pt idx="131">
                  <c:v>63.210213046566736</c:v>
                </c:pt>
                <c:pt idx="132">
                  <c:v>63.05597971053939</c:v>
                </c:pt>
                <c:pt idx="133">
                  <c:v>62.900571901637164</c:v>
                </c:pt>
                <c:pt idx="134">
                  <c:v>62.744025083955705</c:v>
                </c:pt>
                <c:pt idx="135">
                  <c:v>62.586373862852341</c:v>
                </c:pt>
                <c:pt idx="136">
                  <c:v>62.427652023700219</c:v>
                </c:pt>
                <c:pt idx="137">
                  <c:v>62.267892568391616</c:v>
                </c:pt>
                <c:pt idx="138">
                  <c:v>62.107127749724796</c:v>
                </c:pt>
                <c:pt idx="139">
                  <c:v>61.94538910379903</c:v>
                </c:pt>
                <c:pt idx="140">
                  <c:v>61.782707480535464</c:v>
                </c:pt>
                <c:pt idx="141">
                  <c:v>61.619113072433535</c:v>
                </c:pt>
                <c:pt idx="142">
                  <c:v>61.454635441665715</c:v>
                </c:pt>
                <c:pt idx="143">
                  <c:v>61.289303545606728</c:v>
                </c:pt>
                <c:pt idx="144">
                  <c:v>61.123145760888235</c:v>
                </c:pt>
                <c:pt idx="145">
                  <c:v>60.956189906062932</c:v>
                </c:pt>
                <c:pt idx="146">
                  <c:v>60.788463262959354</c:v>
                </c:pt>
                <c:pt idx="147">
                  <c:v>60.619992596799719</c:v>
                </c:pt>
                <c:pt idx="148">
                  <c:v>60.45080417515446</c:v>
                </c:pt>
                <c:pt idx="149">
                  <c:v>60.28092378579656</c:v>
                </c:pt>
                <c:pt idx="150">
                  <c:v>60.110376753520114</c:v>
                </c:pt>
                <c:pt idx="151">
                  <c:v>59.939187955981353</c:v>
                </c:pt>
                <c:pt idx="152">
                  <c:v>59.767381838616828</c:v>
                </c:pt>
                <c:pt idx="153">
                  <c:v>59.594982428691679</c:v>
                </c:pt>
                <c:pt idx="154">
                  <c:v>59.422013348526875</c:v>
                </c:pt>
                <c:pt idx="155">
                  <c:v>59.248497827952164</c:v>
                </c:pt>
                <c:pt idx="156">
                  <c:v>59.074458716027578</c:v>
                </c:pt>
                <c:pt idx="157">
                  <c:v>58.899918492076722</c:v>
                </c:pt>
                <c:pt idx="158">
                  <c:v>58.724899276069195</c:v>
                </c:pt>
                <c:pt idx="159">
                  <c:v>58.549422838390186</c:v>
                </c:pt>
                <c:pt idx="160">
                  <c:v>58.373510609032039</c:v>
                </c:pt>
                <c:pt idx="161">
                  <c:v>58.197183686240678</c:v>
                </c:pt>
                <c:pt idx="162">
                  <c:v>58.020462844648534</c:v>
                </c:pt>
                <c:pt idx="163">
                  <c:v>57.843368542923585</c:v>
                </c:pt>
                <c:pt idx="164">
                  <c:v>57.665920930962557</c:v>
                </c:pt>
                <c:pt idx="165">
                  <c:v>57.48813985665501</c:v>
                </c:pt>
                <c:pt idx="166">
                  <c:v>57.31004487224331</c:v>
                </c:pt>
                <c:pt idx="167">
                  <c:v>57.131655240303033</c:v>
                </c:pt>
                <c:pt idx="168">
                  <c:v>56.952989939365779</c:v>
                </c:pt>
                <c:pt idx="169">
                  <c:v>56.774067669206531</c:v>
                </c:pt>
                <c:pt idx="170">
                  <c:v>56.594906855815353</c:v>
                </c:pt>
                <c:pt idx="171">
                  <c:v>56.415525656073257</c:v>
                </c:pt>
                <c:pt idx="172">
                  <c:v>56.235941962150946</c:v>
                </c:pt>
                <c:pt idx="173">
                  <c:v>56.056173405646732</c:v>
                </c:pt>
                <c:pt idx="174">
                  <c:v>55.876237361481358</c:v>
                </c:pt>
                <c:pt idx="175">
                  <c:v>55.696150951564874</c:v>
                </c:pt>
                <c:pt idx="176">
                  <c:v>55.51593104825028</c:v>
                </c:pt>
                <c:pt idx="177">
                  <c:v>55.335594277588712</c:v>
                </c:pt>
                <c:pt idx="178">
                  <c:v>55.15515702239918</c:v>
                </c:pt>
                <c:pt idx="179">
                  <c:v>54.974635425165118</c:v>
                </c:pt>
                <c:pt idx="180">
                  <c:v>54.79404539077116</c:v>
                </c:pt>
                <c:pt idx="181">
                  <c:v>54.613402589089944</c:v>
                </c:pt>
                <c:pt idx="182">
                  <c:v>54.432722457431183</c:v>
                </c:pt>
                <c:pt idx="183">
                  <c:v>54.252020202862539</c:v>
                </c:pt>
                <c:pt idx="184">
                  <c:v>54.071310804412064</c:v>
                </c:pt>
                <c:pt idx="185">
                  <c:v>53.890609015162013</c:v>
                </c:pt>
                <c:pt idx="186">
                  <c:v>53.70992936424193</c:v>
                </c:pt>
                <c:pt idx="187">
                  <c:v>53.529286158730059</c:v>
                </c:pt>
                <c:pt idx="188">
                  <c:v>53.348693485470562</c:v>
                </c:pt>
                <c:pt idx="189">
                  <c:v>53.168165212813548</c:v>
                </c:pt>
                <c:pt idx="190">
                  <c:v>52.987714992285987</c:v>
                </c:pt>
                <c:pt idx="191">
                  <c:v>52.807356260199128</c:v>
                </c:pt>
                <c:pt idx="192">
                  <c:v>52.627102239198436</c:v>
                </c:pt>
                <c:pt idx="193">
                  <c:v>52.4469659397637</c:v>
                </c:pt>
                <c:pt idx="194">
                  <c:v>52.266960161662212</c:v>
                </c:pt>
                <c:pt idx="195">
                  <c:v>52.08709749536267</c:v>
                </c:pt>
                <c:pt idx="196">
                  <c:v>51.907390323412727</c:v>
                </c:pt>
                <c:pt idx="197">
                  <c:v>51.727850821786689</c:v>
                </c:pt>
                <c:pt idx="198">
                  <c:v>51.548490961205601</c:v>
                </c:pt>
                <c:pt idx="199">
                  <c:v>51.369322508435516</c:v>
                </c:pt>
                <c:pt idx="200">
                  <c:v>51.190357027566705</c:v>
                </c:pt>
                <c:pt idx="201">
                  <c:v>51.011605881277745</c:v>
                </c:pt>
                <c:pt idx="202">
                  <c:v>50.833080232087411</c:v>
                </c:pt>
                <c:pt idx="203">
                  <c:v>50.65479104359801</c:v>
                </c:pt>
                <c:pt idx="204">
                  <c:v>50.476749081732237</c:v>
                </c:pt>
                <c:pt idx="205">
                  <c:v>50.298964915966991</c:v>
                </c:pt>
                <c:pt idx="206">
                  <c:v>50.121448920565712</c:v>
                </c:pt>
                <c:pt idx="207">
                  <c:v>49.944211275812165</c:v>
                </c:pt>
                <c:pt idx="208">
                  <c:v>49.767261969247244</c:v>
                </c:pt>
                <c:pt idx="209">
                  <c:v>49.590610796911363</c:v>
                </c:pt>
                <c:pt idx="210">
                  <c:v>49.41426736459303</c:v>
                </c:pt>
                <c:pt idx="211">
                  <c:v>49.238241089085989</c:v>
                </c:pt>
                <c:pt idx="212">
                  <c:v>49.062541199456774</c:v>
                </c:pt>
                <c:pt idx="213">
                  <c:v>48.887176738321898</c:v>
                </c:pt>
                <c:pt idx="214">
                  <c:v>48.712156563138734</c:v>
                </c:pt>
                <c:pt idx="215">
                  <c:v>48.537489347508171</c:v>
                </c:pt>
                <c:pt idx="216">
                  <c:v>48.363183582492212</c:v>
                </c:pt>
                <c:pt idx="217">
                  <c:v>48.189247577945935</c:v>
                </c:pt>
                <c:pt idx="218">
                  <c:v>48.015689463864646</c:v>
                </c:pt>
                <c:pt idx="219">
                  <c:v>47.842517191747163</c:v>
                </c:pt>
                <c:pt idx="220">
                  <c:v>47.669738535975711</c:v>
                </c:pt>
                <c:pt idx="221">
                  <c:v>47.497361095211488</c:v>
                </c:pt>
                <c:pt idx="222">
                  <c:v>47.325392293808534</c:v>
                </c:pt>
                <c:pt idx="223">
                  <c:v>47.153839383243564</c:v>
                </c:pt>
                <c:pt idx="224">
                  <c:v>46.98270944356338</c:v>
                </c:pt>
                <c:pt idx="225">
                  <c:v>46.812009384849375</c:v>
                </c:pt>
                <c:pt idx="226">
                  <c:v>45.130053960221773</c:v>
                </c:pt>
                <c:pt idx="227">
                  <c:v>43.497484861098968</c:v>
                </c:pt>
                <c:pt idx="228">
                  <c:v>41.918654607937526</c:v>
                </c:pt>
                <c:pt idx="229">
                  <c:v>40.396576155637007</c:v>
                </c:pt>
                <c:pt idx="230">
                  <c:v>38.933098129414418</c:v>
                </c:pt>
                <c:pt idx="231">
                  <c:v>37.529078780906445</c:v>
                </c:pt>
                <c:pt idx="232">
                  <c:v>36.184552628798656</c:v>
                </c:pt>
                <c:pt idx="233">
                  <c:v>34.898885153426903</c:v>
                </c:pt>
                <c:pt idx="234">
                  <c:v>33.670912487566454</c:v>
                </c:pt>
                <c:pt idx="235">
                  <c:v>32.499064506800636</c:v>
                </c:pt>
                <c:pt idx="236">
                  <c:v>31.381470930050511</c:v>
                </c:pt>
                <c:pt idx="237">
                  <c:v>30.316050946346564</c:v>
                </c:pt>
                <c:pt idx="238">
                  <c:v>29.300587498554421</c:v>
                </c:pt>
                <c:pt idx="239">
                  <c:v>28.332787720119654</c:v>
                </c:pt>
                <c:pt idx="240">
                  <c:v>27.410331190161543</c:v>
                </c:pt>
                <c:pt idx="241">
                  <c:v>26.530907698408754</c:v>
                </c:pt>
                <c:pt idx="242">
                  <c:v>25.692246141016597</c:v>
                </c:pt>
                <c:pt idx="243">
                  <c:v>24.892136038763368</c:v>
                </c:pt>
                <c:pt idx="244">
                  <c:v>24.128443008792487</c:v>
                </c:pt>
                <c:pt idx="245">
                  <c:v>23.399119350062705</c:v>
                </c:pt>
                <c:pt idx="246">
                  <c:v>22.702210734374063</c:v>
                </c:pt>
                <c:pt idx="247">
                  <c:v>22.03585983747007</c:v>
                </c:pt>
                <c:pt idx="248">
                  <c:v>21.398307602728011</c:v>
                </c:pt>
                <c:pt idx="249">
                  <c:v>20.787892705188852</c:v>
                </c:pt>
                <c:pt idx="250">
                  <c:v>20.203049676266431</c:v>
                </c:pt>
                <c:pt idx="251">
                  <c:v>19.642306058516169</c:v>
                </c:pt>
                <c:pt idx="252">
                  <c:v>19.104278883837083</c:v>
                </c:pt>
                <c:pt idx="253">
                  <c:v>18.58767070569391</c:v>
                </c:pt>
                <c:pt idx="254">
                  <c:v>18.091265364590811</c:v>
                </c:pt>
                <c:pt idx="255">
                  <c:v>17.613923624389002</c:v>
                </c:pt>
                <c:pt idx="256">
                  <c:v>17.154578783572447</c:v>
                </c:pt>
                <c:pt idx="257">
                  <c:v>16.712232338844302</c:v>
                </c:pt>
                <c:pt idx="258">
                  <c:v>16.285949757269606</c:v>
                </c:pt>
                <c:pt idx="259">
                  <c:v>15.874856396547642</c:v>
                </c:pt>
                <c:pt idx="260">
                  <c:v>15.478133600035079</c:v>
                </c:pt>
                <c:pt idx="261">
                  <c:v>15.095014983127953</c:v>
                </c:pt>
                <c:pt idx="262">
                  <c:v>14.724782919963985</c:v>
                </c:pt>
                <c:pt idx="263">
                  <c:v>14.366765233630758</c:v>
                </c:pt>
                <c:pt idx="264">
                  <c:v>14.020332088779412</c:v>
                </c:pt>
                <c:pt idx="265">
                  <c:v>13.684893082420757</c:v>
                </c:pt>
                <c:pt idx="266">
                  <c:v>13.359894526469503</c:v>
                </c:pt>
                <c:pt idx="267">
                  <c:v>13.044816914099158</c:v>
                </c:pt>
                <c:pt idx="268">
                  <c:v>12.739172561009553</c:v>
                </c:pt>
                <c:pt idx="269">
                  <c:v>12.442503412161784</c:v>
                </c:pt>
                <c:pt idx="270">
                  <c:v>12.154379004303991</c:v>
                </c:pt>
                <c:pt idx="271">
                  <c:v>11.874394574607265</c:v>
                </c:pt>
                <c:pt idx="272">
                  <c:v>11.602169305900617</c:v>
                </c:pt>
                <c:pt idx="273">
                  <c:v>11.337344699281545</c:v>
                </c:pt>
                <c:pt idx="274">
                  <c:v>11.07958306524722</c:v>
                </c:pt>
                <c:pt idx="275">
                  <c:v>10.828566124918098</c:v>
                </c:pt>
                <c:pt idx="276">
                  <c:v>10.583993713378817</c:v>
                </c:pt>
                <c:pt idx="277">
                  <c:v>10.345582577631262</c:v>
                </c:pt>
                <c:pt idx="278">
                  <c:v>10.113065262126923</c:v>
                </c:pt>
                <c:pt idx="279">
                  <c:v>9.8861890753116199</c:v>
                </c:pt>
                <c:pt idx="280">
                  <c:v>9.6647151310653499</c:v>
                </c:pt>
                <c:pt idx="281">
                  <c:v>9.4484174593569605</c:v>
                </c:pt>
                <c:pt idx="282">
                  <c:v>9.2370821808450216</c:v>
                </c:pt>
                <c:pt idx="283">
                  <c:v>9.0305067405477928</c:v>
                </c:pt>
                <c:pt idx="284">
                  <c:v>8.8284991960752279</c:v>
                </c:pt>
                <c:pt idx="285">
                  <c:v>8.6308775562571611</c:v>
                </c:pt>
                <c:pt idx="286">
                  <c:v>8.4374691663271051</c:v>
                </c:pt>
                <c:pt idx="287">
                  <c:v>8.2481101361175888</c:v>
                </c:pt>
                <c:pt idx="288">
                  <c:v>8.062644808002176</c:v>
                </c:pt>
                <c:pt idx="289">
                  <c:v>7.8809252615750438</c:v>
                </c:pt>
                <c:pt idx="290">
                  <c:v>7.7028108522976595</c:v>
                </c:pt>
                <c:pt idx="291">
                  <c:v>7.5281677815598869</c:v>
                </c:pt>
                <c:pt idx="292">
                  <c:v>7.3568686958063552</c:v>
                </c:pt>
                <c:pt idx="293">
                  <c:v>7.1887923125637201</c:v>
                </c:pt>
                <c:pt idx="294">
                  <c:v>7.023823071376313</c:v>
                </c:pt>
                <c:pt idx="295">
                  <c:v>6.8618508078148182</c:v>
                </c:pt>
                <c:pt idx="296">
                  <c:v>6.7027704488674544</c:v>
                </c:pt>
                <c:pt idx="297">
                  <c:v>6.5464817281558965</c:v>
                </c:pt>
                <c:pt idx="298">
                  <c:v>6.3928889195404963</c:v>
                </c:pt>
                <c:pt idx="299">
                  <c:v>6.2419005877912923</c:v>
                </c:pt>
                <c:pt idx="300">
                  <c:v>6.0934293551048881</c:v>
                </c:pt>
                <c:pt idx="301">
                  <c:v>5.9473916823404807</c:v>
                </c:pt>
                <c:pt idx="302">
                  <c:v>5.8037076639372174</c:v>
                </c:pt>
                <c:pt idx="303">
                  <c:v>5.6623008355531681</c:v>
                </c:pt>
                <c:pt idx="304">
                  <c:v>5.5230979935401194</c:v>
                </c:pt>
                <c:pt idx="305">
                  <c:v>5.3860290254362155</c:v>
                </c:pt>
                <c:pt idx="306">
                  <c:v>5.251026750719177</c:v>
                </c:pt>
                <c:pt idx="307">
                  <c:v>5.1180267711213219</c:v>
                </c:pt>
                <c:pt idx="308">
                  <c:v>4.9869673298584587</c:v>
                </c:pt>
                <c:pt idx="309">
                  <c:v>4.8577891791737784</c:v>
                </c:pt>
                <c:pt idx="310">
                  <c:v>4.7304354556416968</c:v>
                </c:pt>
                <c:pt idx="311">
                  <c:v>4.6048515627180677</c:v>
                </c:pt>
                <c:pt idx="312">
                  <c:v>4.4809850600593393</c:v>
                </c:pt>
                <c:pt idx="313">
                  <c:v>4.3587855591696325</c:v>
                </c:pt>
                <c:pt idx="314">
                  <c:v>4.2382046249649079</c:v>
                </c:pt>
                <c:pt idx="315">
                  <c:v>4.1191956828742775</c:v>
                </c:pt>
                <c:pt idx="316">
                  <c:v>4.0017139311239589</c:v>
                </c:pt>
                <c:pt idx="317">
                  <c:v>3.8857162578759699</c:v>
                </c:pt>
                <c:pt idx="318">
                  <c:v>3.7711611629164565</c:v>
                </c:pt>
                <c:pt idx="319">
                  <c:v>3.658008683608017</c:v>
                </c:pt>
                <c:pt idx="320">
                  <c:v>3.5462203248433468</c:v>
                </c:pt>
                <c:pt idx="321">
                  <c:v>3.4357589927528807</c:v>
                </c:pt>
                <c:pt idx="322">
                  <c:v>3.3265889319372377</c:v>
                </c:pt>
                <c:pt idx="323">
                  <c:v>3.2186756660112508</c:v>
                </c:pt>
                <c:pt idx="324">
                  <c:v>3.1119859412594337</c:v>
                </c:pt>
                <c:pt idx="325">
                  <c:v>3.0064876732177481</c:v>
                </c:pt>
                <c:pt idx="326">
                  <c:v>2.9021498960073018</c:v>
                </c:pt>
                <c:pt idx="327">
                  <c:v>2.7989427142584304</c:v>
                </c:pt>
                <c:pt idx="328">
                  <c:v>2.6968372574741011</c:v>
                </c:pt>
                <c:pt idx="329">
                  <c:v>2.5958056366896756</c:v>
                </c:pt>
                <c:pt idx="330">
                  <c:v>2.4958209032984087</c:v>
                </c:pt>
                <c:pt idx="331">
                  <c:v>2.3968570099176532</c:v>
                </c:pt>
                <c:pt idx="332">
                  <c:v>2.29888877318038</c:v>
                </c:pt>
                <c:pt idx="333">
                  <c:v>2.2018918383434425</c:v>
                </c:pt>
                <c:pt idx="334">
                  <c:v>2.1058426456106076</c:v>
                </c:pt>
                <c:pt idx="335">
                  <c:v>2.0107183980754257</c:v>
                </c:pt>
                <c:pt idx="336">
                  <c:v>1.9164970311943819</c:v>
                </c:pt>
                <c:pt idx="337">
                  <c:v>1.8231571837063427</c:v>
                </c:pt>
                <c:pt idx="338">
                  <c:v>1.7306781699198268</c:v>
                </c:pt>
                <c:pt idx="339">
                  <c:v>1.6390399532942581</c:v>
                </c:pt>
                <c:pt idx="340">
                  <c:v>1.5482231212455417</c:v>
                </c:pt>
                <c:pt idx="341">
                  <c:v>1.4582088611107906</c:v>
                </c:pt>
                <c:pt idx="342">
                  <c:v>1.3689789372112386</c:v>
                </c:pt>
                <c:pt idx="343">
                  <c:v>1.2805156689550188</c:v>
                </c:pt>
                <c:pt idx="344">
                  <c:v>1.1928019099262031</c:v>
                </c:pt>
                <c:pt idx="345">
                  <c:v>1.1058210279085472</c:v>
                </c:pt>
                <c:pt idx="346">
                  <c:v>1.0195568857960495</c:v>
                </c:pt>
                <c:pt idx="347">
                  <c:v>0.93399382334479242</c:v>
                </c:pt>
                <c:pt idx="348">
                  <c:v>0.84911663972388851</c:v>
                </c:pt>
                <c:pt idx="349">
                  <c:v>0.76491057682440555</c:v>
                </c:pt>
                <c:pt idx="350">
                  <c:v>0.6813613032890089</c:v>
                </c:pt>
                <c:pt idx="351">
                  <c:v>0.5984548992263683</c:v>
                </c:pt>
                <c:pt idx="352">
                  <c:v>0.51617784157573965</c:v>
                </c:pt>
                <c:pt idx="353">
                  <c:v>0.43451699009108324</c:v>
                </c:pt>
                <c:pt idx="354">
                  <c:v>0.35345957391359661</c:v>
                </c:pt>
                <c:pt idx="355">
                  <c:v>0.2729931787039277</c:v>
                </c:pt>
                <c:pt idx="356">
                  <c:v>0.19310573430837508</c:v>
                </c:pt>
                <c:pt idx="357">
                  <c:v>0.11378550293190415</c:v>
                </c:pt>
                <c:pt idx="358">
                  <c:v>3.5021067795412364E-2</c:v>
                </c:pt>
                <c:pt idx="359">
                  <c:v>-4.3198677746772773E-2</c:v>
                </c:pt>
                <c:pt idx="360">
                  <c:v>-0.12088454064996768</c:v>
                </c:pt>
                <c:pt idx="361">
                  <c:v>-0.19804703820386749</c:v>
                </c:pt>
                <c:pt idx="362">
                  <c:v>-0.27469640765772851</c:v>
                </c:pt>
                <c:pt idx="363">
                  <c:v>-0.35084261546478501</c:v>
                </c:pt>
                <c:pt idx="364">
                  <c:v>-0.42649536616343653</c:v>
                </c:pt>
                <c:pt idx="365">
                  <c:v>-0.50166411091115037</c:v>
                </c:pt>
                <c:pt idx="366">
                  <c:v>-0.57635805568710907</c:v>
                </c:pt>
                <c:pt idx="367">
                  <c:v>-0.65058616917886525</c:v>
                </c:pt>
                <c:pt idx="368">
                  <c:v>-0.72435719036619162</c:v>
                </c:pt>
                <c:pt idx="369">
                  <c:v>-0.79767963581642221</c:v>
                </c:pt>
                <c:pt idx="370">
                  <c:v>-0.87056180670342087</c:v>
                </c:pt>
                <c:pt idx="371">
                  <c:v>-0.94301179556256898</c:v>
                </c:pt>
                <c:pt idx="372">
                  <c:v>-1.0150374927932546</c:v>
                </c:pt>
                <c:pt idx="373">
                  <c:v>-1.0866465929195215</c:v>
                </c:pt>
                <c:pt idx="374">
                  <c:v>-1.157846600619763</c:v>
                </c:pt>
                <c:pt idx="375">
                  <c:v>-1.228644836534869</c:v>
                </c:pt>
                <c:pt idx="376">
                  <c:v>-1.2990484428644322</c:v>
                </c:pt>
                <c:pt idx="377">
                  <c:v>-1.36906438876008</c:v>
                </c:pt>
                <c:pt idx="378">
                  <c:v>-1.4386994755240892</c:v>
                </c:pt>
                <c:pt idx="379">
                  <c:v>-1.5079603416222085</c:v>
                </c:pt>
                <c:pt idx="380">
                  <c:v>-1.5768534675171111</c:v>
                </c:pt>
                <c:pt idx="381">
                  <c:v>-1.6453851803314308</c:v>
                </c:pt>
                <c:pt idx="382">
                  <c:v>-1.7135616583457249</c:v>
                </c:pt>
                <c:pt idx="383">
                  <c:v>-1.7813889353398906</c:v>
                </c:pt>
                <c:pt idx="384">
                  <c:v>-1.8488729047826382</c:v>
                </c:pt>
                <c:pt idx="385">
                  <c:v>-1.9160193238764407</c:v>
                </c:pt>
                <c:pt idx="386">
                  <c:v>-1.9828338174631881</c:v>
                </c:pt>
                <c:pt idx="387">
                  <c:v>-2.0493218817960042</c:v>
                </c:pt>
                <c:pt idx="388">
                  <c:v>-2.1154888881831084</c:v>
                </c:pt>
                <c:pt idx="389">
                  <c:v>-2.1813400865079586</c:v>
                </c:pt>
                <c:pt idx="390">
                  <c:v>-2.2468806086313862</c:v>
                </c:pt>
                <c:pt idx="391">
                  <c:v>-2.3121154716795047</c:v>
                </c:pt>
                <c:pt idx="392">
                  <c:v>-2.37704958122265</c:v>
                </c:pt>
                <c:pt idx="393">
                  <c:v>-2.4416877343486476</c:v>
                </c:pt>
                <c:pt idx="394">
                  <c:v>-2.5060346226353545</c:v>
                </c:pt>
                <c:pt idx="395">
                  <c:v>-2.5700948350258557</c:v>
                </c:pt>
                <c:pt idx="396">
                  <c:v>-2.6338728606098698</c:v>
                </c:pt>
                <c:pt idx="397">
                  <c:v>-2.6973730913152281</c:v>
                </c:pt>
                <c:pt idx="398">
                  <c:v>-2.7605998245126955</c:v>
                </c:pt>
                <c:pt idx="399">
                  <c:v>-2.8235572655374028</c:v>
                </c:pt>
                <c:pt idx="400">
                  <c:v>-2.8862495301299873</c:v>
                </c:pt>
                <c:pt idx="401">
                  <c:v>-2.9486806467999997</c:v>
                </c:pt>
                <c:pt idx="402">
                  <c:v>-3.0108545591155291</c:v>
                </c:pt>
                <c:pt idx="403">
                  <c:v>-3.0727751279201811</c:v>
                </c:pt>
                <c:pt idx="404">
                  <c:v>-3.1344461334816458</c:v>
                </c:pt>
                <c:pt idx="405">
                  <c:v>-3.1958712775731897</c:v>
                </c:pt>
                <c:pt idx="406">
                  <c:v>-3.2570541854908299</c:v>
                </c:pt>
                <c:pt idx="407">
                  <c:v>-3.3179984080089184</c:v>
                </c:pt>
                <c:pt idx="408">
                  <c:v>-3.3787074232754435</c:v>
                </c:pt>
                <c:pt idx="409">
                  <c:v>-3.4391846386504881</c:v>
                </c:pt>
                <c:pt idx="410">
                  <c:v>-3.4994333924881005</c:v>
                </c:pt>
                <c:pt idx="411">
                  <c:v>-3.5594569558654143</c:v>
                </c:pt>
                <c:pt idx="412">
                  <c:v>-3.6192585342594441</c:v>
                </c:pt>
                <c:pt idx="413">
                  <c:v>-3.678841269174228</c:v>
                </c:pt>
                <c:pt idx="414">
                  <c:v>-3.738208239719512</c:v>
                </c:pt>
                <c:pt idx="415">
                  <c:v>-3.7973624641429353</c:v>
                </c:pt>
                <c:pt idx="416">
                  <c:v>-3.8563069013174811</c:v>
                </c:pt>
                <c:pt idx="417">
                  <c:v>-3.9150444521851</c:v>
                </c:pt>
                <c:pt idx="418">
                  <c:v>-3.9735779611584974</c:v>
                </c:pt>
                <c:pt idx="419">
                  <c:v>-4.03191021748259</c:v>
                </c:pt>
                <c:pt idx="420">
                  <c:v>-4.0900439565563431</c:v>
                </c:pt>
                <c:pt idx="421">
                  <c:v>-4.147981861217346</c:v>
                </c:pt>
                <c:pt idx="422">
                  <c:v>-4.2057265629889855</c:v>
                </c:pt>
                <c:pt idx="423">
                  <c:v>-4.2632806432930863</c:v>
                </c:pt>
                <c:pt idx="424">
                  <c:v>-4.3206466346273942</c:v>
                </c:pt>
                <c:pt idx="425">
                  <c:v>-4.3778270217109707</c:v>
                </c:pt>
                <c:pt idx="426">
                  <c:v>-4.4348242425965623</c:v>
                </c:pt>
                <c:pt idx="427">
                  <c:v>-4.4916406897526144</c:v>
                </c:pt>
                <c:pt idx="428">
                  <c:v>-4.5482787111152732</c:v>
                </c:pt>
                <c:pt idx="429">
                  <c:v>-4.6047406111110263</c:v>
                </c:pt>
                <c:pt idx="430">
                  <c:v>-4.6610286516514918</c:v>
                </c:pt>
                <c:pt idx="431">
                  <c:v>-4.717145053101035</c:v>
                </c:pt>
                <c:pt idx="432">
                  <c:v>-4.7730919952180386</c:v>
                </c:pt>
                <c:pt idx="433">
                  <c:v>-4.828871618070707</c:v>
                </c:pt>
                <c:pt idx="434">
                  <c:v>-4.8844860229277742</c:v>
                </c:pt>
                <c:pt idx="435">
                  <c:v>-4.9399372731261906</c:v>
                </c:pt>
                <c:pt idx="436">
                  <c:v>-4.9952273949145365</c:v>
                </c:pt>
                <c:pt idx="437">
                  <c:v>-5.0503583782750923</c:v>
                </c:pt>
                <c:pt idx="438">
                  <c:v>-5.1053321777231417</c:v>
                </c:pt>
                <c:pt idx="439">
                  <c:v>-5.1601507130860682</c:v>
                </c:pt>
                <c:pt idx="440">
                  <c:v>-5.2148158702612193</c:v>
                </c:pt>
                <c:pt idx="441">
                  <c:v>-5.269329501954644</c:v>
                </c:pt>
                <c:pt idx="442">
                  <c:v>-5.3236934284001052</c:v>
                </c:pt>
                <c:pt idx="443">
                  <c:v>-5.3779094380599304</c:v>
                </c:pt>
                <c:pt idx="444">
                  <c:v>-5.4319792883072466</c:v>
                </c:pt>
                <c:pt idx="445">
                  <c:v>-5.4859047060912758</c:v>
                </c:pt>
                <c:pt idx="446">
                  <c:v>-5.5396873885848379</c:v>
                </c:pt>
                <c:pt idx="447">
                  <c:v>-5.5933290038167343</c:v>
                </c:pt>
                <c:pt idx="448">
                  <c:v>-5.646831191286168</c:v>
                </c:pt>
                <c:pt idx="449">
                  <c:v>-5.7001955625635503</c:v>
                </c:pt>
                <c:pt idx="450">
                  <c:v>-5.7534237018749366</c:v>
                </c:pt>
                <c:pt idx="451">
                  <c:v>-5.806517166672478</c:v>
                </c:pt>
                <c:pt idx="452">
                  <c:v>-5.8594774881902936</c:v>
                </c:pt>
                <c:pt idx="453">
                  <c:v>-5.9123061719866996</c:v>
                </c:pt>
                <c:pt idx="454">
                  <c:v>-5.9650046984732228</c:v>
                </c:pt>
                <c:pt idx="455">
                  <c:v>-6.0175745234301417</c:v>
                </c:pt>
                <c:pt idx="456">
                  <c:v>-6.0700170785098919</c:v>
                </c:pt>
                <c:pt idx="457">
                  <c:v>-6.1223337717277957</c:v>
                </c:pt>
                <c:pt idx="458">
                  <c:v>-6.1745259879411094</c:v>
                </c:pt>
                <c:pt idx="459">
                  <c:v>-6.226595089316163</c:v>
                </c:pt>
                <c:pt idx="460">
                  <c:v>-6.2785424157847842</c:v>
                </c:pt>
                <c:pt idx="461">
                  <c:v>-6.3303692854891551</c:v>
                </c:pt>
                <c:pt idx="462">
                  <c:v>-6.3820769952163516</c:v>
                </c:pt>
                <c:pt idx="463">
                  <c:v>-6.4336668208225376</c:v>
                </c:pt>
                <c:pt idx="464">
                  <c:v>-6.4851400176470406</c:v>
                </c:pt>
                <c:pt idx="465">
                  <c:v>-6.5364978209165372</c:v>
                </c:pt>
                <c:pt idx="466">
                  <c:v>-6.5877414461398871</c:v>
                </c:pt>
                <c:pt idx="467">
                  <c:v>-6.6388720894936739</c:v>
                </c:pt>
                <c:pt idx="468">
                  <c:v>-6.6898909281985652</c:v>
                </c:pt>
                <c:pt idx="469">
                  <c:v>-6.740799120887317</c:v>
                </c:pt>
                <c:pt idx="470">
                  <c:v>-6.7915978079637966</c:v>
                </c:pt>
                <c:pt idx="471">
                  <c:v>-6.8422881119538772</c:v>
                </c:pt>
                <c:pt idx="472">
                  <c:v>-6.892871137848573</c:v>
                </c:pt>
                <c:pt idx="473">
                  <c:v>-6.9433479734387902</c:v>
                </c:pt>
                <c:pt idx="474">
                  <c:v>-6.993719689642802</c:v>
                </c:pt>
                <c:pt idx="475">
                  <c:v>-7.0439873408262486</c:v>
                </c:pt>
                <c:pt idx="476">
                  <c:v>-7.0941519651147189</c:v>
                </c:pt>
                <c:pt idx="477">
                  <c:v>-7.1442145846994549</c:v>
                </c:pt>
                <c:pt idx="478">
                  <c:v>-7.194176206136035</c:v>
                </c:pt>
                <c:pt idx="479">
                  <c:v>-7.2440378206366631</c:v>
                </c:pt>
                <c:pt idx="480">
                  <c:v>-7.2938004043554372</c:v>
                </c:pt>
                <c:pt idx="481">
                  <c:v>-7.3434649186678769</c:v>
                </c:pt>
                <c:pt idx="482">
                  <c:v>-7.3930323104437718</c:v>
                </c:pt>
                <c:pt idx="483">
                  <c:v>-7.4425035123142607</c:v>
                </c:pt>
                <c:pt idx="484">
                  <c:v>-7.4918794429330831</c:v>
                </c:pt>
                <c:pt idx="485">
                  <c:v>-7.5411610072318354</c:v>
                </c:pt>
                <c:pt idx="486">
                  <c:v>-7.5903490966699962</c:v>
                </c:pt>
                <c:pt idx="487">
                  <c:v>-7.6394445894794671</c:v>
                </c:pt>
                <c:pt idx="488">
                  <c:v>-7.688448350903343</c:v>
                </c:pt>
                <c:pt idx="489">
                  <c:v>-7.7373612334303346</c:v>
                </c:pt>
                <c:pt idx="490">
                  <c:v>-7.7861840770235915</c:v>
                </c:pt>
                <c:pt idx="491">
                  <c:v>-7.8349177093445519</c:v>
                </c:pt>
                <c:pt idx="492">
                  <c:v>-7.8835629459725283</c:v>
                </c:pt>
                <c:pt idx="493">
                  <c:v>-7.9321205906192915</c:v>
                </c:pt>
                <c:pt idx="494">
                  <c:v>-7.98059143533888</c:v>
                </c:pt>
                <c:pt idx="495">
                  <c:v>-8.0289762607336286</c:v>
                </c:pt>
                <c:pt idx="496">
                  <c:v>-8.0772758361551098</c:v>
                </c:pt>
                <c:pt idx="497">
                  <c:v>-8.1254909199015515</c:v>
                </c:pt>
                <c:pt idx="498">
                  <c:v>-8.1736222594106493</c:v>
                </c:pt>
                <c:pt idx="499">
                  <c:v>-8.2216705914485146</c:v>
                </c:pt>
                <c:pt idx="500">
                  <c:v>-8.2696366422948699</c:v>
                </c:pt>
                <c:pt idx="501">
                  <c:v>-8.3175211279240955</c:v>
                </c:pt>
                <c:pt idx="502">
                  <c:v>-8.3653247541828364</c:v>
                </c:pt>
                <c:pt idx="503">
                  <c:v>-8.4130482169638299</c:v>
                </c:pt>
                <c:pt idx="504">
                  <c:v>-8.4606922023761229</c:v>
                </c:pt>
                <c:pt idx="505">
                  <c:v>-8.5082573869121063</c:v>
                </c:pt>
                <c:pt idx="506">
                  <c:v>-8.555744437610656</c:v>
                </c:pt>
                <c:pt idx="507">
                  <c:v>-8.6031540122175159</c:v>
                </c:pt>
                <c:pt idx="508">
                  <c:v>-8.6504867593420443</c:v>
                </c:pt>
                <c:pt idx="509">
                  <c:v>-8.6977433186110602</c:v>
                </c:pt>
                <c:pt idx="510">
                  <c:v>-8.7449243208193366</c:v>
                </c:pt>
                <c:pt idx="511">
                  <c:v>-8.7920303880774782</c:v>
                </c:pt>
                <c:pt idx="512">
                  <c:v>-8.8390621339565314</c:v>
                </c:pt>
                <c:pt idx="513">
                  <c:v>-8.8860201636297518</c:v>
                </c:pt>
                <c:pt idx="514">
                  <c:v>-8.932905074011785</c:v>
                </c:pt>
                <c:pt idx="515">
                  <c:v>-8.9797174538948639</c:v>
                </c:pt>
                <c:pt idx="516">
                  <c:v>-9.0264578840825038</c:v>
                </c:pt>
                <c:pt idx="517">
                  <c:v>-9.0731269375205272</c:v>
                </c:pt>
                <c:pt idx="518">
                  <c:v>-9.1197251794253305</c:v>
                </c:pt>
                <c:pt idx="519">
                  <c:v>-9.1662531674101331</c:v>
                </c:pt>
                <c:pt idx="520">
                  <c:v>-9.2127114516082997</c:v>
                </c:pt>
                <c:pt idx="521">
                  <c:v>-9.2591005747945303</c:v>
                </c:pt>
                <c:pt idx="522">
                  <c:v>-9.3054210725036626</c:v>
                </c:pt>
                <c:pt idx="523">
                  <c:v>-9.3516734731470592</c:v>
                </c:pt>
                <c:pt idx="524">
                  <c:v>-9.3978582981270904</c:v>
                </c:pt>
                <c:pt idx="525">
                  <c:v>-9.4439760619492858</c:v>
                </c:pt>
                <c:pt idx="526">
                  <c:v>-9.4900272723319574</c:v>
                </c:pt>
                <c:pt idx="527">
                  <c:v>-9.5360124303144005</c:v>
                </c:pt>
                <c:pt idx="528">
                  <c:v>-9.5819320303628785</c:v>
                </c:pt>
                <c:pt idx="529">
                  <c:v>-9.6277865604739929</c:v>
                </c:pt>
                <c:pt idx="530">
                  <c:v>-9.6735765022771147</c:v>
                </c:pt>
                <c:pt idx="531">
                  <c:v>-9.7193023311340028</c:v>
                </c:pt>
                <c:pt idx="532">
                  <c:v>-9.7649645162373133</c:v>
                </c:pt>
                <c:pt idx="533">
                  <c:v>-9.8105635207064665</c:v>
                </c:pt>
                <c:pt idx="534">
                  <c:v>-9.8560998016826886</c:v>
                </c:pt>
                <c:pt idx="535">
                  <c:v>-9.9015738104213824</c:v>
                </c:pt>
                <c:pt idx="536">
                  <c:v>-9.9469859923834179</c:v>
                </c:pt>
                <c:pt idx="537">
                  <c:v>-9.9923367873245752</c:v>
                </c:pt>
                <c:pt idx="538">
                  <c:v>-10.037626629383141</c:v>
                </c:pt>
                <c:pt idx="539">
                  <c:v>-10.082855947166138</c:v>
                </c:pt>
                <c:pt idx="540">
                  <c:v>-10.128025163834138</c:v>
                </c:pt>
                <c:pt idx="541">
                  <c:v>-10.173134697183883</c:v>
                </c:pt>
                <c:pt idx="542">
                  <c:v>-10.218184959730365</c:v>
                </c:pt>
                <c:pt idx="543">
                  <c:v>-10.263176358786609</c:v>
                </c:pt>
                <c:pt idx="544">
                  <c:v>-10.308109296542312</c:v>
                </c:pt>
                <c:pt idx="545">
                  <c:v>-10.352984170141212</c:v>
                </c:pt>
                <c:pt idx="546">
                  <c:v>-10.39780137175697</c:v>
                </c:pt>
                <c:pt idx="547">
                  <c:v>-10.442561288667605</c:v>
                </c:pt>
                <c:pt idx="548">
                  <c:v>-10.487264303328715</c:v>
                </c:pt>
                <c:pt idx="549">
                  <c:v>-10.531910793445405</c:v>
                </c:pt>
                <c:pt idx="550">
                  <c:v>-10.576501132042836</c:v>
                </c:pt>
                <c:pt idx="551">
                  <c:v>-10.621035687535652</c:v>
                </c:pt>
                <c:pt idx="552">
                  <c:v>-10.665514823796229</c:v>
                </c:pt>
                <c:pt idx="553">
                  <c:v>-10.709938900221601</c:v>
                </c:pt>
                <c:pt idx="554">
                  <c:v>-10.754308271799175</c:v>
                </c:pt>
                <c:pt idx="555">
                  <c:v>-10.798623289171417</c:v>
                </c:pt>
                <c:pt idx="556">
                  <c:v>-10.84288429869963</c:v>
                </c:pt>
                <c:pt idx="557">
                  <c:v>-10.887091642526059</c:v>
                </c:pt>
                <c:pt idx="558">
                  <c:v>-10.931245658635419</c:v>
                </c:pt>
                <c:pt idx="559">
                  <c:v>-10.975346680915294</c:v>
                </c:pt>
                <c:pt idx="560">
                  <c:v>-11.019395039215311</c:v>
                </c:pt>
                <c:pt idx="561">
                  <c:v>-11.063391059405319</c:v>
                </c:pt>
                <c:pt idx="562">
                  <c:v>-11.107335063432913</c:v>
                </c:pt>
                <c:pt idx="563">
                  <c:v>-11.15122736937937</c:v>
                </c:pt>
                <c:pt idx="564">
                  <c:v>-11.195068291515412</c:v>
                </c:pt>
                <c:pt idx="565">
                  <c:v>-11.238858140355376</c:v>
                </c:pt>
                <c:pt idx="566">
                  <c:v>-11.282597222710649</c:v>
                </c:pt>
                <c:pt idx="567">
                  <c:v>-11.326285841742447</c:v>
                </c:pt>
                <c:pt idx="568">
                  <c:v>-11.369924297013341</c:v>
                </c:pt>
                <c:pt idx="569">
                  <c:v>-11.413512884538392</c:v>
                </c:pt>
                <c:pt idx="570">
                  <c:v>-11.45705189683477</c:v>
                </c:pt>
                <c:pt idx="571">
                  <c:v>-11.500541622971213</c:v>
                </c:pt>
                <c:pt idx="572">
                  <c:v>-11.543982348616368</c:v>
                </c:pt>
                <c:pt idx="573">
                  <c:v>-11.587374356086116</c:v>
                </c:pt>
                <c:pt idx="574">
                  <c:v>-11.630717924390609</c:v>
                </c:pt>
                <c:pt idx="575">
                  <c:v>-11.674013329280257</c:v>
                </c:pt>
                <c:pt idx="576">
                  <c:v>-11.717260843290774</c:v>
                </c:pt>
                <c:pt idx="577">
                  <c:v>-11.760460735787888</c:v>
                </c:pt>
                <c:pt idx="578">
                  <c:v>-11.803613273011052</c:v>
                </c:pt>
                <c:pt idx="579">
                  <c:v>-11.846718718116477</c:v>
                </c:pt>
                <c:pt idx="580">
                  <c:v>-11.889777331219676</c:v>
                </c:pt>
                <c:pt idx="581">
                  <c:v>-11.932789369436989</c:v>
                </c:pt>
                <c:pt idx="582">
                  <c:v>-11.975755086926711</c:v>
                </c:pt>
                <c:pt idx="583">
                  <c:v>-12.018674734929277</c:v>
                </c:pt>
                <c:pt idx="584">
                  <c:v>-12.061548561807314</c:v>
                </c:pt>
                <c:pt idx="585">
                  <c:v>-12.104376813084315</c:v>
                </c:pt>
                <c:pt idx="586">
                  <c:v>-12.147159731483526</c:v>
                </c:pt>
                <c:pt idx="587">
                  <c:v>-12.189897556965377</c:v>
                </c:pt>
                <c:pt idx="588">
                  <c:v>-12.232590526764994</c:v>
                </c:pt>
                <c:pt idx="589">
                  <c:v>-12.275238875428727</c:v>
                </c:pt>
                <c:pt idx="590">
                  <c:v>-12.317842834850381</c:v>
                </c:pt>
                <c:pt idx="591">
                  <c:v>-12.360402634306553</c:v>
                </c:pt>
                <c:pt idx="592">
                  <c:v>-12.402918500491722</c:v>
                </c:pt>
                <c:pt idx="593">
                  <c:v>-12.445390657552508</c:v>
                </c:pt>
                <c:pt idx="594">
                  <c:v>-12.487819327121713</c:v>
                </c:pt>
                <c:pt idx="595">
                  <c:v>-12.530204728351492</c:v>
                </c:pt>
                <c:pt idx="596">
                  <c:v>-12.572547077946354</c:v>
                </c:pt>
                <c:pt idx="597">
                  <c:v>-12.614846590195327</c:v>
                </c:pt>
                <c:pt idx="598">
                  <c:v>-12.657103477003915</c:v>
                </c:pt>
                <c:pt idx="599">
                  <c:v>-12.699317947925209</c:v>
                </c:pt>
                <c:pt idx="600">
                  <c:v>-12.741490210190932</c:v>
                </c:pt>
                <c:pt idx="601">
                  <c:v>-12.783620468741816</c:v>
                </c:pt>
                <c:pt idx="602">
                  <c:v>-12.825708926257334</c:v>
                </c:pt>
                <c:pt idx="603">
                  <c:v>-12.867755783185288</c:v>
                </c:pt>
                <c:pt idx="604">
                  <c:v>-12.909761237770908</c:v>
                </c:pt>
                <c:pt idx="605">
                  <c:v>-12.951725486085024</c:v>
                </c:pt>
                <c:pt idx="606">
                  <c:v>-15.001175610288129</c:v>
                </c:pt>
                <c:pt idx="607">
                  <c:v>-16.966181563766014</c:v>
                </c:pt>
                <c:pt idx="608">
                  <c:v>-18.858310119598144</c:v>
                </c:pt>
                <c:pt idx="609">
                  <c:v>-20.68483950855574</c:v>
                </c:pt>
                <c:pt idx="610">
                  <c:v>-22.450548290372353</c:v>
                </c:pt>
                <c:pt idx="611">
                  <c:v>-24.158724765844312</c:v>
                </c:pt>
                <c:pt idx="612">
                  <c:v>-25.811760939062367</c:v>
                </c:pt>
                <c:pt idx="613">
                  <c:v>-27.411512623686292</c:v>
                </c:pt>
                <c:pt idx="614">
                  <c:v>-28.959521917801311</c:v>
                </c:pt>
                <c:pt idx="615">
                  <c:v>-30.457155725460382</c:v>
                </c:pt>
                <c:pt idx="616">
                  <c:v>-31.905691624564071</c:v>
                </c:pt>
                <c:pt idx="617">
                  <c:v>-33.306370041537519</c:v>
                </c:pt>
                <c:pt idx="618">
                  <c:v>-33.889245032129963</c:v>
                </c:pt>
                <c:pt idx="619">
                  <c:v>-34.463563883744143</c:v>
                </c:pt>
                <c:pt idx="620">
                  <c:v>-35.029470979134516</c:v>
                </c:pt>
                <c:pt idx="621">
                  <c:v>-35.587106132772021</c:v>
                </c:pt>
                <c:pt idx="622">
                  <c:v>-36.136605092905569</c:v>
                </c:pt>
                <c:pt idx="623">
                  <c:v>-36.678099971847985</c:v>
                </c:pt>
                <c:pt idx="624">
                  <c:v>-37.211719614387221</c:v>
                </c:pt>
                <c:pt idx="625">
                  <c:v>-37.737589912842139</c:v>
                </c:pt>
                <c:pt idx="626">
                  <c:v>-38.255834076105543</c:v>
                </c:pt>
                <c:pt idx="627">
                  <c:v>-38.766572859014246</c:v>
                </c:pt>
                <c:pt idx="628">
                  <c:v>-39.269924757525075</c:v>
                </c:pt>
                <c:pt idx="629">
                  <c:v>-39.766006174442197</c:v>
                </c:pt>
                <c:pt idx="630">
                  <c:v>-40.254931559802941</c:v>
                </c:pt>
                <c:pt idx="631">
                  <c:v>-40.736813529487449</c:v>
                </c:pt>
                <c:pt idx="632">
                  <c:v>-41.211762965141901</c:v>
                </c:pt>
                <c:pt idx="633">
                  <c:v>-41.679889098099181</c:v>
                </c:pt>
                <c:pt idx="634">
                  <c:v>-42.141299579626121</c:v>
                </c:pt>
                <c:pt idx="635">
                  <c:v>-42.596100539518432</c:v>
                </c:pt>
                <c:pt idx="636">
                  <c:v>-43.044396634798602</c:v>
                </c:pt>
                <c:pt idx="637">
                  <c:v>-43.486291090038804</c:v>
                </c:pt>
                <c:pt idx="638">
                  <c:v>-43.921885730628219</c:v>
                </c:pt>
                <c:pt idx="639">
                  <c:v>-44.351281010128133</c:v>
                </c:pt>
                <c:pt idx="640">
                  <c:v>-44.774576032703266</c:v>
                </c:pt>
                <c:pt idx="641">
                  <c:v>-45.191868571484122</c:v>
                </c:pt>
                <c:pt idx="642">
                  <c:v>-45.603255083596508</c:v>
                </c:pt>
                <c:pt idx="643">
                  <c:v>-46.008830722492888</c:v>
                </c:pt>
                <c:pt idx="644">
                  <c:v>-46.408689348130139</c:v>
                </c:pt>
                <c:pt idx="645">
                  <c:v>-46.802923535458831</c:v>
                </c:pt>
                <c:pt idx="646">
                  <c:v>-47.191624581623273</c:v>
                </c:pt>
                <c:pt idx="647">
                  <c:v>-47.57488251220866</c:v>
                </c:pt>
                <c:pt idx="648">
                  <c:v>-47.952786086822954</c:v>
                </c:pt>
                <c:pt idx="649">
                  <c:v>-48.325422804252952</c:v>
                </c:pt>
                <c:pt idx="650">
                  <c:v>-48.692878907395851</c:v>
                </c:pt>
                <c:pt idx="651">
                  <c:v>-49.055239388133714</c:v>
                </c:pt>
                <c:pt idx="652">
                  <c:v>-49.412587992286916</c:v>
                </c:pt>
                <c:pt idx="653">
                  <c:v>-49.765007224758818</c:v>
                </c:pt>
                <c:pt idx="654">
                  <c:v>-50.11257835495914</c:v>
                </c:pt>
                <c:pt idx="655">
                  <c:v>-50.455381422577801</c:v>
                </c:pt>
                <c:pt idx="656">
                  <c:v>-50.793495243759281</c:v>
                </c:pt>
                <c:pt idx="657">
                  <c:v>-51.126997417720077</c:v>
                </c:pt>
                <c:pt idx="658">
                  <c:v>-51.455964333832071</c:v>
                </c:pt>
                <c:pt idx="659">
                  <c:v>-51.78047117919229</c:v>
                </c:pt>
                <c:pt idx="660">
                  <c:v>-52.100591946683636</c:v>
                </c:pt>
                <c:pt idx="661">
                  <c:v>-52.416399443528888</c:v>
                </c:pt>
                <c:pt idx="662">
                  <c:v>-52.727965300331732</c:v>
                </c:pt>
                <c:pt idx="663">
                  <c:v>-53.03535998059445</c:v>
                </c:pt>
                <c:pt idx="664">
                  <c:v>-53.338652790697267</c:v>
                </c:pt>
                <c:pt idx="665">
                  <c:v>-53.63791189032176</c:v>
                </c:pt>
                <c:pt idx="666">
                  <c:v>-53.933204303296861</c:v>
                </c:pt>
                <c:pt idx="667">
                  <c:v>-54.224595928845616</c:v>
                </c:pt>
              </c:numCache>
            </c:numRef>
          </c:yVal>
          <c:smooth val="0"/>
          <c:extLst>
            <c:ext xmlns:c16="http://schemas.microsoft.com/office/drawing/2014/chart" uri="{C3380CC4-5D6E-409C-BE32-E72D297353CC}">
              <c16:uniqueId val="{00000003-C323-45F5-AD89-2A9969707A73}"/>
            </c:ext>
          </c:extLst>
        </c:ser>
        <c:dLbls>
          <c:showLegendKey val="0"/>
          <c:showVal val="0"/>
          <c:showCatName val="0"/>
          <c:showSerName val="0"/>
          <c:showPercent val="0"/>
          <c:showBubbleSize val="0"/>
        </c:dLbls>
        <c:axId val="177428736"/>
        <c:axId val="177430528"/>
      </c:scatterChart>
      <c:valAx>
        <c:axId val="177420544"/>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8566911218015"/>
              <c:y val="0.88189196822838745"/>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6816"/>
        <c:crossesAt val="-80"/>
        <c:crossBetween val="midCat"/>
      </c:valAx>
      <c:valAx>
        <c:axId val="177426816"/>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2.9010238907849841E-2"/>
              <c:y val="0.4409459841141904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0544"/>
        <c:crosses val="autoZero"/>
        <c:crossBetween val="midCat"/>
      </c:valAx>
      <c:valAx>
        <c:axId val="177428736"/>
        <c:scaling>
          <c:logBase val="10"/>
          <c:orientation val="minMax"/>
        </c:scaling>
        <c:delete val="1"/>
        <c:axPos val="b"/>
        <c:numFmt formatCode="General" sourceLinked="1"/>
        <c:majorTickMark val="out"/>
        <c:minorTickMark val="none"/>
        <c:tickLblPos val="none"/>
        <c:crossAx val="177430528"/>
        <c:crosses val="autoZero"/>
        <c:crossBetween val="midCat"/>
      </c:valAx>
      <c:valAx>
        <c:axId val="177430528"/>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733860059302123"/>
              <c:y val="0.36483022299377932"/>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8736"/>
        <c:crosses val="max"/>
        <c:crossBetween val="midCat"/>
      </c:valAx>
      <c:spPr>
        <a:noFill/>
        <a:ln w="12700">
          <a:solidFill>
            <a:srgbClr val="808080"/>
          </a:solidFill>
          <a:prstDash val="solid"/>
        </a:ln>
      </c:spPr>
    </c:plotArea>
    <c:legend>
      <c:legendPos val="t"/>
      <c:layout>
        <c:manualLayout>
          <c:xMode val="edge"/>
          <c:yMode val="edge"/>
          <c:x val="0.78157068250427764"/>
          <c:y val="1.3123359580052583E-2"/>
          <c:w val="0.20307185151344131"/>
          <c:h val="0.14698190285269724"/>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FeedBack To Comp</a:t>
            </a:r>
          </a:p>
        </c:rich>
      </c:tx>
      <c:layout>
        <c:manualLayout>
          <c:xMode val="edge"/>
          <c:yMode val="edge"/>
          <c:x val="0.40108892921960942"/>
          <c:y val="3.3854166666666671E-2"/>
        </c:manualLayout>
      </c:layout>
      <c:overlay val="0"/>
      <c:spPr>
        <a:noFill/>
        <a:ln w="25400">
          <a:noFill/>
        </a:ln>
      </c:spPr>
    </c:title>
    <c:autoTitleDeleted val="0"/>
    <c:plotArea>
      <c:layout>
        <c:manualLayout>
          <c:layoutTarget val="inner"/>
          <c:xMode val="edge"/>
          <c:yMode val="edge"/>
          <c:x val="0.11615245009074388"/>
          <c:y val="0.20833386315374539"/>
          <c:w val="0.79128856624319865"/>
          <c:h val="0.60416820314586173"/>
        </c:manualLayout>
      </c:layout>
      <c:scatterChart>
        <c:scatterStyle val="smoothMarker"/>
        <c:varyColors val="0"/>
        <c:ser>
          <c:idx val="2"/>
          <c:order val="0"/>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Calculations'!$BB$9:$BB$676</c:f>
              <c:numCache>
                <c:formatCode>General</c:formatCode>
                <c:ptCount val="668"/>
                <c:pt idx="0">
                  <c:v>59.885575552258715</c:v>
                </c:pt>
                <c:pt idx="1">
                  <c:v>55.394675439525429</c:v>
                </c:pt>
                <c:pt idx="2">
                  <c:v>52.226442712342511</c:v>
                </c:pt>
                <c:pt idx="3">
                  <c:v>49.858558881701505</c:v>
                </c:pt>
                <c:pt idx="4">
                  <c:v>47.982307960315794</c:v>
                </c:pt>
                <c:pt idx="5">
                  <c:v>46.432712542284122</c:v>
                </c:pt>
                <c:pt idx="6">
                  <c:v>45.114429170670931</c:v>
                </c:pt>
                <c:pt idx="7">
                  <c:v>43.968051431894821</c:v>
                </c:pt>
                <c:pt idx="8">
                  <c:v>42.954258450498614</c:v>
                </c:pt>
                <c:pt idx="9">
                  <c:v>42.04574700962845</c:v>
                </c:pt>
                <c:pt idx="10">
                  <c:v>36.046596523683263</c:v>
                </c:pt>
                <c:pt idx="11">
                  <c:v>32.529044721540458</c:v>
                </c:pt>
                <c:pt idx="12">
                  <c:v>30.032108853750124</c:v>
                </c:pt>
                <c:pt idx="13">
                  <c:v>28.095135432985185</c:v>
                </c:pt>
                <c:pt idx="14">
                  <c:v>26.512575393557608</c:v>
                </c:pt>
                <c:pt idx="15">
                  <c:v>25.174696768002089</c:v>
                </c:pt>
                <c:pt idx="16">
                  <c:v>24.015971697257594</c:v>
                </c:pt>
                <c:pt idx="17">
                  <c:v>22.994122569596268</c:v>
                </c:pt>
                <c:pt idx="18">
                  <c:v>22.080277702328836</c:v>
                </c:pt>
                <c:pt idx="19">
                  <c:v>16.079418039154834</c:v>
                </c:pt>
                <c:pt idx="20">
                  <c:v>12.590078325568182</c:v>
                </c:pt>
                <c:pt idx="21">
                  <c:v>10.136535853771825</c:v>
                </c:pt>
                <c:pt idx="22">
                  <c:v>8.2561307666185346</c:v>
                </c:pt>
                <c:pt idx="23">
                  <c:v>6.7426137815080276</c:v>
                </c:pt>
                <c:pt idx="24">
                  <c:v>5.4857967576758506</c:v>
                </c:pt>
                <c:pt idx="25">
                  <c:v>4.4197400535976676</c:v>
                </c:pt>
                <c:pt idx="26">
                  <c:v>3.5017478067602061</c:v>
                </c:pt>
                <c:pt idx="27">
                  <c:v>2.7025097914985081</c:v>
                </c:pt>
                <c:pt idx="28">
                  <c:v>-9.3503802448216433E-2</c:v>
                </c:pt>
                <c:pt idx="29">
                  <c:v>-1.669388883351882</c:v>
                </c:pt>
                <c:pt idx="30">
                  <c:v>-2.5502518595805199</c:v>
                </c:pt>
                <c:pt idx="31">
                  <c:v>-2.9963045049450239</c:v>
                </c:pt>
                <c:pt idx="32">
                  <c:v>-3.1596217201976828</c:v>
                </c:pt>
                <c:pt idx="33">
                  <c:v>-3.1361998285159371</c:v>
                </c:pt>
                <c:pt idx="34">
                  <c:v>-2.9889609505756547</c:v>
                </c:pt>
                <c:pt idx="35">
                  <c:v>-2.7599937792144917</c:v>
                </c:pt>
                <c:pt idx="36">
                  <c:v>-2.4778063120698772</c:v>
                </c:pt>
                <c:pt idx="37">
                  <c:v>-2.1618760220901634</c:v>
                </c:pt>
                <c:pt idx="38">
                  <c:v>-1.8255935899676086</c:v>
                </c:pt>
                <c:pt idx="39">
                  <c:v>-1.4782028083364396</c:v>
                </c:pt>
                <c:pt idx="40">
                  <c:v>-1.1260958585482106</c:v>
                </c:pt>
                <c:pt idx="41">
                  <c:v>-0.77368763018637809</c:v>
                </c:pt>
                <c:pt idx="42">
                  <c:v>-0.42401175164533</c:v>
                </c:pt>
                <c:pt idx="43">
                  <c:v>-7.9130712004739118E-2</c:v>
                </c:pt>
                <c:pt idx="44">
                  <c:v>0.25957942959374258</c:v>
                </c:pt>
                <c:pt idx="45">
                  <c:v>0.59122973819589397</c:v>
                </c:pt>
                <c:pt idx="46">
                  <c:v>0.91527779207931326</c:v>
                </c:pt>
                <c:pt idx="47">
                  <c:v>1.2314277714708448</c:v>
                </c:pt>
                <c:pt idx="48">
                  <c:v>1.5395590116836122</c:v>
                </c:pt>
                <c:pt idx="49">
                  <c:v>1.8396746266649788</c:v>
                </c:pt>
                <c:pt idx="50">
                  <c:v>2.1318643935074522</c:v>
                </c:pt>
                <c:pt idx="51">
                  <c:v>2.4162778429233351</c:v>
                </c:pt>
                <c:pt idx="52">
                  <c:v>2.6931047020793915</c:v>
                </c:pt>
                <c:pt idx="53">
                  <c:v>2.9625606659321764</c:v>
                </c:pt>
                <c:pt idx="54">
                  <c:v>3.2248770510494165</c:v>
                </c:pt>
                <c:pt idx="55">
                  <c:v>3.4802932915638642</c:v>
                </c:pt>
                <c:pt idx="56">
                  <c:v>3.7290515238917554</c:v>
                </c:pt>
                <c:pt idx="57">
                  <c:v>3.9713927113764207</c:v>
                </c:pt>
                <c:pt idx="58">
                  <c:v>4.2075539068036685</c:v>
                </c:pt>
                <c:pt idx="59">
                  <c:v>4.4377663567815944</c:v>
                </c:pt>
                <c:pt idx="60">
                  <c:v>4.6622542290696991</c:v>
                </c:pt>
                <c:pt idx="61">
                  <c:v>4.8812338003155968</c:v>
                </c:pt>
                <c:pt idx="62">
                  <c:v>5.0949129831058872</c:v>
                </c:pt>
                <c:pt idx="63">
                  <c:v>5.3034911018672855</c:v>
                </c:pt>
                <c:pt idx="64">
                  <c:v>5.507158849894612</c:v>
                </c:pt>
                <c:pt idx="65">
                  <c:v>5.7060983767375175</c:v>
                </c:pt>
                <c:pt idx="66">
                  <c:v>5.9004834678682982</c:v>
                </c:pt>
                <c:pt idx="67">
                  <c:v>6.0904797880838153</c:v>
                </c:pt>
                <c:pt idx="68">
                  <c:v>6.2762451672731787</c:v>
                </c:pt>
                <c:pt idx="69">
                  <c:v>6.4579299126033067</c:v>
                </c:pt>
                <c:pt idx="70">
                  <c:v>6.6356771352753841</c:v>
                </c:pt>
                <c:pt idx="71">
                  <c:v>6.8096230831116902</c:v>
                </c:pt>
                <c:pt idx="72">
                  <c:v>6.9798974725877905</c:v>
                </c:pt>
                <c:pt idx="73">
                  <c:v>7.1466238157106599</c:v>
                </c:pt>
                <c:pt idx="74">
                  <c:v>7.3099197384961121</c:v>
                </c:pt>
                <c:pt idx="75">
                  <c:v>7.4698972888220103</c:v>
                </c:pt>
                <c:pt idx="76">
                  <c:v>7.626663232205054</c:v>
                </c:pt>
                <c:pt idx="77">
                  <c:v>7.7803193346280475</c:v>
                </c:pt>
                <c:pt idx="78">
                  <c:v>7.9309626319766231</c:v>
                </c:pt>
                <c:pt idx="79">
                  <c:v>8.0786856859638441</c:v>
                </c:pt>
                <c:pt idx="80">
                  <c:v>8.2235768266545701</c:v>
                </c:pt>
                <c:pt idx="81">
                  <c:v>8.3657203818692061</c:v>
                </c:pt>
                <c:pt idx="82">
                  <c:v>8.5051968938639693</c:v>
                </c:pt>
                <c:pt idx="83">
                  <c:v>8.6420833237641386</c:v>
                </c:pt>
                <c:pt idx="84">
                  <c:v>8.7764532442774428</c:v>
                </c:pt>
                <c:pt idx="85">
                  <c:v>8.908377021243286</c:v>
                </c:pt>
                <c:pt idx="86">
                  <c:v>9.0379219845861787</c:v>
                </c:pt>
                <c:pt idx="87">
                  <c:v>9.1651525892422008</c:v>
                </c:pt>
                <c:pt idx="88">
                  <c:v>9.2901305666189131</c:v>
                </c:pt>
                <c:pt idx="89">
                  <c:v>9.4129150671348114</c:v>
                </c:pt>
                <c:pt idx="90">
                  <c:v>9.5335627943654231</c:v>
                </c:pt>
                <c:pt idx="91">
                  <c:v>9.6521281313013265</c:v>
                </c:pt>
                <c:pt idx="92">
                  <c:v>9.7686632592002027</c:v>
                </c:pt>
                <c:pt idx="93">
                  <c:v>9.8832182694900474</c:v>
                </c:pt>
                <c:pt idx="94">
                  <c:v>9.9958412691565854</c:v>
                </c:pt>
                <c:pt idx="95">
                  <c:v>10.106578480022845</c:v>
                </c:pt>
                <c:pt idx="96">
                  <c:v>10.215474332305108</c:v>
                </c:pt>
                <c:pt idx="97">
                  <c:v>10.322571552805954</c:v>
                </c:pt>
                <c:pt idx="98">
                  <c:v>10.427911248082806</c:v>
                </c:pt>
                <c:pt idx="99">
                  <c:v>10.531532982908871</c:v>
                </c:pt>
                <c:pt idx="100">
                  <c:v>10.633474854323053</c:v>
                </c:pt>
                <c:pt idx="101">
                  <c:v>10.733773561546121</c:v>
                </c:pt>
                <c:pt idx="102">
                  <c:v>10.832464472022336</c:v>
                </c:pt>
                <c:pt idx="103">
                  <c:v>10.929581683828411</c:v>
                </c:pt>
                <c:pt idx="104">
                  <c:v>11.025158084675908</c:v>
                </c:pt>
                <c:pt idx="105">
                  <c:v>11.119225407717959</c:v>
                </c:pt>
                <c:pt idx="106">
                  <c:v>11.211814284357235</c:v>
                </c:pt>
                <c:pt idx="107">
                  <c:v>11.302954294238884</c:v>
                </c:pt>
                <c:pt idx="108">
                  <c:v>11.392674012599961</c:v>
                </c:pt>
                <c:pt idx="109">
                  <c:v>11.481001055135444</c:v>
                </c:pt>
                <c:pt idx="110">
                  <c:v>11.567962120530211</c:v>
                </c:pt>
                <c:pt idx="111">
                  <c:v>11.653583030796558</c:v>
                </c:pt>
                <c:pt idx="112">
                  <c:v>11.737888769547487</c:v>
                </c:pt>
                <c:pt idx="113">
                  <c:v>11.820903518327501</c:v>
                </c:pt>
                <c:pt idx="114">
                  <c:v>11.902650691114502</c:v>
                </c:pt>
                <c:pt idx="115">
                  <c:v>11.983152967099176</c:v>
                </c:pt>
                <c:pt idx="116">
                  <c:v>12.062432321841083</c:v>
                </c:pt>
                <c:pt idx="117">
                  <c:v>12.140510056894374</c:v>
                </c:pt>
                <c:pt idx="118">
                  <c:v>12.217406827990052</c:v>
                </c:pt>
                <c:pt idx="119">
                  <c:v>12.29314267185606</c:v>
                </c:pt>
                <c:pt idx="120">
                  <c:v>12.367737031751316</c:v>
                </c:pt>
                <c:pt idx="121">
                  <c:v>12.441208781785049</c:v>
                </c:pt>
                <c:pt idx="122">
                  <c:v>12.513576250088089</c:v>
                </c:pt>
                <c:pt idx="123">
                  <c:v>12.584857240898915</c:v>
                </c:pt>
                <c:pt idx="124">
                  <c:v>12.655069055622963</c:v>
                </c:pt>
                <c:pt idx="125">
                  <c:v>12.724228512920368</c:v>
                </c:pt>
                <c:pt idx="126">
                  <c:v>12.79235196787377</c:v>
                </c:pt>
                <c:pt idx="127">
                  <c:v>12.85945533028471</c:v>
                </c:pt>
                <c:pt idx="128">
                  <c:v>12.925554082144185</c:v>
                </c:pt>
                <c:pt idx="129">
                  <c:v>12.99066329432007</c:v>
                </c:pt>
                <c:pt idx="130">
                  <c:v>13.054797642501892</c:v>
                </c:pt>
                <c:pt idx="131">
                  <c:v>13.11797142244048</c:v>
                </c:pt>
                <c:pt idx="132">
                  <c:v>13.180198564518349</c:v>
                </c:pt>
                <c:pt idx="133">
                  <c:v>13.24149264768427</c:v>
                </c:pt>
                <c:pt idx="134">
                  <c:v>13.301866912783522</c:v>
                </c:pt>
                <c:pt idx="135">
                  <c:v>13.361334275313649</c:v>
                </c:pt>
                <c:pt idx="136">
                  <c:v>13.419907337633678</c:v>
                </c:pt>
                <c:pt idx="137">
                  <c:v>13.477598400653349</c:v>
                </c:pt>
                <c:pt idx="138">
                  <c:v>13.5344194750271</c:v>
                </c:pt>
                <c:pt idx="139">
                  <c:v>13.590382291876546</c:v>
                </c:pt>
                <c:pt idx="140">
                  <c:v>13.645498313063536</c:v>
                </c:pt>
                <c:pt idx="141">
                  <c:v>13.699778741034848</c:v>
                </c:pt>
                <c:pt idx="142">
                  <c:v>13.75323452825835</c:v>
                </c:pt>
                <c:pt idx="143">
                  <c:v>13.805876386269365</c:v>
                </c:pt>
                <c:pt idx="144">
                  <c:v>13.857714794345046</c:v>
                </c:pt>
                <c:pt idx="145">
                  <c:v>13.908760007823533</c:v>
                </c:pt>
                <c:pt idx="146">
                  <c:v>13.959022066083737</c:v>
                </c:pt>
                <c:pt idx="147">
                  <c:v>14.008510800200977</c:v>
                </c:pt>
                <c:pt idx="148">
                  <c:v>14.057235840292622</c:v>
                </c:pt>
                <c:pt idx="149">
                  <c:v>14.105206622567284</c:v>
                </c:pt>
                <c:pt idx="150">
                  <c:v>14.152432396090543</c:v>
                </c:pt>
                <c:pt idx="151">
                  <c:v>14.198922229279265</c:v>
                </c:pt>
                <c:pt idx="152">
                  <c:v>14.244685016136145</c:v>
                </c:pt>
                <c:pt idx="153">
                  <c:v>14.289729482235519</c:v>
                </c:pt>
                <c:pt idx="154">
                  <c:v>14.334064190470873</c:v>
                </c:pt>
                <c:pt idx="155">
                  <c:v>14.37769754657397</c:v>
                </c:pt>
                <c:pt idx="156">
                  <c:v>14.420637804415151</c:v>
                </c:pt>
                <c:pt idx="157">
                  <c:v>14.462893071093735</c:v>
                </c:pt>
                <c:pt idx="158">
                  <c:v>14.504471311827142</c:v>
                </c:pt>
                <c:pt idx="159">
                  <c:v>14.545380354646921</c:v>
                </c:pt>
                <c:pt idx="160">
                  <c:v>14.585627894909488</c:v>
                </c:pt>
                <c:pt idx="161">
                  <c:v>14.625221499628982</c:v>
                </c:pt>
                <c:pt idx="162">
                  <c:v>14.664168611639379</c:v>
                </c:pt>
                <c:pt idx="163">
                  <c:v>14.702476553592604</c:v>
                </c:pt>
                <c:pt idx="164">
                  <c:v>14.740152531799144</c:v>
                </c:pt>
                <c:pt idx="165">
                  <c:v>14.777203639917346</c:v>
                </c:pt>
                <c:pt idx="166">
                  <c:v>14.813636862497297</c:v>
                </c:pt>
                <c:pt idx="167">
                  <c:v>14.849459078384964</c:v>
                </c:pt>
                <c:pt idx="168">
                  <c:v>14.884677063992013</c:v>
                </c:pt>
                <c:pt idx="169">
                  <c:v>14.919297496436478</c:v>
                </c:pt>
                <c:pt idx="170">
                  <c:v>14.953326956559284</c:v>
                </c:pt>
                <c:pt idx="171">
                  <c:v>14.986771931821307</c:v>
                </c:pt>
                <c:pt idx="172">
                  <c:v>15.01963881908566</c:v>
                </c:pt>
                <c:pt idx="173">
                  <c:v>15.051933927289472</c:v>
                </c:pt>
                <c:pt idx="174">
                  <c:v>15.083663480009406</c:v>
                </c:pt>
                <c:pt idx="175">
                  <c:v>15.114833617924985</c:v>
                </c:pt>
                <c:pt idx="176">
                  <c:v>15.145450401183542</c:v>
                </c:pt>
                <c:pt idx="177">
                  <c:v>15.17551981167057</c:v>
                </c:pt>
                <c:pt idx="178">
                  <c:v>15.205047755189014</c:v>
                </c:pt>
                <c:pt idx="179">
                  <c:v>15.23404006355096</c:v>
                </c:pt>
                <c:pt idx="180">
                  <c:v>15.262502496585068</c:v>
                </c:pt>
                <c:pt idx="181">
                  <c:v>15.290440744062879</c:v>
                </c:pt>
                <c:pt idx="182">
                  <c:v>15.3178604275471</c:v>
                </c:pt>
                <c:pt idx="183">
                  <c:v>15.344767102164802</c:v>
                </c:pt>
                <c:pt idx="184">
                  <c:v>15.371166258308433</c:v>
                </c:pt>
                <c:pt idx="185">
                  <c:v>15.39706332326729</c:v>
                </c:pt>
                <c:pt idx="186">
                  <c:v>15.422463662792168</c:v>
                </c:pt>
                <c:pt idx="187">
                  <c:v>15.447372582595747</c:v>
                </c:pt>
                <c:pt idx="188">
                  <c:v>15.471795329791121</c:v>
                </c:pt>
                <c:pt idx="189">
                  <c:v>15.495737094270845</c:v>
                </c:pt>
                <c:pt idx="190">
                  <c:v>15.519203010028859</c:v>
                </c:pt>
                <c:pt idx="191">
                  <c:v>15.542198156427403</c:v>
                </c:pt>
                <c:pt idx="192">
                  <c:v>15.564727559411116</c:v>
                </c:pt>
                <c:pt idx="193">
                  <c:v>15.586796192670377</c:v>
                </c:pt>
                <c:pt idx="194">
                  <c:v>15.608408978755829</c:v>
                </c:pt>
                <c:pt idx="195">
                  <c:v>15.629570790146044</c:v>
                </c:pt>
                <c:pt idx="196">
                  <c:v>15.650286450270197</c:v>
                </c:pt>
                <c:pt idx="197">
                  <c:v>15.670560734487484</c:v>
                </c:pt>
                <c:pt idx="198">
                  <c:v>15.690398371025054</c:v>
                </c:pt>
                <c:pt idx="199">
                  <c:v>15.709804041876144</c:v>
                </c:pt>
                <c:pt idx="200">
                  <c:v>15.728782383659972</c:v>
                </c:pt>
                <c:pt idx="201">
                  <c:v>15.747337988445</c:v>
                </c:pt>
                <c:pt idx="202">
                  <c:v>15.765475404537055</c:v>
                </c:pt>
                <c:pt idx="203">
                  <c:v>15.783199137233769</c:v>
                </c:pt>
                <c:pt idx="204">
                  <c:v>15.80051364954673</c:v>
                </c:pt>
                <c:pt idx="205">
                  <c:v>15.817423362892731</c:v>
                </c:pt>
                <c:pt idx="206">
                  <c:v>15.833932657755415</c:v>
                </c:pt>
                <c:pt idx="207">
                  <c:v>15.850045874318576</c:v>
                </c:pt>
                <c:pt idx="208">
                  <c:v>15.865767313072352</c:v>
                </c:pt>
                <c:pt idx="209">
                  <c:v>15.88110123539353</c:v>
                </c:pt>
                <c:pt idx="210">
                  <c:v>15.896051864100995</c:v>
                </c:pt>
                <c:pt idx="211">
                  <c:v>15.910623383987602</c:v>
                </c:pt>
                <c:pt idx="212">
                  <c:v>15.92481994232935</c:v>
                </c:pt>
                <c:pt idx="213">
                  <c:v>15.938645649373029</c:v>
                </c:pt>
                <c:pt idx="214">
                  <c:v>15.952104578803263</c:v>
                </c:pt>
                <c:pt idx="215">
                  <c:v>15.965200768189918</c:v>
                </c:pt>
                <c:pt idx="216">
                  <c:v>15.977938219416835</c:v>
                </c:pt>
                <c:pt idx="217">
                  <c:v>15.990320899092691</c:v>
                </c:pt>
                <c:pt idx="218">
                  <c:v>16.002352738944982</c:v>
                </c:pt>
                <c:pt idx="219">
                  <c:v>16.014037636197823</c:v>
                </c:pt>
                <c:pt idx="220">
                  <c:v>16.025379453934459</c:v>
                </c:pt>
                <c:pt idx="221">
                  <c:v>16.036382021445203</c:v>
                </c:pt>
                <c:pt idx="222">
                  <c:v>16.047049134561561</c:v>
                </c:pt>
                <c:pt idx="223">
                  <c:v>16.057384555977251</c:v>
                </c:pt>
                <c:pt idx="224">
                  <c:v>16.067392015556855</c:v>
                </c:pt>
                <c:pt idx="225">
                  <c:v>16.0770752106326</c:v>
                </c:pt>
                <c:pt idx="226">
                  <c:v>16.156863308606933</c:v>
                </c:pt>
                <c:pt idx="227">
                  <c:v>16.208060301697486</c:v>
                </c:pt>
                <c:pt idx="228">
                  <c:v>16.233863755128823</c:v>
                </c:pt>
                <c:pt idx="229">
                  <c:v>16.237191601111199</c:v>
                </c:pt>
                <c:pt idx="230">
                  <c:v>16.220697590480317</c:v>
                </c:pt>
                <c:pt idx="231">
                  <c:v>16.186785951447337</c:v>
                </c:pt>
                <c:pt idx="232">
                  <c:v>16.137626166558888</c:v>
                </c:pt>
                <c:pt idx="233">
                  <c:v>16.075168198928921</c:v>
                </c:pt>
                <c:pt idx="234">
                  <c:v>16.001158149019567</c:v>
                </c:pt>
                <c:pt idx="235">
                  <c:v>15.917154138560207</c:v>
                </c:pt>
                <c:pt idx="236">
                  <c:v>15.824542144940857</c:v>
                </c:pt>
                <c:pt idx="237">
                  <c:v>15.724551505794192</c:v>
                </c:pt>
                <c:pt idx="238">
                  <c:v>15.618269848786115</c:v>
                </c:pt>
                <c:pt idx="239">
                  <c:v>15.506657254691474</c:v>
                </c:pt>
                <c:pt idx="240">
                  <c:v>15.390559519049312</c:v>
                </c:pt>
                <c:pt idx="241">
                  <c:v>15.270720431130991</c:v>
                </c:pt>
                <c:pt idx="242">
                  <c:v>15.147793034617854</c:v>
                </c:pt>
                <c:pt idx="243">
                  <c:v>15.022349870849816</c:v>
                </c:pt>
                <c:pt idx="244">
                  <c:v>14.894892232897526</c:v>
                </c:pt>
                <c:pt idx="245">
                  <c:v>14.765858477983688</c:v>
                </c:pt>
                <c:pt idx="246">
                  <c:v>14.635631458245978</c:v>
                </c:pt>
                <c:pt idx="247">
                  <c:v>14.504545136873912</c:v>
                </c:pt>
                <c:pt idx="248">
                  <c:v>14.372890459550501</c:v>
                </c:pt>
                <c:pt idx="249">
                  <c:v>14.24092055099954</c:v>
                </c:pt>
                <c:pt idx="250">
                  <c:v>14.108855304198649</c:v>
                </c:pt>
                <c:pt idx="251">
                  <c:v>13.97688542619299</c:v>
                </c:pt>
                <c:pt idx="252">
                  <c:v>13.845175999991444</c:v>
                </c:pt>
                <c:pt idx="253">
                  <c:v>13.713869617157677</c:v>
                </c:pt>
                <c:pt idx="254">
                  <c:v>13.583089130719461</c:v>
                </c:pt>
                <c:pt idx="255">
                  <c:v>13.452940073114783</c:v>
                </c:pt>
                <c:pt idx="256">
                  <c:v>13.323512779206181</c:v>
                </c:pt>
                <c:pt idx="257">
                  <c:v>13.194884250009123</c:v>
                </c:pt>
                <c:pt idx="258">
                  <c:v>13.067119788737667</c:v>
                </c:pt>
                <c:pt idx="259">
                  <c:v>12.940274437090943</c:v>
                </c:pt>
                <c:pt idx="260">
                  <c:v>12.814394236383734</c:v>
                </c:pt>
                <c:pt idx="261">
                  <c:v>12.689517335152152</c:v>
                </c:pt>
                <c:pt idx="262">
                  <c:v>12.565674962219088</c:v>
                </c:pt>
                <c:pt idx="263">
                  <c:v>12.442892281860022</c:v>
                </c:pt>
                <c:pt idx="264">
                  <c:v>12.321189145640627</c:v>
                </c:pt>
                <c:pt idx="265">
                  <c:v>12.200580753676915</c:v>
                </c:pt>
                <c:pt idx="266">
                  <c:v>12.081078236470455</c:v>
                </c:pt>
                <c:pt idx="267">
                  <c:v>11.962689167070781</c:v>
                </c:pt>
                <c:pt idx="268">
                  <c:v>11.84541801209196</c:v>
                </c:pt>
                <c:pt idx="269">
                  <c:v>11.729266529039478</c:v>
                </c:pt>
                <c:pt idx="270">
                  <c:v>11.61423411646863</c:v>
                </c:pt>
                <c:pt idx="271">
                  <c:v>11.50031812267949</c:v>
                </c:pt>
                <c:pt idx="272">
                  <c:v>11.3875141179415</c:v>
                </c:pt>
                <c:pt idx="273">
                  <c:v>11.275816134619658</c:v>
                </c:pt>
                <c:pt idx="274">
                  <c:v>11.165216879032391</c:v>
                </c:pt>
                <c:pt idx="275">
                  <c:v>11.055707918398369</c:v>
                </c:pt>
                <c:pt idx="276">
                  <c:v>10.94727984581715</c:v>
                </c:pt>
                <c:pt idx="277">
                  <c:v>10.839922425868011</c:v>
                </c:pt>
                <c:pt idx="278">
                  <c:v>10.733624723097018</c:v>
                </c:pt>
                <c:pt idx="279">
                  <c:v>10.628375215387404</c:v>
                </c:pt>
                <c:pt idx="280">
                  <c:v>10.524161893967817</c:v>
                </c:pt>
                <c:pt idx="281">
                  <c:v>10.420972351602947</c:v>
                </c:pt>
                <c:pt idx="282">
                  <c:v>10.318793860326787</c:v>
                </c:pt>
                <c:pt idx="283">
                  <c:v>10.21761343991756</c:v>
                </c:pt>
                <c:pt idx="284">
                  <c:v>10.11741791817207</c:v>
                </c:pt>
                <c:pt idx="285">
                  <c:v>10.018193983912983</c:v>
                </c:pt>
                <c:pt idx="286">
                  <c:v>9.9199282335539625</c:v>
                </c:pt>
                <c:pt idx="287">
                  <c:v>9.8226072119515635</c:v>
                </c:pt>
                <c:pt idx="288">
                  <c:v>9.7262174481890025</c:v>
                </c:pt>
                <c:pt idx="289">
                  <c:v>9.6307454868626472</c:v>
                </c:pt>
                <c:pt idx="290">
                  <c:v>9.5361779153769515</c:v>
                </c:pt>
                <c:pt idx="291">
                  <c:v>9.4425013876961899</c:v>
                </c:pt>
                <c:pt idx="292">
                  <c:v>9.3497026449504812</c:v>
                </c:pt>
                <c:pt idx="293">
                  <c:v>9.2577685332490773</c:v>
                </c:pt>
                <c:pt idx="294">
                  <c:v>9.1666860190141382</c:v>
                </c:pt>
                <c:pt idx="295">
                  <c:v>9.0764422021134799</c:v>
                </c:pt>
                <c:pt idx="296">
                  <c:v>8.9870243270397463</c:v>
                </c:pt>
                <c:pt idx="297">
                  <c:v>8.8984197923561119</c:v>
                </c:pt>
                <c:pt idx="298">
                  <c:v>8.8106161586044411</c:v>
                </c:pt>
                <c:pt idx="299">
                  <c:v>8.7236011548502042</c:v>
                </c:pt>
                <c:pt idx="300">
                  <c:v>8.6373626840195286</c:v>
                </c:pt>
                <c:pt idx="301">
                  <c:v>8.5518888271666853</c:v>
                </c:pt>
                <c:pt idx="302">
                  <c:v>8.4671678467953093</c:v>
                </c:pt>
                <c:pt idx="303">
                  <c:v>8.3831881893434339</c:v>
                </c:pt>
                <c:pt idx="304">
                  <c:v>8.2999384869301771</c:v>
                </c:pt>
                <c:pt idx="305">
                  <c:v>8.2174075584516455</c:v>
                </c:pt>
                <c:pt idx="306">
                  <c:v>8.1355844101041068</c:v>
                </c:pt>
                <c:pt idx="307">
                  <c:v>8.0544582354038745</c:v>
                </c:pt>
                <c:pt idx="308">
                  <c:v>7.9740184147662205</c:v>
                </c:pt>
                <c:pt idx="309">
                  <c:v>7.8942545146985745</c:v>
                </c:pt>
                <c:pt idx="310">
                  <c:v>7.8151562866575288</c:v>
                </c:pt>
                <c:pt idx="311">
                  <c:v>7.7367136656138094</c:v>
                </c:pt>
                <c:pt idx="312">
                  <c:v>7.6589167683645041</c:v>
                </c:pt>
                <c:pt idx="313">
                  <c:v>7.5817558916277008</c:v>
                </c:pt>
                <c:pt idx="314">
                  <c:v>7.5052215099508448</c:v>
                </c:pt>
                <c:pt idx="315">
                  <c:v>7.429304273460704</c:v>
                </c:pt>
                <c:pt idx="316">
                  <c:v>7.3539950054797645</c:v>
                </c:pt>
                <c:pt idx="317">
                  <c:v>7.2792847000312921</c:v>
                </c:pt>
                <c:pt idx="318">
                  <c:v>7.2051645192525973</c:v>
                </c:pt>
                <c:pt idx="319">
                  <c:v>7.1316257907341782</c:v>
                </c:pt>
                <c:pt idx="320">
                  <c:v>7.0586600048001511</c:v>
                </c:pt>
                <c:pt idx="321">
                  <c:v>6.9862588117438627</c:v>
                </c:pt>
                <c:pt idx="322">
                  <c:v>6.9144140190308594</c:v>
                </c:pt>
                <c:pt idx="323">
                  <c:v>6.8431175884800419</c:v>
                </c:pt>
                <c:pt idx="324">
                  <c:v>6.7723616334325882</c:v>
                </c:pt>
                <c:pt idx="325">
                  <c:v>6.7021384159170623</c:v>
                </c:pt>
                <c:pt idx="326">
                  <c:v>6.632440343818109</c:v>
                </c:pt>
                <c:pt idx="327">
                  <c:v>6.5632599680552186</c:v>
                </c:pt>
                <c:pt idx="328">
                  <c:v>6.4945899797774054</c:v>
                </c:pt>
                <c:pt idx="329">
                  <c:v>6.4264232075785106</c:v>
                </c:pt>
                <c:pt idx="330">
                  <c:v>6.3587526147377229</c:v>
                </c:pt>
                <c:pt idx="331">
                  <c:v>6.2915712964888275</c:v>
                </c:pt>
                <c:pt idx="332">
                  <c:v>6.22487247732154</c:v>
                </c:pt>
                <c:pt idx="333">
                  <c:v>6.1586495083176036</c:v>
                </c:pt>
                <c:pt idx="334">
                  <c:v>6.0928958645239568</c:v>
                </c:pt>
                <c:pt idx="335">
                  <c:v>6.0276051423649992</c:v>
                </c:pt>
                <c:pt idx="336">
                  <c:v>5.9627710570954875</c:v>
                </c:pt>
                <c:pt idx="337">
                  <c:v>5.8983874402954504</c:v>
                </c:pt>
                <c:pt idx="338">
                  <c:v>5.8344482374081501</c:v>
                </c:pt>
                <c:pt idx="339">
                  <c:v>5.7709475053219084</c:v>
                </c:pt>
                <c:pt idx="340">
                  <c:v>5.7078794099964272</c:v>
                </c:pt>
                <c:pt idx="341">
                  <c:v>5.645238224134034</c:v>
                </c:pt>
                <c:pt idx="342">
                  <c:v>5.5830183248960594</c:v>
                </c:pt>
                <c:pt idx="343">
                  <c:v>5.5212141916645727</c:v>
                </c:pt>
                <c:pt idx="344">
                  <c:v>5.4598204038493385</c:v>
                </c:pt>
                <c:pt idx="345">
                  <c:v>5.3988316387399484</c:v>
                </c:pt>
                <c:pt idx="346">
                  <c:v>5.3382426694029093</c:v>
                </c:pt>
                <c:pt idx="347">
                  <c:v>5.2780483626232844</c:v>
                </c:pt>
                <c:pt idx="348">
                  <c:v>5.2182436768906415</c:v>
                </c:pt>
                <c:pt idx="349">
                  <c:v>5.1588236604287232</c:v>
                </c:pt>
                <c:pt idx="350">
                  <c:v>5.0997834492683891</c:v>
                </c:pt>
                <c:pt idx="351">
                  <c:v>5.0411182653633198</c:v>
                </c:pt>
                <c:pt idx="352">
                  <c:v>4.9828234147477426</c:v>
                </c:pt>
                <c:pt idx="353">
                  <c:v>4.9248942857357001</c:v>
                </c:pt>
                <c:pt idx="354">
                  <c:v>4.8673263471610877</c:v>
                </c:pt>
                <c:pt idx="355">
                  <c:v>4.81011514665785</c:v>
                </c:pt>
                <c:pt idx="356">
                  <c:v>4.7532563089795294</c:v>
                </c:pt>
                <c:pt idx="357">
                  <c:v>4.6967455343575519</c:v>
                </c:pt>
                <c:pt idx="358">
                  <c:v>4.6405785968974635</c:v>
                </c:pt>
                <c:pt idx="359">
                  <c:v>4.5847513430123312</c:v>
                </c:pt>
                <c:pt idx="360">
                  <c:v>4.5292596898926565</c:v>
                </c:pt>
                <c:pt idx="361">
                  <c:v>4.4740996240119699</c:v>
                </c:pt>
                <c:pt idx="362">
                  <c:v>4.4192671996674111</c:v>
                </c:pt>
                <c:pt idx="363">
                  <c:v>4.36475853755445</c:v>
                </c:pt>
                <c:pt idx="364">
                  <c:v>4.3105698233751726</c:v>
                </c:pt>
                <c:pt idx="365">
                  <c:v>4.256697306479154</c:v>
                </c:pt>
                <c:pt idx="366">
                  <c:v>4.2031372985364497</c:v>
                </c:pt>
                <c:pt idx="367">
                  <c:v>4.1498861722416933</c:v>
                </c:pt>
                <c:pt idx="368">
                  <c:v>4.0969403600488645</c:v>
                </c:pt>
                <c:pt idx="369">
                  <c:v>4.0442963529357652</c:v>
                </c:pt>
                <c:pt idx="370">
                  <c:v>3.9919506991976847</c:v>
                </c:pt>
                <c:pt idx="371">
                  <c:v>3.9399000032694307</c:v>
                </c:pt>
                <c:pt idx="372">
                  <c:v>3.8881409245751577</c:v>
                </c:pt>
                <c:pt idx="373">
                  <c:v>3.8366701764052493</c:v>
                </c:pt>
                <c:pt idx="374">
                  <c:v>3.785484524819613</c:v>
                </c:pt>
                <c:pt idx="375">
                  <c:v>3.734580787576772</c:v>
                </c:pt>
                <c:pt idx="376">
                  <c:v>3.6839558330881097</c:v>
                </c:pt>
                <c:pt idx="377">
                  <c:v>3.6336065793965826</c:v>
                </c:pt>
                <c:pt idx="378">
                  <c:v>3.58352999317944</c:v>
                </c:pt>
                <c:pt idx="379">
                  <c:v>3.5337230887742024</c:v>
                </c:pt>
                <c:pt idx="380">
                  <c:v>3.4841829272274332</c:v>
                </c:pt>
                <c:pt idx="381">
                  <c:v>3.4349066153656516</c:v>
                </c:pt>
                <c:pt idx="382">
                  <c:v>3.3858913048879047</c:v>
                </c:pt>
                <c:pt idx="383">
                  <c:v>3.3371341914793917</c:v>
                </c:pt>
                <c:pt idx="384">
                  <c:v>3.2886325139456685</c:v>
                </c:pt>
                <c:pt idx="385">
                  <c:v>3.2403835533668799</c:v>
                </c:pt>
                <c:pt idx="386">
                  <c:v>3.1923846322715121</c:v>
                </c:pt>
                <c:pt idx="387">
                  <c:v>3.1446331138291974</c:v>
                </c:pt>
                <c:pt idx="388">
                  <c:v>3.0971264010620776</c:v>
                </c:pt>
                <c:pt idx="389">
                  <c:v>3.049861936074258</c:v>
                </c:pt>
                <c:pt idx="390">
                  <c:v>3.002837199298888</c:v>
                </c:pt>
                <c:pt idx="391">
                  <c:v>2.9560497087624311</c:v>
                </c:pt>
                <c:pt idx="392">
                  <c:v>2.9094970193657099</c:v>
                </c:pt>
                <c:pt idx="393">
                  <c:v>2.863176722181247</c:v>
                </c:pt>
                <c:pt idx="394">
                  <c:v>2.8170864437665659</c:v>
                </c:pt>
                <c:pt idx="395">
                  <c:v>2.7712238454929636</c:v>
                </c:pt>
                <c:pt idx="396">
                  <c:v>2.7255866228894576</c:v>
                </c:pt>
                <c:pt idx="397">
                  <c:v>2.6801725050014302</c:v>
                </c:pt>
                <c:pt idx="398">
                  <c:v>2.6349792537636918</c:v>
                </c:pt>
                <c:pt idx="399">
                  <c:v>2.5900046633875187</c:v>
                </c:pt>
                <c:pt idx="400">
                  <c:v>2.54524655976138</c:v>
                </c:pt>
                <c:pt idx="401">
                  <c:v>2.5007027998649622</c:v>
                </c:pt>
                <c:pt idx="402">
                  <c:v>2.4563712711961769</c:v>
                </c:pt>
                <c:pt idx="403">
                  <c:v>2.4122498912108528</c:v>
                </c:pt>
                <c:pt idx="404">
                  <c:v>2.3683366067747404</c:v>
                </c:pt>
                <c:pt idx="405">
                  <c:v>2.3246293936275628</c:v>
                </c:pt>
                <c:pt idx="406">
                  <c:v>2.2811262558588075</c:v>
                </c:pt>
                <c:pt idx="407">
                  <c:v>2.2378252253949542</c:v>
                </c:pt>
                <c:pt idx="408">
                  <c:v>2.1947243614978564</c:v>
                </c:pt>
                <c:pt idx="409">
                  <c:v>2.1518217502740158</c:v>
                </c:pt>
                <c:pt idx="410">
                  <c:v>2.1091155041944658</c:v>
                </c:pt>
                <c:pt idx="411">
                  <c:v>2.0666037616250268</c:v>
                </c:pt>
                <c:pt idx="412">
                  <c:v>2.0242846863665886</c:v>
                </c:pt>
                <c:pt idx="413">
                  <c:v>1.9821564672053495</c:v>
                </c:pt>
                <c:pt idx="414">
                  <c:v>1.9402173174725681</c:v>
                </c:pt>
                <c:pt idx="415">
                  <c:v>1.8984654746137304</c:v>
                </c:pt>
                <c:pt idx="416">
                  <c:v>1.8568991997668616</c:v>
                </c:pt>
                <c:pt idx="417">
                  <c:v>1.8155167773497396</c:v>
                </c:pt>
                <c:pt idx="418">
                  <c:v>1.7743165146558315</c:v>
                </c:pt>
                <c:pt idx="419">
                  <c:v>1.7332967414587106</c:v>
                </c:pt>
                <c:pt idx="420">
                  <c:v>1.6924558096247528</c:v>
                </c:pt>
                <c:pt idx="421">
                  <c:v>1.651792092733958</c:v>
                </c:pt>
                <c:pt idx="422">
                  <c:v>1.6113039857086073</c:v>
                </c:pt>
                <c:pt idx="423">
                  <c:v>1.5709899044496789</c:v>
                </c:pt>
                <c:pt idx="424">
                  <c:v>1.5308482854807588</c:v>
                </c:pt>
                <c:pt idx="425">
                  <c:v>1.4908775855992584</c:v>
                </c:pt>
                <c:pt idx="426">
                  <c:v>1.4510762815348652</c:v>
                </c:pt>
                <c:pt idx="427">
                  <c:v>1.4114428696149295</c:v>
                </c:pt>
                <c:pt idx="428">
                  <c:v>1.371975865436722</c:v>
                </c:pt>
                <c:pt idx="429">
                  <c:v>1.3326738035463126</c:v>
                </c:pt>
                <c:pt idx="430">
                  <c:v>1.2935352371240123</c:v>
                </c:pt>
                <c:pt idx="431">
                  <c:v>1.2545587376761149</c:v>
                </c:pt>
                <c:pt idx="432">
                  <c:v>1.215742894732905</c:v>
                </c:pt>
                <c:pt idx="433">
                  <c:v>1.1770863155526718</c:v>
                </c:pt>
                <c:pt idx="434">
                  <c:v>1.1385876248317033</c:v>
                </c:pt>
                <c:pt idx="435">
                  <c:v>1.1002454644200106</c:v>
                </c:pt>
                <c:pt idx="436">
                  <c:v>1.062058493042737</c:v>
                </c:pt>
                <c:pt idx="437">
                  <c:v>1.0240253860270752</c:v>
                </c:pt>
                <c:pt idx="438">
                  <c:v>0.98614483503456463</c:v>
                </c:pt>
                <c:pt idx="439">
                  <c:v>0.94841554779869219</c:v>
                </c:pt>
                <c:pt idx="440">
                  <c:v>0.91083624786758444</c:v>
                </c:pt>
                <c:pt idx="441">
                  <c:v>0.87340567435178396</c:v>
                </c:pt>
                <c:pt idx="442">
                  <c:v>0.83612258167692288</c:v>
                </c:pt>
                <c:pt idx="443">
                  <c:v>0.79898573934116701</c:v>
                </c:pt>
                <c:pt idx="444">
                  <c:v>0.76199393167741325</c:v>
                </c:pt>
                <c:pt idx="445">
                  <c:v>0.72514595762003597</c:v>
                </c:pt>
                <c:pt idx="446">
                  <c:v>0.68844063047611104</c:v>
                </c:pt>
                <c:pt idx="447">
                  <c:v>0.65187677770105579</c:v>
                </c:pt>
                <c:pt idx="448">
                  <c:v>0.61545324067854568</c:v>
                </c:pt>
                <c:pt idx="449">
                  <c:v>0.57916887450459253</c:v>
                </c:pt>
                <c:pt idx="450">
                  <c:v>0.54302254777577452</c:v>
                </c:pt>
                <c:pt idx="451">
                  <c:v>0.50701314238139927</c:v>
                </c:pt>
                <c:pt idx="452">
                  <c:v>0.47113955329966789</c:v>
                </c:pt>
                <c:pt idx="453">
                  <c:v>0.43540068839760215</c:v>
                </c:pt>
                <c:pt idx="454">
                  <c:v>0.39979546823475232</c:v>
                </c:pt>
                <c:pt idx="455">
                  <c:v>0.36432282587055465</c:v>
                </c:pt>
                <c:pt idx="456">
                  <c:v>0.32898170667528959</c:v>
                </c:pt>
                <c:pt idx="457">
                  <c:v>0.29377106814453097</c:v>
                </c:pt>
                <c:pt idx="458">
                  <c:v>0.25868987971702562</c:v>
                </c:pt>
                <c:pt idx="459">
                  <c:v>0.22373712259594916</c:v>
                </c:pt>
                <c:pt idx="460">
                  <c:v>0.18891178957340427</c:v>
                </c:pt>
                <c:pt idx="461">
                  <c:v>0.15421288485818307</c:v>
                </c:pt>
                <c:pt idx="462">
                  <c:v>0.11963942390662842</c:v>
                </c:pt>
                <c:pt idx="463">
                  <c:v>8.5190433256588038E-2</c:v>
                </c:pt>
                <c:pt idx="464">
                  <c:v>5.0864950364390968E-2</c:v>
                </c:pt>
                <c:pt idx="465">
                  <c:v>1.6662023444753614E-2</c:v>
                </c:pt>
                <c:pt idx="466">
                  <c:v>-1.7419288686442481E-2</c:v>
                </c:pt>
                <c:pt idx="467">
                  <c:v>-5.1379916766506772E-2</c:v>
                </c:pt>
                <c:pt idx="468">
                  <c:v>-8.5220781237577647E-2</c:v>
                </c:pt>
                <c:pt idx="469">
                  <c:v>-0.11894279239553585</c:v>
                </c:pt>
                <c:pt idx="470">
                  <c:v>-0.15254685053626069</c:v>
                </c:pt>
                <c:pt idx="471">
                  <c:v>-0.18603384609932203</c:v>
                </c:pt>
                <c:pt idx="472">
                  <c:v>-0.21940465980911322</c:v>
                </c:pt>
                <c:pt idx="473">
                  <c:v>-0.25266016281348608</c:v>
                </c:pt>
                <c:pt idx="474">
                  <c:v>-0.2858012168199881</c:v>
                </c:pt>
                <c:pt idx="475">
                  <c:v>-0.31882867422967859</c:v>
                </c:pt>
                <c:pt idx="476">
                  <c:v>-0.35174337826864543</c:v>
                </c:pt>
                <c:pt idx="477">
                  <c:v>-0.38454616311719542</c:v>
                </c:pt>
                <c:pt idx="478">
                  <c:v>-0.41723785403683872</c:v>
                </c:pt>
                <c:pt idx="479">
                  <c:v>-0.44981926749506235</c:v>
                </c:pt>
                <c:pt idx="480">
                  <c:v>-0.48229121128795605</c:v>
                </c:pt>
                <c:pt idx="481">
                  <c:v>-0.51465448466074992</c:v>
                </c:pt>
                <c:pt idx="482">
                  <c:v>-0.54690987842624605</c:v>
                </c:pt>
                <c:pt idx="483">
                  <c:v>-0.57905817508127355</c:v>
                </c:pt>
                <c:pt idx="484">
                  <c:v>-0.61110014892114528</c:v>
                </c:pt>
                <c:pt idx="485">
                  <c:v>-0.64303656615217097</c:v>
                </c:pt>
                <c:pt idx="486">
                  <c:v>-0.67486818500226731</c:v>
                </c:pt>
                <c:pt idx="487">
                  <c:v>-0.70659575582970702</c:v>
                </c:pt>
                <c:pt idx="488">
                  <c:v>-0.73822002123005626</c:v>
                </c:pt>
                <c:pt idx="489">
                  <c:v>-0.76974171614127895</c:v>
                </c:pt>
                <c:pt idx="490">
                  <c:v>-0.80116156794713189</c:v>
                </c:pt>
                <c:pt idx="491">
                  <c:v>-0.83248029657882483</c:v>
                </c:pt>
                <c:pt idx="492">
                  <c:v>-0.86369861461496078</c:v>
                </c:pt>
                <c:pt idx="493">
                  <c:v>-0.89481722737988156</c:v>
                </c:pt>
                <c:pt idx="494">
                  <c:v>-0.92583683304034703</c:v>
                </c:pt>
                <c:pt idx="495">
                  <c:v>-0.95675812270062044</c:v>
                </c:pt>
                <c:pt idx="496">
                  <c:v>-0.98758178049604828</c:v>
                </c:pt>
                <c:pt idx="497">
                  <c:v>-1.018308483685042</c:v>
                </c:pt>
                <c:pt idx="498">
                  <c:v>-1.0489389027396108</c:v>
                </c:pt>
                <c:pt idx="499">
                  <c:v>-1.0794737014343929</c:v>
                </c:pt>
                <c:pt idx="500">
                  <c:v>-1.1099135369342796</c:v>
                </c:pt>
                <c:pt idx="501">
                  <c:v>-1.1402590598805815</c:v>
                </c:pt>
                <c:pt idx="502">
                  <c:v>-1.1705109144758403</c:v>
                </c:pt>
                <c:pt idx="503">
                  <c:v>-1.2006697385672533</c:v>
                </c:pt>
                <c:pt idx="504">
                  <c:v>-1.2307361637288097</c:v>
                </c:pt>
                <c:pt idx="505">
                  <c:v>-1.2607108153420521</c:v>
                </c:pt>
                <c:pt idx="506">
                  <c:v>-1.2905943126755846</c:v>
                </c:pt>
                <c:pt idx="507">
                  <c:v>-1.3203872689633611</c:v>
                </c:pt>
                <c:pt idx="508">
                  <c:v>-1.3500902914816468</c:v>
                </c:pt>
                <c:pt idx="509">
                  <c:v>-1.3797039816248429</c:v>
                </c:pt>
                <c:pt idx="510">
                  <c:v>-1.4092289349800819</c:v>
                </c:pt>
                <c:pt idx="511">
                  <c:v>-1.4386657414006701</c:v>
                </c:pt>
                <c:pt idx="512">
                  <c:v>-1.468014985078367</c:v>
                </c:pt>
                <c:pt idx="513">
                  <c:v>-1.4972772446145362</c:v>
                </c:pt>
                <c:pt idx="514">
                  <c:v>-1.5264530930902449</c:v>
                </c:pt>
                <c:pt idx="515">
                  <c:v>-1.5555430981351748</c:v>
                </c:pt>
                <c:pt idx="516">
                  <c:v>-1.5845478219955857</c:v>
                </c:pt>
                <c:pt idx="517">
                  <c:v>-1.6134678216011236</c:v>
                </c:pt>
                <c:pt idx="518">
                  <c:v>-1.6423036486306797</c:v>
                </c:pt>
                <c:pt idx="519">
                  <c:v>-1.6710558495772272</c:v>
                </c:pt>
                <c:pt idx="520">
                  <c:v>-1.69972496581162</c:v>
                </c:pt>
                <c:pt idx="521">
                  <c:v>-1.7283115336455031</c:v>
                </c:pt>
                <c:pt idx="522">
                  <c:v>-1.7568160843931746</c:v>
                </c:pt>
                <c:pt idx="523">
                  <c:v>-1.7852391444325801</c:v>
                </c:pt>
                <c:pt idx="524">
                  <c:v>-1.8135812352653804</c:v>
                </c:pt>
                <c:pt idx="525">
                  <c:v>-1.8418428735760537</c:v>
                </c:pt>
                <c:pt idx="526">
                  <c:v>-1.8700245712902106</c:v>
                </c:pt>
                <c:pt idx="527">
                  <c:v>-1.8981268356319503</c:v>
                </c:pt>
                <c:pt idx="528">
                  <c:v>-1.9261501691803853</c:v>
                </c:pt>
                <c:pt idx="529">
                  <c:v>-1.9540950699253588</c:v>
                </c:pt>
                <c:pt idx="530">
                  <c:v>-1.9819620313222865</c:v>
                </c:pt>
                <c:pt idx="531">
                  <c:v>-2.0097515423462258</c:v>
                </c:pt>
                <c:pt idx="532">
                  <c:v>-2.0374640875451204</c:v>
                </c:pt>
                <c:pt idx="533">
                  <c:v>-2.0651001470922701</c:v>
                </c:pt>
                <c:pt idx="534">
                  <c:v>-2.0926601968380441</c:v>
                </c:pt>
                <c:pt idx="535">
                  <c:v>-2.1201447083608165</c:v>
                </c:pt>
                <c:pt idx="536">
                  <c:v>-2.1475541490171675</c:v>
                </c:pt>
                <c:pt idx="537">
                  <c:v>-2.1748889819913755</c:v>
                </c:pt>
                <c:pt idx="538">
                  <c:v>-2.2021496663441202</c:v>
                </c:pt>
                <c:pt idx="539">
                  <c:v>-2.2293366570606006</c:v>
                </c:pt>
                <c:pt idx="540">
                  <c:v>-2.2564504050978282</c:v>
                </c:pt>
                <c:pt idx="541">
                  <c:v>-2.2834913574313367</c:v>
                </c:pt>
                <c:pt idx="542">
                  <c:v>-2.3104599571011795</c:v>
                </c:pt>
                <c:pt idx="543">
                  <c:v>-2.3373566432572477</c:v>
                </c:pt>
                <c:pt idx="544">
                  <c:v>-2.364181851204016</c:v>
                </c:pt>
                <c:pt idx="545">
                  <c:v>-2.3909360124445609</c:v>
                </c:pt>
                <c:pt idx="546">
                  <c:v>-2.417619554724022</c:v>
                </c:pt>
                <c:pt idx="547">
                  <c:v>-2.4442329020724194</c:v>
                </c:pt>
                <c:pt idx="548">
                  <c:v>-2.4707764748468626</c:v>
                </c:pt>
                <c:pt idx="549">
                  <c:v>-2.4972506897731757</c:v>
                </c:pt>
                <c:pt idx="550">
                  <c:v>-2.5236559599869461</c:v>
                </c:pt>
                <c:pt idx="551">
                  <c:v>-2.5499926950739722</c:v>
                </c:pt>
                <c:pt idx="552">
                  <c:v>-2.5762613011101685</c:v>
                </c:pt>
                <c:pt idx="553">
                  <c:v>-2.6024621807009165</c:v>
                </c:pt>
                <c:pt idx="554">
                  <c:v>-2.6285957330198411</c:v>
                </c:pt>
                <c:pt idx="555">
                  <c:v>-2.6546623538470904</c:v>
                </c:pt>
                <c:pt idx="556">
                  <c:v>-2.6806624356070547</c:v>
                </c:pt>
                <c:pt idx="557">
                  <c:v>-2.7065963674055658</c:v>
                </c:pt>
                <c:pt idx="558">
                  <c:v>-2.7324645350666241</c:v>
                </c:pt>
                <c:pt idx="559">
                  <c:v>-2.7582673211685602</c:v>
                </c:pt>
                <c:pt idx="560">
                  <c:v>-2.7840051050797681</c:v>
                </c:pt>
                <c:pt idx="561">
                  <c:v>-2.8096782629938799</c:v>
                </c:pt>
                <c:pt idx="562">
                  <c:v>-2.8352871679645562</c:v>
                </c:pt>
                <c:pt idx="563">
                  <c:v>-2.8608321899396829</c:v>
                </c:pt>
                <c:pt idx="564">
                  <c:v>-2.8863136957952209</c:v>
                </c:pt>
                <c:pt idx="565">
                  <c:v>-2.9117320493685317</c:v>
                </c:pt>
                <c:pt idx="566">
                  <c:v>-2.9370876114912745</c:v>
                </c:pt>
                <c:pt idx="567">
                  <c:v>-2.9623807400218545</c:v>
                </c:pt>
                <c:pt idx="568">
                  <c:v>-2.9876117898774535</c:v>
                </c:pt>
                <c:pt idx="569">
                  <c:v>-3.0127811130656079</c:v>
                </c:pt>
                <c:pt idx="570">
                  <c:v>-3.0378890587153951</c:v>
                </c:pt>
                <c:pt idx="571">
                  <c:v>-3.0629359731081611</c:v>
                </c:pt>
                <c:pt idx="572">
                  <c:v>-3.0879221997079114</c:v>
                </c:pt>
                <c:pt idx="573">
                  <c:v>-3.112848079191215</c:v>
                </c:pt>
                <c:pt idx="574">
                  <c:v>-3.1377139494767907</c:v>
                </c:pt>
                <c:pt idx="575">
                  <c:v>-3.1625201457546535</c:v>
                </c:pt>
                <c:pt idx="576">
                  <c:v>-3.1872670005148991</c:v>
                </c:pt>
                <c:pt idx="577">
                  <c:v>-3.2119548435761081</c:v>
                </c:pt>
                <c:pt idx="578">
                  <c:v>-3.2365840021133803</c:v>
                </c:pt>
                <c:pt idx="579">
                  <c:v>-3.2611548006860271</c:v>
                </c:pt>
                <c:pt idx="580">
                  <c:v>-3.2856675612648272</c:v>
                </c:pt>
                <c:pt idx="581">
                  <c:v>-3.3101226032590416</c:v>
                </c:pt>
                <c:pt idx="582">
                  <c:v>-3.3345202435429675</c:v>
                </c:pt>
                <c:pt idx="583">
                  <c:v>-3.3588607964822641</c:v>
                </c:pt>
                <c:pt idx="584">
                  <c:v>-3.3831445739598203</c:v>
                </c:pt>
                <c:pt idx="585">
                  <c:v>-3.4073718854013917</c:v>
                </c:pt>
                <c:pt idx="586">
                  <c:v>-3.431543037800846</c:v>
                </c:pt>
                <c:pt idx="587">
                  <c:v>-3.4556583357451069</c:v>
                </c:pt>
                <c:pt idx="588">
                  <c:v>-3.4797180814388118</c:v>
                </c:pt>
                <c:pt idx="589">
                  <c:v>-3.5037225747285774</c:v>
                </c:pt>
                <c:pt idx="590">
                  <c:v>-3.5276721131270521</c:v>
                </c:pt>
                <c:pt idx="591">
                  <c:v>-3.551566991836582</c:v>
                </c:pt>
                <c:pt idx="592">
                  <c:v>-3.5754075037726567</c:v>
                </c:pt>
                <c:pt idx="593">
                  <c:v>-3.5991939395869714</c:v>
                </c:pt>
                <c:pt idx="594">
                  <c:v>-3.6229265876902965</c:v>
                </c:pt>
                <c:pt idx="595">
                  <c:v>-3.646605734274972</c:v>
                </c:pt>
                <c:pt idx="596">
                  <c:v>-3.670231663337193</c:v>
                </c:pt>
                <c:pt idx="597">
                  <c:v>-3.6938046566989549</c:v>
                </c:pt>
                <c:pt idx="598">
                  <c:v>-3.7173249940297919</c:v>
                </c:pt>
                <c:pt idx="599">
                  <c:v>-3.7407929528681838</c:v>
                </c:pt>
                <c:pt idx="600">
                  <c:v>-3.7642088086427394</c:v>
                </c:pt>
                <c:pt idx="601">
                  <c:v>-3.7875728346931021</c:v>
                </c:pt>
                <c:pt idx="602">
                  <c:v>-3.8108853022906057</c:v>
                </c:pt>
                <c:pt idx="603">
                  <c:v>-3.8341464806586636</c:v>
                </c:pt>
                <c:pt idx="604">
                  <c:v>-3.857356636992924</c:v>
                </c:pt>
                <c:pt idx="605">
                  <c:v>-3.8805160364811764</c:v>
                </c:pt>
                <c:pt idx="606">
                  <c:v>-4.9791002911974678</c:v>
                </c:pt>
                <c:pt idx="607">
                  <c:v>-5.9782958680757856</c:v>
                </c:pt>
                <c:pt idx="608">
                  <c:v>-6.8979194887074797</c:v>
                </c:pt>
                <c:pt idx="609">
                  <c:v>-7.7525082042628481</c:v>
                </c:pt>
                <c:pt idx="610">
                  <c:v>-8.5530012473224453</c:v>
                </c:pt>
                <c:pt idx="611">
                  <c:v>-9.3078049398685483</c:v>
                </c:pt>
                <c:pt idx="612">
                  <c:v>-10.023493849174178</c:v>
                </c:pt>
                <c:pt idx="613">
                  <c:v>-10.705287864136777</c:v>
                </c:pt>
                <c:pt idx="614">
                  <c:v>-11.357385982881826</c:v>
                </c:pt>
                <c:pt idx="615">
                  <c:v>-11.98320547688763</c:v>
                </c:pt>
                <c:pt idx="616">
                  <c:v>-12.585556794285026</c:v>
                </c:pt>
                <c:pt idx="617">
                  <c:v>-13.166773739087493</c:v>
                </c:pt>
                <c:pt idx="618">
                  <c:v>-13.393006287648014</c:v>
                </c:pt>
                <c:pt idx="619">
                  <c:v>-13.616296264393903</c:v>
                </c:pt>
                <c:pt idx="620">
                  <c:v>-13.836748058996903</c:v>
                </c:pt>
                <c:pt idx="621">
                  <c:v>-14.054459460666731</c:v>
                </c:pt>
                <c:pt idx="622">
                  <c:v>-14.269522192428173</c:v>
                </c:pt>
                <c:pt idx="623">
                  <c:v>-14.48202239562562</c:v>
                </c:pt>
                <c:pt idx="624">
                  <c:v>-14.692041069922446</c:v>
                </c:pt>
                <c:pt idx="625">
                  <c:v>-14.899654473427354</c:v>
                </c:pt>
                <c:pt idx="626">
                  <c:v>-15.104934487031043</c:v>
                </c:pt>
                <c:pt idx="627">
                  <c:v>-15.307948946561794</c:v>
                </c:pt>
                <c:pt idx="628">
                  <c:v>-15.508761945956195</c:v>
                </c:pt>
                <c:pt idx="629">
                  <c:v>-15.70743411428241</c:v>
                </c:pt>
                <c:pt idx="630">
                  <c:v>-15.904022869140066</c:v>
                </c:pt>
                <c:pt idx="631">
                  <c:v>-16.09858264868658</c:v>
                </c:pt>
                <c:pt idx="632">
                  <c:v>-16.291165124299525</c:v>
                </c:pt>
                <c:pt idx="633">
                  <c:v>-16.481819395672868</c:v>
                </c:pt>
                <c:pt idx="634">
                  <c:v>-16.670592169958617</c:v>
                </c:pt>
                <c:pt idx="635">
                  <c:v>-16.85752792640082</c:v>
                </c:pt>
                <c:pt idx="636">
                  <c:v>-17.042669067763004</c:v>
                </c:pt>
                <c:pt idx="637">
                  <c:v>-17.226056059720928</c:v>
                </c:pt>
                <c:pt idx="638">
                  <c:v>-17.407727559277554</c:v>
                </c:pt>
                <c:pt idx="639">
                  <c:v>-17.587720533154751</c:v>
                </c:pt>
                <c:pt idx="640">
                  <c:v>-17.766070367025183</c:v>
                </c:pt>
                <c:pt idx="641">
                  <c:v>-17.94281096636589</c:v>
                </c:pt>
                <c:pt idx="642">
                  <c:v>-18.117974849642344</c:v>
                </c:pt>
                <c:pt idx="643">
                  <c:v>-18.291593234466063</c:v>
                </c:pt>
                <c:pt idx="644">
                  <c:v>-18.463696117310178</c:v>
                </c:pt>
                <c:pt idx="645">
                  <c:v>-18.634312347314438</c:v>
                </c:pt>
                <c:pt idx="646">
                  <c:v>-18.803469694663352</c:v>
                </c:pt>
                <c:pt idx="647">
                  <c:v>-18.971194913978518</c:v>
                </c:pt>
                <c:pt idx="648">
                  <c:v>-19.137513803127007</c:v>
                </c:pt>
                <c:pt idx="649">
                  <c:v>-19.302451257813015</c:v>
                </c:pt>
                <c:pt idx="650">
                  <c:v>-19.466031322287844</c:v>
                </c:pt>
                <c:pt idx="651">
                  <c:v>-19.628277236484895</c:v>
                </c:pt>
                <c:pt idx="652">
                  <c:v>-19.789211479859933</c:v>
                </c:pt>
                <c:pt idx="653">
                  <c:v>-19.948855812193457</c:v>
                </c:pt>
                <c:pt idx="654">
                  <c:v>-20.107231311590247</c:v>
                </c:pt>
                <c:pt idx="655">
                  <c:v>-20.264358409891798</c:v>
                </c:pt>
                <c:pt idx="656">
                  <c:v>-20.420256925699334</c:v>
                </c:pt>
                <c:pt idx="657">
                  <c:v>-20.574946095188935</c:v>
                </c:pt>
                <c:pt idx="658">
                  <c:v>-20.728444600885361</c:v>
                </c:pt>
                <c:pt idx="659">
                  <c:v>-20.880770598547983</c:v>
                </c:pt>
                <c:pt idx="660">
                  <c:v>-21.031941742309307</c:v>
                </c:pt>
                <c:pt idx="661">
                  <c:v>-21.181975208195809</c:v>
                </c:pt>
                <c:pt idx="662">
                  <c:v>-21.330887716150162</c:v>
                </c:pt>
                <c:pt idx="663">
                  <c:v>-21.478695550664625</c:v>
                </c:pt>
                <c:pt idx="664">
                  <c:v>-21.625414580126634</c:v>
                </c:pt>
                <c:pt idx="665">
                  <c:v>-21.77106027496972</c:v>
                </c:pt>
                <c:pt idx="666">
                  <c:v>-21.915647724715676</c:v>
                </c:pt>
                <c:pt idx="667">
                  <c:v>-22.059191653987028</c:v>
                </c:pt>
              </c:numCache>
            </c:numRef>
          </c:yVal>
          <c:smooth val="1"/>
          <c:extLst>
            <c:ext xmlns:c16="http://schemas.microsoft.com/office/drawing/2014/chart" uri="{C3380CC4-5D6E-409C-BE32-E72D297353CC}">
              <c16:uniqueId val="{00000000-306B-4242-B253-B9A3B2188A5D}"/>
            </c:ext>
          </c:extLst>
        </c:ser>
        <c:dLbls>
          <c:showLegendKey val="0"/>
          <c:showVal val="0"/>
          <c:showCatName val="0"/>
          <c:showSerName val="0"/>
          <c:showPercent val="0"/>
          <c:showBubbleSize val="0"/>
        </c:dLbls>
        <c:axId val="177449216"/>
        <c:axId val="177463680"/>
      </c:scatterChart>
      <c:scatterChart>
        <c:scatterStyle val="lineMarker"/>
        <c:varyColors val="0"/>
        <c:ser>
          <c:idx val="3"/>
          <c:order val="1"/>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Calculations'!$BD$9:$BD$676</c:f>
              <c:numCache>
                <c:formatCode>General</c:formatCode>
                <c:ptCount val="668"/>
                <c:pt idx="0">
                  <c:v>-230.98155445240653</c:v>
                </c:pt>
                <c:pt idx="1">
                  <c:v>-247.90493933658016</c:v>
                </c:pt>
                <c:pt idx="2">
                  <c:v>-254.80896658624476</c:v>
                </c:pt>
                <c:pt idx="3">
                  <c:v>-258.43816350063361</c:v>
                </c:pt>
                <c:pt idx="4">
                  <c:v>-260.65182170474588</c:v>
                </c:pt>
                <c:pt idx="5">
                  <c:v>-262.13383703302918</c:v>
                </c:pt>
                <c:pt idx="6">
                  <c:v>-263.19046471341369</c:v>
                </c:pt>
                <c:pt idx="7">
                  <c:v>-263.97849576943349</c:v>
                </c:pt>
                <c:pt idx="8">
                  <c:v>-264.58628812925093</c:v>
                </c:pt>
                <c:pt idx="9">
                  <c:v>-265.06735202591517</c:v>
                </c:pt>
                <c:pt idx="10">
                  <c:v>-267.07238308351879</c:v>
                </c:pt>
                <c:pt idx="11">
                  <c:v>-267.53944956452528</c:v>
                </c:pt>
                <c:pt idx="12">
                  <c:v>-267.62072631077052</c:v>
                </c:pt>
                <c:pt idx="13">
                  <c:v>-267.54757074549752</c:v>
                </c:pt>
                <c:pt idx="14">
                  <c:v>-267.39718655619868</c:v>
                </c:pt>
                <c:pt idx="15">
                  <c:v>-267.20267878361165</c:v>
                </c:pt>
                <c:pt idx="16">
                  <c:v>-266.98060631079505</c:v>
                </c:pt>
                <c:pt idx="17">
                  <c:v>-266.74017195019769</c:v>
                </c:pt>
                <c:pt idx="18">
                  <c:v>-266.48689979774042</c:v>
                </c:pt>
                <c:pt idx="19">
                  <c:v>-263.67417365015558</c:v>
                </c:pt>
                <c:pt idx="20">
                  <c:v>-260.7162900356538</c:v>
                </c:pt>
                <c:pt idx="21">
                  <c:v>-257.73378995490793</c:v>
                </c:pt>
                <c:pt idx="22">
                  <c:v>-254.75434041152988</c:v>
                </c:pt>
                <c:pt idx="23">
                  <c:v>-251.78998590168896</c:v>
                </c:pt>
                <c:pt idx="24">
                  <c:v>-248.84815624523412</c:v>
                </c:pt>
                <c:pt idx="25">
                  <c:v>-245.93439728934797</c:v>
                </c:pt>
                <c:pt idx="26">
                  <c:v>-243.053265944511</c:v>
                </c:pt>
                <c:pt idx="27">
                  <c:v>-240.20867805427531</c:v>
                </c:pt>
                <c:pt idx="28">
                  <c:v>-226.64003117458685</c:v>
                </c:pt>
                <c:pt idx="29">
                  <c:v>-214.34372600039987</c:v>
                </c:pt>
                <c:pt idx="30">
                  <c:v>-203.42516965290656</c:v>
                </c:pt>
                <c:pt idx="31">
                  <c:v>-193.85870902391937</c:v>
                </c:pt>
                <c:pt idx="32">
                  <c:v>-185.54170409743134</c:v>
                </c:pt>
                <c:pt idx="33">
                  <c:v>-178.33700254414714</c:v>
                </c:pt>
                <c:pt idx="34">
                  <c:v>-172.10036895053611</c:v>
                </c:pt>
                <c:pt idx="35">
                  <c:v>-166.69545998751303</c:v>
                </c:pt>
                <c:pt idx="36">
                  <c:v>-162.00050145028217</c:v>
                </c:pt>
                <c:pt idx="37">
                  <c:v>-157.91016412506474</c:v>
                </c:pt>
                <c:pt idx="38">
                  <c:v>-154.33498421492277</c:v>
                </c:pt>
                <c:pt idx="39">
                  <c:v>-151.19971425807449</c:v>
                </c:pt>
                <c:pt idx="40">
                  <c:v>-148.44135044457525</c:v>
                </c:pt>
                <c:pt idx="41">
                  <c:v>-146.0072018710363</c:v>
                </c:pt>
                <c:pt idx="42">
                  <c:v>-143.85315785995326</c:v>
                </c:pt>
                <c:pt idx="43">
                  <c:v>-141.94220151072801</c:v>
                </c:pt>
                <c:pt idx="44">
                  <c:v>-140.24316612293003</c:v>
                </c:pt>
                <c:pt idx="45">
                  <c:v>-138.72970945662399</c:v>
                </c:pt>
                <c:pt idx="46">
                  <c:v>-137.37947412436228</c:v>
                </c:pt>
                <c:pt idx="47">
                  <c:v>-136.17340278146162</c:v>
                </c:pt>
                <c:pt idx="48">
                  <c:v>-135.0951800778829</c:v>
                </c:pt>
                <c:pt idx="49">
                  <c:v>-134.13077751768972</c:v>
                </c:pt>
                <c:pt idx="50">
                  <c:v>-133.26808149489071</c:v>
                </c:pt>
                <c:pt idx="51">
                  <c:v>-132.49658844945199</c:v>
                </c:pt>
                <c:pt idx="52">
                  <c:v>-131.80715419992453</c:v>
                </c:pt>
                <c:pt idx="53">
                  <c:v>-131.19178707076128</c:v>
                </c:pt>
                <c:pt idx="54">
                  <c:v>-130.64347650524994</c:v>
                </c:pt>
                <c:pt idx="55">
                  <c:v>-130.15605051578143</c:v>
                </c:pt>
                <c:pt idx="56">
                  <c:v>-129.72405664649651</c:v>
                </c:pt>
                <c:pt idx="57">
                  <c:v>-129.34266217498194</c:v>
                </c:pt>
                <c:pt idx="58">
                  <c:v>-129.00757011482111</c:v>
                </c:pt>
                <c:pt idx="59">
                  <c:v>-128.71494824443226</c:v>
                </c:pt>
                <c:pt idx="60">
                  <c:v>-128.46136891580457</c:v>
                </c:pt>
                <c:pt idx="61">
                  <c:v>-128.24375781805924</c:v>
                </c:pt>
                <c:pt idx="62">
                  <c:v>-128.05935020774217</c:v>
                </c:pt>
                <c:pt idx="63">
                  <c:v>-127.90565338810046</c:v>
                </c:pt>
                <c:pt idx="64">
                  <c:v>-127.78041443718064</c:v>
                </c:pt>
                <c:pt idx="65">
                  <c:v>-127.68159236030277</c:v>
                </c:pt>
                <c:pt idx="66">
                  <c:v>-127.60733398485981</c:v>
                </c:pt>
                <c:pt idx="67">
                  <c:v>-127.55595303118706</c:v>
                </c:pt>
                <c:pt idx="68">
                  <c:v>-127.52591188774338</c:v>
                </c:pt>
                <c:pt idx="69">
                  <c:v>-127.51580569622952</c:v>
                </c:pt>
                <c:pt idx="70">
                  <c:v>-127.52434841585865</c:v>
                </c:pt>
                <c:pt idx="71">
                  <c:v>-127.55036058842734</c:v>
                </c:pt>
                <c:pt idx="72">
                  <c:v>-127.59275856921272</c:v>
                </c:pt>
                <c:pt idx="73">
                  <c:v>-127.65054502472806</c:v>
                </c:pt>
                <c:pt idx="74">
                  <c:v>-127.7228005283504</c:v>
                </c:pt>
                <c:pt idx="75">
                  <c:v>-127.80867610987875</c:v>
                </c:pt>
                <c:pt idx="76">
                  <c:v>-127.90738663606771</c:v>
                </c:pt>
                <c:pt idx="77">
                  <c:v>-128.01820491681616</c:v>
                </c:pt>
                <c:pt idx="78">
                  <c:v>-128.1404564465569</c:v>
                </c:pt>
                <c:pt idx="79">
                  <c:v>-128.27351470295758</c:v>
                </c:pt>
                <c:pt idx="80">
                  <c:v>-128.41679693569347</c:v>
                </c:pt>
                <c:pt idx="81">
                  <c:v>-128.56976038710468</c:v>
                </c:pt>
                <c:pt idx="82">
                  <c:v>-128.73189889426402</c:v>
                </c:pt>
                <c:pt idx="83">
                  <c:v>-128.90273982856951</c:v>
                </c:pt>
                <c:pt idx="84">
                  <c:v>-129.08184133462223</c:v>
                </c:pt>
                <c:pt idx="85">
                  <c:v>-129.26878983499225</c:v>
                </c:pt>
                <c:pt idx="86">
                  <c:v>-129.46319777164669</c:v>
                </c:pt>
                <c:pt idx="87">
                  <c:v>-129.66470155840935</c:v>
                </c:pt>
                <c:pt idx="88">
                  <c:v>-129.8729597219301</c:v>
                </c:pt>
                <c:pt idx="89">
                  <c:v>-130.08765121133592</c:v>
                </c:pt>
                <c:pt idx="90">
                  <c:v>-130.30847385907191</c:v>
                </c:pt>
                <c:pt idx="91">
                  <c:v>-130.53514297747623</c:v>
                </c:pt>
                <c:pt idx="92">
                  <c:v>-130.76739007740488</c:v>
                </c:pt>
                <c:pt idx="93">
                  <c:v>-131.00496169677018</c:v>
                </c:pt>
                <c:pt idx="94">
                  <c:v>-131.24761832821315</c:v>
                </c:pt>
                <c:pt idx="95">
                  <c:v>-131.49513343631568</c:v>
                </c:pt>
                <c:pt idx="96">
                  <c:v>-131.74729255580411</c:v>
                </c:pt>
                <c:pt idx="97">
                  <c:v>-132.00389246311082</c:v>
                </c:pt>
                <c:pt idx="98">
                  <c:v>-132.26474041447159</c:v>
                </c:pt>
                <c:pt idx="99">
                  <c:v>-132.52965344444863</c:v>
                </c:pt>
                <c:pt idx="100">
                  <c:v>-132.79845771940236</c:v>
                </c:pt>
                <c:pt idx="101">
                  <c:v>-133.07098794099176</c:v>
                </c:pt>
                <c:pt idx="102">
                  <c:v>-133.34708679528168</c:v>
                </c:pt>
                <c:pt idx="103">
                  <c:v>-133.62660444347341</c:v>
                </c:pt>
                <c:pt idx="104">
                  <c:v>-133.9093980506691</c:v>
                </c:pt>
                <c:pt idx="105">
                  <c:v>-134.19533134942802</c:v>
                </c:pt>
                <c:pt idx="106">
                  <c:v>-134.48427423518496</c:v>
                </c:pt>
                <c:pt idx="107">
                  <c:v>-134.77610239087926</c:v>
                </c:pt>
                <c:pt idx="108">
                  <c:v>-135.07069693839219</c:v>
                </c:pt>
                <c:pt idx="109">
                  <c:v>-135.36794411461273</c:v>
                </c:pt>
                <c:pt idx="110">
                  <c:v>-135.66773497015276</c:v>
                </c:pt>
                <c:pt idx="111">
                  <c:v>-135.96996508891192</c:v>
                </c:pt>
                <c:pt idx="112">
                  <c:v>-136.27453432685294</c:v>
                </c:pt>
                <c:pt idx="113">
                  <c:v>-136.58134656849643</c:v>
                </c:pt>
                <c:pt idx="114">
                  <c:v>-136.89030949977149</c:v>
                </c:pt>
                <c:pt idx="115">
                  <c:v>-137.20133439598018</c:v>
                </c:pt>
                <c:pt idx="116">
                  <c:v>-137.51433592373843</c:v>
                </c:pt>
                <c:pt idx="117">
                  <c:v>-137.82923195585346</c:v>
                </c:pt>
                <c:pt idx="118">
                  <c:v>-138.14594339818603</c:v>
                </c:pt>
                <c:pt idx="119">
                  <c:v>-138.46439402762275</c:v>
                </c:pt>
                <c:pt idx="120">
                  <c:v>-138.78451034035902</c:v>
                </c:pt>
                <c:pt idx="121">
                  <c:v>-139.10622140975494</c:v>
                </c:pt>
                <c:pt idx="122">
                  <c:v>-139.42945875308902</c:v>
                </c:pt>
                <c:pt idx="123">
                  <c:v>-139.75415620658563</c:v>
                </c:pt>
                <c:pt idx="124">
                  <c:v>-140.08024980814449</c:v>
                </c:pt>
                <c:pt idx="125">
                  <c:v>-140.40767768724209</c:v>
                </c:pt>
                <c:pt idx="126">
                  <c:v>-140.73637996151862</c:v>
                </c:pt>
                <c:pt idx="127">
                  <c:v>-141.06629863959986</c:v>
                </c:pt>
                <c:pt idx="128">
                  <c:v>-141.39737752973753</c:v>
                </c:pt>
                <c:pt idx="129">
                  <c:v>-141.72956215388425</c:v>
                </c:pt>
                <c:pt idx="130">
                  <c:v>-142.0627996668461</c:v>
                </c:pt>
                <c:pt idx="131">
                  <c:v>-142.39703878018378</c:v>
                </c:pt>
                <c:pt idx="132">
                  <c:v>-142.73222969055576</c:v>
                </c:pt>
                <c:pt idx="133">
                  <c:v>-143.06832401221999</c:v>
                </c:pt>
                <c:pt idx="134">
                  <c:v>-143.40527471343128</c:v>
                </c:pt>
                <c:pt idx="135">
                  <c:v>-143.74303605648842</c:v>
                </c:pt>
                <c:pt idx="136">
                  <c:v>-144.08156354120464</c:v>
                </c:pt>
                <c:pt idx="137">
                  <c:v>-144.42081385158912</c:v>
                </c:pt>
                <c:pt idx="138">
                  <c:v>-144.76074480554209</c:v>
                </c:pt>
                <c:pt idx="139">
                  <c:v>-145.10131530738033</c:v>
                </c:pt>
                <c:pt idx="140">
                  <c:v>-145.44248530302116</c:v>
                </c:pt>
                <c:pt idx="141">
                  <c:v>-145.78421573766559</c:v>
                </c:pt>
                <c:pt idx="142">
                  <c:v>-146.12646851583082</c:v>
                </c:pt>
                <c:pt idx="143">
                  <c:v>-146.46920646359274</c:v>
                </c:pt>
                <c:pt idx="144">
                  <c:v>-146.81239329290821</c:v>
                </c:pt>
                <c:pt idx="145">
                  <c:v>-147.15599356789488</c:v>
                </c:pt>
                <c:pt idx="146">
                  <c:v>-147.49997267295393</c:v>
                </c:pt>
                <c:pt idx="147">
                  <c:v>-147.84429678262973</c:v>
                </c:pt>
                <c:pt idx="148">
                  <c:v>-148.18893283310464</c:v>
                </c:pt>
                <c:pt idx="149">
                  <c:v>-148.53384849523644</c:v>
                </c:pt>
                <c:pt idx="150">
                  <c:v>-148.87901214904835</c:v>
                </c:pt>
                <c:pt idx="151">
                  <c:v>-149.22439285959041</c:v>
                </c:pt>
                <c:pt idx="152">
                  <c:v>-149.56996035409293</c:v>
                </c:pt>
                <c:pt idx="153">
                  <c:v>-149.91568500033958</c:v>
                </c:pt>
                <c:pt idx="154">
                  <c:v>-150.26153778619079</c:v>
                </c:pt>
                <c:pt idx="155">
                  <c:v>-150.60749030019261</c:v>
                </c:pt>
                <c:pt idx="156">
                  <c:v>-150.95351471321061</c:v>
                </c:pt>
                <c:pt idx="157">
                  <c:v>-151.29958376103011</c:v>
                </c:pt>
                <c:pt idx="158">
                  <c:v>-151.64567072786966</c:v>
                </c:pt>
                <c:pt idx="159">
                  <c:v>-151.99174943075587</c:v>
                </c:pt>
                <c:pt idx="160">
                  <c:v>-152.33779420471188</c:v>
                </c:pt>
                <c:pt idx="161">
                  <c:v>-152.68377988871359</c:v>
                </c:pt>
                <c:pt idx="162">
                  <c:v>-153.02968181237068</c:v>
                </c:pt>
                <c:pt idx="163">
                  <c:v>-153.37547578329213</c:v>
                </c:pt>
                <c:pt idx="164">
                  <c:v>-153.72113807509754</c:v>
                </c:pt>
                <c:pt idx="165">
                  <c:v>-154.06664541603777</c:v>
                </c:pt>
                <c:pt idx="166">
                  <c:v>-154.41197497819178</c:v>
                </c:pt>
                <c:pt idx="167">
                  <c:v>-154.75710436720527</c:v>
                </c:pt>
                <c:pt idx="168">
                  <c:v>-155.10201161254241</c:v>
                </c:pt>
                <c:pt idx="169">
                  <c:v>-155.44667515822002</c:v>
                </c:pt>
                <c:pt idx="170">
                  <c:v>-155.79107385399791</c:v>
                </c:pt>
                <c:pt idx="171">
                  <c:v>-156.13518694699852</c:v>
                </c:pt>
                <c:pt idx="172">
                  <c:v>-156.47899407373143</c:v>
                </c:pt>
                <c:pt idx="173">
                  <c:v>-156.82247525249943</c:v>
                </c:pt>
                <c:pt idx="174">
                  <c:v>-157.1656108761641</c:v>
                </c:pt>
                <c:pt idx="175">
                  <c:v>-157.50838170524958</c:v>
                </c:pt>
                <c:pt idx="176">
                  <c:v>-157.85076886136503</c:v>
                </c:pt>
                <c:pt idx="177">
                  <c:v>-158.19275382092661</c:v>
                </c:pt>
                <c:pt idx="178">
                  <c:v>-158.5343184091613</c:v>
                </c:pt>
                <c:pt idx="179">
                  <c:v>-158.8754447943756</c:v>
                </c:pt>
                <c:pt idx="180">
                  <c:v>-159.21611548247296</c:v>
                </c:pt>
                <c:pt idx="181">
                  <c:v>-159.55631331170494</c:v>
                </c:pt>
                <c:pt idx="182">
                  <c:v>-159.89602144764163</c:v>
                </c:pt>
                <c:pt idx="183">
                  <c:v>-160.23522337834717</c:v>
                </c:pt>
                <c:pt idx="184">
                  <c:v>-160.57390290974834</c:v>
                </c:pt>
                <c:pt idx="185">
                  <c:v>-160.9120441611833</c:v>
                </c:pt>
                <c:pt idx="186">
                  <c:v>-161.24963156111889</c:v>
                </c:pt>
                <c:pt idx="187">
                  <c:v>-161.5866498430259</c:v>
                </c:pt>
                <c:pt idx="188">
                  <c:v>-161.92308404140141</c:v>
                </c:pt>
                <c:pt idx="189">
                  <c:v>-162.25891948792895</c:v>
                </c:pt>
                <c:pt idx="190">
                  <c:v>-162.59414180776639</c:v>
                </c:pt>
                <c:pt idx="191">
                  <c:v>-162.92873691595327</c:v>
                </c:pt>
                <c:pt idx="192">
                  <c:v>-163.26269101392941</c:v>
                </c:pt>
                <c:pt idx="193">
                  <c:v>-163.59599058615632</c:v>
                </c:pt>
                <c:pt idx="194">
                  <c:v>-163.92862239683456</c:v>
                </c:pt>
                <c:pt idx="195">
                  <c:v>-164.26057348670957</c:v>
                </c:pt>
                <c:pt idx="196">
                  <c:v>-164.5918311699601</c:v>
                </c:pt>
                <c:pt idx="197">
                  <c:v>-164.92238303116156</c:v>
                </c:pt>
                <c:pt idx="198">
                  <c:v>-165.25221692232054</c:v>
                </c:pt>
                <c:pt idx="199">
                  <c:v>-165.58132095997289</c:v>
                </c:pt>
                <c:pt idx="200">
                  <c:v>-165.90968352234154</c:v>
                </c:pt>
                <c:pt idx="201">
                  <c:v>-166.23729324654872</c:v>
                </c:pt>
                <c:pt idx="202">
                  <c:v>-166.56413902587789</c:v>
                </c:pt>
                <c:pt idx="203">
                  <c:v>-166.89021000708141</c:v>
                </c:pt>
                <c:pt idx="204">
                  <c:v>-167.21549558772961</c:v>
                </c:pt>
                <c:pt idx="205">
                  <c:v>-167.53998541359772</c:v>
                </c:pt>
                <c:pt idx="206">
                  <c:v>-167.8636693760873</c:v>
                </c:pt>
                <c:pt idx="207">
                  <c:v>-168.18653760967851</c:v>
                </c:pt>
                <c:pt idx="208">
                  <c:v>-168.50858048941063</c:v>
                </c:pt>
                <c:pt idx="209">
                  <c:v>-168.82978862838726</c:v>
                </c:pt>
                <c:pt idx="210">
                  <c:v>-169.15015287530497</c:v>
                </c:pt>
                <c:pt idx="211">
                  <c:v>-169.46966431200161</c:v>
                </c:pt>
                <c:pt idx="212">
                  <c:v>-169.78831425102211</c:v>
                </c:pt>
                <c:pt idx="213">
                  <c:v>-170.10609423320153</c:v>
                </c:pt>
                <c:pt idx="214">
                  <c:v>-170.42299602526057</c:v>
                </c:pt>
                <c:pt idx="215">
                  <c:v>-170.73901161741463</c:v>
                </c:pt>
                <c:pt idx="216">
                  <c:v>-171.05413322099295</c:v>
                </c:pt>
                <c:pt idx="217">
                  <c:v>-171.36835326606692</c:v>
                </c:pt>
                <c:pt idx="218">
                  <c:v>-171.68166439908711</c:v>
                </c:pt>
                <c:pt idx="219">
                  <c:v>-171.99405948052649</c:v>
                </c:pt>
                <c:pt idx="220">
                  <c:v>-172.30553158252965</c:v>
                </c:pt>
                <c:pt idx="221">
                  <c:v>-172.6160739865673</c:v>
                </c:pt>
                <c:pt idx="222">
                  <c:v>-172.92568018109418</c:v>
                </c:pt>
                <c:pt idx="223">
                  <c:v>-173.23434385921098</c:v>
                </c:pt>
                <c:pt idx="224">
                  <c:v>-173.5420589163289</c:v>
                </c:pt>
                <c:pt idx="225">
                  <c:v>-173.84881944783629</c:v>
                </c:pt>
                <c:pt idx="226">
                  <c:v>-176.8627651598481</c:v>
                </c:pt>
                <c:pt idx="227">
                  <c:v>-179.7761584616832</c:v>
                </c:pt>
                <c:pt idx="228">
                  <c:v>-182.58603014890829</c:v>
                </c:pt>
                <c:pt idx="229">
                  <c:v>-185.2909024464179</c:v>
                </c:pt>
                <c:pt idx="230">
                  <c:v>-187.89056547845058</c:v>
                </c:pt>
                <c:pt idx="231">
                  <c:v>-190.38586449676873</c:v>
                </c:pt>
                <c:pt idx="232">
                  <c:v>-192.77850218821186</c:v>
                </c:pt>
                <c:pt idx="233">
                  <c:v>-195.07085931445067</c:v>
                </c:pt>
                <c:pt idx="234">
                  <c:v>-197.26583561612995</c:v>
                </c:pt>
                <c:pt idx="235">
                  <c:v>-199.36671164832825</c:v>
                </c:pt>
                <c:pt idx="236">
                  <c:v>-201.37703116388647</c:v>
                </c:pt>
                <c:pt idx="237">
                  <c:v>-203.30050288391791</c:v>
                </c:pt>
                <c:pt idx="238">
                  <c:v>-205.14091998663693</c:v>
                </c:pt>
                <c:pt idx="239">
                  <c:v>-206.90209536945028</c:v>
                </c:pt>
                <c:pt idx="240">
                  <c:v>-208.58781064502324</c:v>
                </c:pt>
                <c:pt idx="241">
                  <c:v>-210.20177686914647</c:v>
                </c:pt>
                <c:pt idx="242">
                  <c:v>-211.74760512203051</c:v>
                </c:pt>
                <c:pt idx="243">
                  <c:v>-213.22878523912922</c:v>
                </c:pt>
                <c:pt idx="244">
                  <c:v>-214.64867118568009</c:v>
                </c:pt>
                <c:pt idx="245">
                  <c:v>-216.01047177179973</c:v>
                </c:pt>
                <c:pt idx="246">
                  <c:v>-217.31724559972207</c:v>
                </c:pt>
                <c:pt idx="247">
                  <c:v>-218.57189931417486</c:v>
                </c:pt>
                <c:pt idx="248">
                  <c:v>-219.77718838718999</c:v>
                </c:pt>
                <c:pt idx="249">
                  <c:v>-220.93571980856973</c:v>
                </c:pt>
                <c:pt idx="250">
                  <c:v>-222.04995617315541</c:v>
                </c:pt>
                <c:pt idx="251">
                  <c:v>-223.12222075730574</c:v>
                </c:pt>
                <c:pt idx="252">
                  <c:v>-224.1547032614364</c:v>
                </c:pt>
                <c:pt idx="253">
                  <c:v>-225.14946596515622</c:v>
                </c:pt>
                <c:pt idx="254">
                  <c:v>-226.10845009849757</c:v>
                </c:pt>
                <c:pt idx="255">
                  <c:v>-227.03348227892383</c:v>
                </c:pt>
                <c:pt idx="256">
                  <c:v>-227.92628090094234</c:v>
                </c:pt>
                <c:pt idx="257">
                  <c:v>-228.78846239481223</c:v>
                </c:pt>
                <c:pt idx="258">
                  <c:v>-229.62154729433763</c:v>
                </c:pt>
                <c:pt idx="259">
                  <c:v>-230.42696607221811</c:v>
                </c:pt>
                <c:pt idx="260">
                  <c:v>-231.20606471583557</c:v>
                </c:pt>
                <c:pt idx="261">
                  <c:v>-231.96011002748912</c:v>
                </c:pt>
                <c:pt idx="262">
                  <c:v>-232.69029464159127</c:v>
                </c:pt>
                <c:pt idx="263">
                  <c:v>-233.39774175775125</c:v>
                </c:pt>
                <c:pt idx="264">
                  <c:v>-234.08350959342431</c:v>
                </c:pt>
                <c:pt idx="265">
                  <c:v>-234.74859556325407</c:v>
                </c:pt>
                <c:pt idx="266">
                  <c:v>-235.39394019466164</c:v>
                </c:pt>
                <c:pt idx="267">
                  <c:v>-236.02043079086565</c:v>
                </c:pt>
                <c:pt idx="268">
                  <c:v>-236.6289048535366</c:v>
                </c:pt>
                <c:pt idx="269">
                  <c:v>-237.22015327783976</c:v>
                </c:pt>
                <c:pt idx="270">
                  <c:v>-237.79492333281638</c:v>
                </c:pt>
                <c:pt idx="271">
                  <c:v>-238.35392143998723</c:v>
                </c:pt>
                <c:pt idx="272">
                  <c:v>-238.89781576280308</c:v>
                </c:pt>
                <c:pt idx="273">
                  <c:v>-239.42723861917057</c:v>
                </c:pt>
                <c:pt idx="274">
                  <c:v>-239.94278872879235</c:v>
                </c:pt>
                <c:pt idx="275">
                  <c:v>-240.44503330650991</c:v>
                </c:pt>
                <c:pt idx="276">
                  <c:v>-240.93451001225074</c:v>
                </c:pt>
                <c:pt idx="277">
                  <c:v>-241.41172876758137</c:v>
                </c:pt>
                <c:pt idx="278">
                  <c:v>-241.87717344826197</c:v>
                </c:pt>
                <c:pt idx="279">
                  <c:v>-242.33130346160567</c:v>
                </c:pt>
                <c:pt idx="280">
                  <c:v>-242.77455521686571</c:v>
                </c:pt>
                <c:pt idx="281">
                  <c:v>-243.2073434963182</c:v>
                </c:pt>
                <c:pt idx="282">
                  <c:v>-243.63006273417633</c:v>
                </c:pt>
                <c:pt idx="283">
                  <c:v>-244.04308820996755</c:v>
                </c:pt>
                <c:pt idx="284">
                  <c:v>-244.44677716253057</c:v>
                </c:pt>
                <c:pt idx="285">
                  <c:v>-244.84146983034114</c:v>
                </c:pt>
                <c:pt idx="286">
                  <c:v>-245.22749042345782</c:v>
                </c:pt>
                <c:pt idx="287">
                  <c:v>-245.60514803198794</c:v>
                </c:pt>
                <c:pt idx="288">
                  <c:v>-245.97473747561006</c:v>
                </c:pt>
                <c:pt idx="289">
                  <c:v>-246.33654009835158</c:v>
                </c:pt>
                <c:pt idx="290">
                  <c:v>-246.69082451250551</c:v>
                </c:pt>
                <c:pt idx="291">
                  <c:v>-247.03784729528053</c:v>
                </c:pt>
                <c:pt idx="292">
                  <c:v>-247.3778536415079</c:v>
                </c:pt>
                <c:pt idx="293">
                  <c:v>-247.71107797548146</c:v>
                </c:pt>
                <c:pt idx="294">
                  <c:v>-248.03774452477489</c:v>
                </c:pt>
                <c:pt idx="295">
                  <c:v>-248.35806785867021</c:v>
                </c:pt>
                <c:pt idx="296">
                  <c:v>-248.67225339363262</c:v>
                </c:pt>
                <c:pt idx="297">
                  <c:v>-248.98049786808787</c:v>
                </c:pt>
                <c:pt idx="298">
                  <c:v>-249.28298978858953</c:v>
                </c:pt>
                <c:pt idx="299">
                  <c:v>-249.57990984931149</c:v>
                </c:pt>
                <c:pt idx="300">
                  <c:v>-249.87143132665534</c:v>
                </c:pt>
                <c:pt idx="301">
                  <c:v>-250.15772045063534</c:v>
                </c:pt>
                <c:pt idx="302">
                  <c:v>-250.43893675457906</c:v>
                </c:pt>
                <c:pt idx="303">
                  <c:v>-250.71523340457153</c:v>
                </c:pt>
                <c:pt idx="304">
                  <c:v>-250.98675750996856</c:v>
                </c:pt>
                <c:pt idx="305">
                  <c:v>-251.25365041620734</c:v>
                </c:pt>
                <c:pt idx="306">
                  <c:v>-251.51604798105751</c:v>
                </c:pt>
                <c:pt idx="307">
                  <c:v>-251.77408083537185</c:v>
                </c:pt>
                <c:pt idx="308">
                  <c:v>-252.02787462932383</c:v>
                </c:pt>
                <c:pt idx="309">
                  <c:v>-252.27755026504707</c:v>
                </c:pt>
                <c:pt idx="310">
                  <c:v>-252.52322411653006</c:v>
                </c:pt>
                <c:pt idx="311">
                  <c:v>-252.76500823755939</c:v>
                </c:pt>
                <c:pt idx="312">
                  <c:v>-253.00301055845</c:v>
                </c:pt>
                <c:pt idx="313">
                  <c:v>-253.2373350722502</c:v>
                </c:pt>
                <c:pt idx="314">
                  <c:v>-253.46808201106325</c:v>
                </c:pt>
                <c:pt idx="315">
                  <c:v>-253.69534801308259</c:v>
                </c:pt>
                <c:pt idx="316">
                  <c:v>-253.91922628089881</c:v>
                </c:pt>
                <c:pt idx="317">
                  <c:v>-254.13980673159847</c:v>
                </c:pt>
                <c:pt idx="318">
                  <c:v>-254.35717613914022</c:v>
                </c:pt>
                <c:pt idx="319">
                  <c:v>-254.57141826946247</c:v>
                </c:pt>
                <c:pt idx="320">
                  <c:v>-254.78261400874646</c:v>
                </c:pt>
                <c:pt idx="321">
                  <c:v>-254.99084148523087</c:v>
                </c:pt>
                <c:pt idx="322">
                  <c:v>-255.19617618494891</c:v>
                </c:pt>
                <c:pt idx="323">
                  <c:v>-255.39869106173518</c:v>
                </c:pt>
                <c:pt idx="324">
                  <c:v>-255.59845664182617</c:v>
                </c:pt>
                <c:pt idx="325">
                  <c:v>-255.79554112335967</c:v>
                </c:pt>
                <c:pt idx="326">
                  <c:v>-255.9900104710577</c:v>
                </c:pt>
                <c:pt idx="327">
                  <c:v>-256.1819285063599</c:v>
                </c:pt>
                <c:pt idx="328">
                  <c:v>-256.37135699325813</c:v>
                </c:pt>
                <c:pt idx="329">
                  <c:v>-256.55835572006822</c:v>
                </c:pt>
                <c:pt idx="330">
                  <c:v>-256.74298257735825</c:v>
                </c:pt>
                <c:pt idx="331">
                  <c:v>-256.92529363224139</c:v>
                </c:pt>
                <c:pt idx="332">
                  <c:v>-257.10534319922817</c:v>
                </c:pt>
                <c:pt idx="333">
                  <c:v>-257.28318390782078</c:v>
                </c:pt>
                <c:pt idx="334">
                  <c:v>-257.45886676702185</c:v>
                </c:pt>
                <c:pt idx="335">
                  <c:v>-257.6324412269189</c:v>
                </c:pt>
                <c:pt idx="336">
                  <c:v>-257.8039552374978</c:v>
                </c:pt>
                <c:pt idx="337">
                  <c:v>-257.97345530482795</c:v>
                </c:pt>
                <c:pt idx="338">
                  <c:v>-258.14098654475436</c:v>
                </c:pt>
                <c:pt idx="339">
                  <c:v>-258.30659273422395</c:v>
                </c:pt>
                <c:pt idx="340">
                  <c:v>-258.47031636036616</c:v>
                </c:pt>
                <c:pt idx="341">
                  <c:v>-258.63219866744032</c:v>
                </c:pt>
                <c:pt idx="342">
                  <c:v>-258.79227970175771</c:v>
                </c:pt>
                <c:pt idx="343">
                  <c:v>-258.95059835467782</c:v>
                </c:pt>
                <c:pt idx="344">
                  <c:v>-259.10719240377415</c:v>
                </c:pt>
                <c:pt idx="345">
                  <c:v>-259.26209855225966</c:v>
                </c:pt>
                <c:pt idx="346">
                  <c:v>-259.41535246675642</c:v>
                </c:pt>
                <c:pt idx="347">
                  <c:v>-259.56698881348944</c:v>
                </c:pt>
                <c:pt idx="348">
                  <c:v>-259.71704129298098</c:v>
                </c:pt>
                <c:pt idx="349">
                  <c:v>-259.8655426733161</c:v>
                </c:pt>
                <c:pt idx="350">
                  <c:v>-260.01252482204819</c:v>
                </c:pt>
                <c:pt idx="351">
                  <c:v>-260.158018736808</c:v>
                </c:pt>
                <c:pt idx="352">
                  <c:v>-260.30205457467753</c:v>
                </c:pt>
                <c:pt idx="353">
                  <c:v>-260.44466168038502</c:v>
                </c:pt>
                <c:pt idx="354">
                  <c:v>-260.5858686133779</c:v>
                </c:pt>
                <c:pt idx="355">
                  <c:v>-260.7257031738223</c:v>
                </c:pt>
                <c:pt idx="356">
                  <c:v>-260.86419242758086</c:v>
                </c:pt>
                <c:pt idx="357">
                  <c:v>-261.00136273021388</c:v>
                </c:pt>
                <c:pt idx="358">
                  <c:v>-261.1372397500478</c:v>
                </c:pt>
                <c:pt idx="359">
                  <c:v>-261.27184849035348</c:v>
                </c:pt>
                <c:pt idx="360">
                  <c:v>-261.40521331067362</c:v>
                </c:pt>
                <c:pt idx="361">
                  <c:v>-261.53735794733711</c:v>
                </c:pt>
                <c:pt idx="362">
                  <c:v>-261.66830553319585</c:v>
                </c:pt>
                <c:pt idx="363">
                  <c:v>-261.79807861661857</c:v>
                </c:pt>
                <c:pt idx="364">
                  <c:v>-261.92669917977349</c:v>
                </c:pt>
                <c:pt idx="365">
                  <c:v>-262.05418865623108</c:v>
                </c:pt>
                <c:pt idx="366">
                  <c:v>-262.18056794791534</c:v>
                </c:pt>
                <c:pt idx="367">
                  <c:v>-262.30585744143275</c:v>
                </c:pt>
                <c:pt idx="368">
                  <c:v>-262.43007702380396</c:v>
                </c:pt>
                <c:pt idx="369">
                  <c:v>-262.55324609762414</c:v>
                </c:pt>
                <c:pt idx="370">
                  <c:v>-262.67538359567607</c:v>
                </c:pt>
                <c:pt idx="371">
                  <c:v>-262.79650799501871</c:v>
                </c:pt>
                <c:pt idx="372">
                  <c:v>-262.91663733057277</c:v>
                </c:pt>
                <c:pt idx="373">
                  <c:v>-263.03578920822406</c:v>
                </c:pt>
                <c:pt idx="374">
                  <c:v>-263.1539808174652</c:v>
                </c:pt>
                <c:pt idx="375">
                  <c:v>-263.27122894359326</c:v>
                </c:pt>
                <c:pt idx="376">
                  <c:v>-263.38754997948263</c:v>
                </c:pt>
                <c:pt idx="377">
                  <c:v>-263.50295993694886</c:v>
                </c:pt>
                <c:pt idx="378">
                  <c:v>-263.61747445772141</c:v>
                </c:pt>
                <c:pt idx="379">
                  <c:v>-263.73110882404001</c:v>
                </c:pt>
                <c:pt idx="380">
                  <c:v>-263.84387796888922</c:v>
                </c:pt>
                <c:pt idx="381">
                  <c:v>-263.95579648588648</c:v>
                </c:pt>
                <c:pt idx="382">
                  <c:v>-264.06687863883656</c:v>
                </c:pt>
                <c:pt idx="383">
                  <c:v>-264.17713837096591</c:v>
                </c:pt>
                <c:pt idx="384">
                  <c:v>-264.28658931384837</c:v>
                </c:pt>
                <c:pt idx="385">
                  <c:v>-264.39524479603551</c:v>
                </c:pt>
                <c:pt idx="386">
                  <c:v>-264.5031178514019</c:v>
                </c:pt>
                <c:pt idx="387">
                  <c:v>-264.61022122721658</c:v>
                </c:pt>
                <c:pt idx="388">
                  <c:v>-264.7165673919514</c:v>
                </c:pt>
                <c:pt idx="389">
                  <c:v>-264.8221685428353</c:v>
                </c:pt>
                <c:pt idx="390">
                  <c:v>-264.92703661316551</c:v>
                </c:pt>
                <c:pt idx="391">
                  <c:v>-265.03118327938296</c:v>
                </c:pt>
                <c:pt idx="392">
                  <c:v>-265.13461996792267</c:v>
                </c:pt>
                <c:pt idx="393">
                  <c:v>-265.23735786184545</c:v>
                </c:pt>
                <c:pt idx="394">
                  <c:v>-265.33940790726047</c:v>
                </c:pt>
                <c:pt idx="395">
                  <c:v>-265.44078081954581</c:v>
                </c:pt>
                <c:pt idx="396">
                  <c:v>-265.54148708937419</c:v>
                </c:pt>
                <c:pt idx="397">
                  <c:v>-265.64153698855114</c:v>
                </c:pt>
                <c:pt idx="398">
                  <c:v>-265.74094057567243</c:v>
                </c:pt>
                <c:pt idx="399">
                  <c:v>-265.83970770160704</c:v>
                </c:pt>
                <c:pt idx="400">
                  <c:v>-265.9378480148124</c:v>
                </c:pt>
                <c:pt idx="401">
                  <c:v>-266.03537096648688</c:v>
                </c:pt>
                <c:pt idx="402">
                  <c:v>-266.13228581556632</c:v>
                </c:pt>
                <c:pt idx="403">
                  <c:v>-266.22860163356955</c:v>
                </c:pt>
                <c:pt idx="404">
                  <c:v>-266.32432730929838</c:v>
                </c:pt>
                <c:pt idx="405">
                  <c:v>-266.41947155339687</c:v>
                </c:pt>
                <c:pt idx="406">
                  <c:v>-266.5140429027752</c:v>
                </c:pt>
                <c:pt idx="407">
                  <c:v>-266.60804972490223</c:v>
                </c:pt>
                <c:pt idx="408">
                  <c:v>-266.70150022197151</c:v>
                </c:pt>
                <c:pt idx="409">
                  <c:v>-266.79440243494599</c:v>
                </c:pt>
                <c:pt idx="410">
                  <c:v>-266.88676424748337</c:v>
                </c:pt>
                <c:pt idx="411">
                  <c:v>-266.97859338974854</c:v>
                </c:pt>
                <c:pt idx="412">
                  <c:v>-267.06989744211512</c:v>
                </c:pt>
                <c:pt idx="413">
                  <c:v>-267.1606838387612</c:v>
                </c:pt>
                <c:pt idx="414">
                  <c:v>-267.25095987116134</c:v>
                </c:pt>
                <c:pt idx="415">
                  <c:v>-267.34073269147973</c:v>
                </c:pt>
                <c:pt idx="416">
                  <c:v>-267.43000931586681</c:v>
                </c:pt>
                <c:pt idx="417">
                  <c:v>-267.51879662766277</c:v>
                </c:pt>
                <c:pt idx="418">
                  <c:v>-267.60710138051127</c:v>
                </c:pt>
                <c:pt idx="419">
                  <c:v>-267.69493020138589</c:v>
                </c:pt>
                <c:pt idx="420">
                  <c:v>-267.78228959353225</c:v>
                </c:pt>
                <c:pt idx="421">
                  <c:v>-267.86918593932927</c:v>
                </c:pt>
                <c:pt idx="422">
                  <c:v>-267.95562550307011</c:v>
                </c:pt>
                <c:pt idx="423">
                  <c:v>-268.04161443366843</c:v>
                </c:pt>
                <c:pt idx="424">
                  <c:v>-268.12715876728919</c:v>
                </c:pt>
                <c:pt idx="425">
                  <c:v>-268.21226442990906</c:v>
                </c:pt>
                <c:pt idx="426">
                  <c:v>-268.29693723980654</c:v>
                </c:pt>
                <c:pt idx="427">
                  <c:v>-268.38118290998551</c:v>
                </c:pt>
                <c:pt idx="428">
                  <c:v>-268.46500705053342</c:v>
                </c:pt>
                <c:pt idx="429">
                  <c:v>-268.54841517091654</c:v>
                </c:pt>
                <c:pt idx="430">
                  <c:v>-268.6314126822142</c:v>
                </c:pt>
                <c:pt idx="431">
                  <c:v>-268.71400489929357</c:v>
                </c:pt>
                <c:pt idx="432">
                  <c:v>-268.79619704292753</c:v>
                </c:pt>
                <c:pt idx="433">
                  <c:v>-268.87799424185641</c:v>
                </c:pt>
                <c:pt idx="434">
                  <c:v>-268.95940153479614</c:v>
                </c:pt>
                <c:pt idx="435">
                  <c:v>-269.04042387239389</c:v>
                </c:pt>
                <c:pt idx="436">
                  <c:v>-269.12106611913333</c:v>
                </c:pt>
                <c:pt idx="437">
                  <c:v>-269.20133305519045</c:v>
                </c:pt>
                <c:pt idx="438">
                  <c:v>-269.28122937824145</c:v>
                </c:pt>
                <c:pt idx="439">
                  <c:v>-269.36075970522512</c:v>
                </c:pt>
                <c:pt idx="440">
                  <c:v>-269.43992857405942</c:v>
                </c:pt>
                <c:pt idx="441">
                  <c:v>-269.51874044531502</c:v>
                </c:pt>
                <c:pt idx="442">
                  <c:v>-269.59719970384651</c:v>
                </c:pt>
                <c:pt idx="443">
                  <c:v>-269.67531066038231</c:v>
                </c:pt>
                <c:pt idx="444">
                  <c:v>-269.75307755307477</c:v>
                </c:pt>
                <c:pt idx="445">
                  <c:v>-269.83050454901218</c:v>
                </c:pt>
                <c:pt idx="446">
                  <c:v>-269.90759574569194</c:v>
                </c:pt>
                <c:pt idx="447">
                  <c:v>-269.98435517245878</c:v>
                </c:pt>
                <c:pt idx="448">
                  <c:v>-270.06078679190625</c:v>
                </c:pt>
                <c:pt idx="449">
                  <c:v>-270.1368945012444</c:v>
                </c:pt>
                <c:pt idx="450">
                  <c:v>-270.21268213363425</c:v>
                </c:pt>
                <c:pt idx="451">
                  <c:v>-270.28815345948897</c:v>
                </c:pt>
                <c:pt idx="452">
                  <c:v>-270.36331218774421</c:v>
                </c:pt>
                <c:pt idx="453">
                  <c:v>-270.43816196709747</c:v>
                </c:pt>
                <c:pt idx="454">
                  <c:v>-270.5127063872178</c:v>
                </c:pt>
                <c:pt idx="455">
                  <c:v>-270.58694897992598</c:v>
                </c:pt>
                <c:pt idx="456">
                  <c:v>-270.66089322034736</c:v>
                </c:pt>
                <c:pt idx="457">
                  <c:v>-270.73454252803663</c:v>
                </c:pt>
                <c:pt idx="458">
                  <c:v>-270.8079002680762</c:v>
                </c:pt>
                <c:pt idx="459">
                  <c:v>-270.88096975214847</c:v>
                </c:pt>
                <c:pt idx="460">
                  <c:v>-270.95375423958353</c:v>
                </c:pt>
                <c:pt idx="461">
                  <c:v>-271.02625693838144</c:v>
                </c:pt>
                <c:pt idx="462">
                  <c:v>-271.09848100621116</c:v>
                </c:pt>
                <c:pt idx="463">
                  <c:v>-271.17042955138646</c:v>
                </c:pt>
                <c:pt idx="464">
                  <c:v>-271.24210563381888</c:v>
                </c:pt>
                <c:pt idx="465">
                  <c:v>-271.3135122659487</c:v>
                </c:pt>
                <c:pt idx="466">
                  <c:v>-271.38465241365498</c:v>
                </c:pt>
                <c:pt idx="467">
                  <c:v>-271.45552899714437</c:v>
                </c:pt>
                <c:pt idx="468">
                  <c:v>-271.52614489181968</c:v>
                </c:pt>
                <c:pt idx="469">
                  <c:v>-271.59650292912897</c:v>
                </c:pt>
                <c:pt idx="470">
                  <c:v>-271.66660589739541</c:v>
                </c:pt>
                <c:pt idx="471">
                  <c:v>-271.73645654262805</c:v>
                </c:pt>
                <c:pt idx="472">
                  <c:v>-271.80605756931493</c:v>
                </c:pt>
                <c:pt idx="473">
                  <c:v>-271.87541164119818</c:v>
                </c:pt>
                <c:pt idx="474">
                  <c:v>-271.94452138203172</c:v>
                </c:pt>
                <c:pt idx="475">
                  <c:v>-272.01338937632249</c:v>
                </c:pt>
                <c:pt idx="476">
                  <c:v>-272.08201817005494</c:v>
                </c:pt>
                <c:pt idx="477">
                  <c:v>-272.15041027139983</c:v>
                </c:pt>
                <c:pt idx="478">
                  <c:v>-272.21856815140723</c:v>
                </c:pt>
                <c:pt idx="479">
                  <c:v>-272.28649424468455</c:v>
                </c:pt>
                <c:pt idx="480">
                  <c:v>-272.35419095005966</c:v>
                </c:pt>
                <c:pt idx="481">
                  <c:v>-272.42166063122971</c:v>
                </c:pt>
                <c:pt idx="482">
                  <c:v>-272.48890561739591</c:v>
                </c:pt>
                <c:pt idx="483">
                  <c:v>-272.55592820388438</c:v>
                </c:pt>
                <c:pt idx="484">
                  <c:v>-272.62273065275417</c:v>
                </c:pt>
                <c:pt idx="485">
                  <c:v>-272.68931519339168</c:v>
                </c:pt>
                <c:pt idx="486">
                  <c:v>-272.75568402309261</c:v>
                </c:pt>
                <c:pt idx="487">
                  <c:v>-272.82183930763199</c:v>
                </c:pt>
                <c:pt idx="488">
                  <c:v>-272.88778318182142</c:v>
                </c:pt>
                <c:pt idx="489">
                  <c:v>-272.95351775005486</c:v>
                </c:pt>
                <c:pt idx="490">
                  <c:v>-273.01904508684328</c:v>
                </c:pt>
                <c:pt idx="491">
                  <c:v>-273.08436723733723</c:v>
                </c:pt>
                <c:pt idx="492">
                  <c:v>-273.14948621783958</c:v>
                </c:pt>
                <c:pt idx="493">
                  <c:v>-273.21440401630673</c:v>
                </c:pt>
                <c:pt idx="494">
                  <c:v>-273.27912259283988</c:v>
                </c:pt>
                <c:pt idx="495">
                  <c:v>-273.34364388016593</c:v>
                </c:pt>
                <c:pt idx="496">
                  <c:v>-273.40796978410856</c:v>
                </c:pt>
                <c:pt idx="497">
                  <c:v>-273.47210218404962</c:v>
                </c:pt>
                <c:pt idx="498">
                  <c:v>-273.53604293338117</c:v>
                </c:pt>
                <c:pt idx="499">
                  <c:v>-273.59979385994808</c:v>
                </c:pt>
                <c:pt idx="500">
                  <c:v>-273.66335676648185</c:v>
                </c:pt>
                <c:pt idx="501">
                  <c:v>-273.72673343102565</c:v>
                </c:pt>
                <c:pt idx="502">
                  <c:v>-273.78992560735043</c:v>
                </c:pt>
                <c:pt idx="503">
                  <c:v>-273.85293502536325</c:v>
                </c:pt>
                <c:pt idx="504">
                  <c:v>-273.91576339150686</c:v>
                </c:pt>
                <c:pt idx="505">
                  <c:v>-273.97841238915169</c:v>
                </c:pt>
                <c:pt idx="506">
                  <c:v>-274.04088367897964</c:v>
                </c:pt>
                <c:pt idx="507">
                  <c:v>-274.1031788993609</c:v>
                </c:pt>
                <c:pt idx="508">
                  <c:v>-274.16529966672238</c:v>
                </c:pt>
                <c:pt idx="509">
                  <c:v>-274.22724757590981</c:v>
                </c:pt>
                <c:pt idx="510">
                  <c:v>-274.28902420054214</c:v>
                </c:pt>
                <c:pt idx="511">
                  <c:v>-274.35063109335897</c:v>
                </c:pt>
                <c:pt idx="512">
                  <c:v>-274.41206978656191</c:v>
                </c:pt>
                <c:pt idx="513">
                  <c:v>-274.47334179214818</c:v>
                </c:pt>
                <c:pt idx="514">
                  <c:v>-274.53444860223863</c:v>
                </c:pt>
                <c:pt idx="515">
                  <c:v>-274.59539168939915</c:v>
                </c:pt>
                <c:pt idx="516">
                  <c:v>-274.65617250695573</c:v>
                </c:pt>
                <c:pt idx="517">
                  <c:v>-274.71679248930354</c:v>
                </c:pt>
                <c:pt idx="518">
                  <c:v>-274.7772530522102</c:v>
                </c:pt>
                <c:pt idx="519">
                  <c:v>-274.83755559311345</c:v>
                </c:pt>
                <c:pt idx="520">
                  <c:v>-274.89770149141225</c:v>
                </c:pt>
                <c:pt idx="521">
                  <c:v>-274.95769210875369</c:v>
                </c:pt>
                <c:pt idx="522">
                  <c:v>-275.0175287893133</c:v>
                </c:pt>
                <c:pt idx="523">
                  <c:v>-275.07721286007074</c:v>
                </c:pt>
                <c:pt idx="524">
                  <c:v>-275.13674563108032</c:v>
                </c:pt>
                <c:pt idx="525">
                  <c:v>-275.1961283957358</c:v>
                </c:pt>
                <c:pt idx="526">
                  <c:v>-275.25536243103102</c:v>
                </c:pt>
                <c:pt idx="527">
                  <c:v>-275.31444899781548</c:v>
                </c:pt>
                <c:pt idx="528">
                  <c:v>-275.37338934104463</c:v>
                </c:pt>
                <c:pt idx="529">
                  <c:v>-275.43218469002636</c:v>
                </c:pt>
                <c:pt idx="530">
                  <c:v>-275.49083625866217</c:v>
                </c:pt>
                <c:pt idx="531">
                  <c:v>-275.54934524568466</c:v>
                </c:pt>
                <c:pt idx="532">
                  <c:v>-275.60771283488998</c:v>
                </c:pt>
                <c:pt idx="533">
                  <c:v>-275.66594019536632</c:v>
                </c:pt>
                <c:pt idx="534">
                  <c:v>-275.72402848171845</c:v>
                </c:pt>
                <c:pt idx="535">
                  <c:v>-275.78197883428788</c:v>
                </c:pt>
                <c:pt idx="536">
                  <c:v>-275.83979237936893</c:v>
                </c:pt>
                <c:pt idx="537">
                  <c:v>-275.8974702294214</c:v>
                </c:pt>
                <c:pt idx="538">
                  <c:v>-275.95501348327883</c:v>
                </c:pt>
                <c:pt idx="539">
                  <c:v>-276.01242322635341</c:v>
                </c:pt>
                <c:pt idx="540">
                  <c:v>-276.06970053083717</c:v>
                </c:pt>
                <c:pt idx="541">
                  <c:v>-276.12684645589934</c:v>
                </c:pt>
                <c:pt idx="542">
                  <c:v>-276.1838620478805</c:v>
                </c:pt>
                <c:pt idx="543">
                  <c:v>-276.24074834048315</c:v>
                </c:pt>
                <c:pt idx="544">
                  <c:v>-276.29750635495873</c:v>
                </c:pt>
                <c:pt idx="545">
                  <c:v>-276.35413710029178</c:v>
                </c:pt>
                <c:pt idx="546">
                  <c:v>-276.41064157338059</c:v>
                </c:pt>
                <c:pt idx="547">
                  <c:v>-276.46702075921439</c:v>
                </c:pt>
                <c:pt idx="548">
                  <c:v>-276.52327563104814</c:v>
                </c:pt>
                <c:pt idx="549">
                  <c:v>-276.5794071505735</c:v>
                </c:pt>
                <c:pt idx="550">
                  <c:v>-276.63541626808774</c:v>
                </c:pt>
                <c:pt idx="551">
                  <c:v>-276.69130392265851</c:v>
                </c:pt>
                <c:pt idx="552">
                  <c:v>-276.74707104228708</c:v>
                </c:pt>
                <c:pt idx="553">
                  <c:v>-276.80271854406777</c:v>
                </c:pt>
                <c:pt idx="554">
                  <c:v>-276.85824733434509</c:v>
                </c:pt>
                <c:pt idx="555">
                  <c:v>-276.91365830886809</c:v>
                </c:pt>
                <c:pt idx="556">
                  <c:v>-276.96895235294221</c:v>
                </c:pt>
                <c:pt idx="557">
                  <c:v>-277.0241303415782</c:v>
                </c:pt>
                <c:pt idx="558">
                  <c:v>-277.0791931396389</c:v>
                </c:pt>
                <c:pt idx="559">
                  <c:v>-277.13414160198329</c:v>
                </c:pt>
                <c:pt idx="560">
                  <c:v>-277.18897657360816</c:v>
                </c:pt>
                <c:pt idx="561">
                  <c:v>-277.24369888978754</c:v>
                </c:pt>
                <c:pt idx="562">
                  <c:v>-277.29830937620943</c:v>
                </c:pt>
                <c:pt idx="563">
                  <c:v>-277.35280884911077</c:v>
                </c:pt>
                <c:pt idx="564">
                  <c:v>-277.40719811540959</c:v>
                </c:pt>
                <c:pt idx="565">
                  <c:v>-277.46147797283527</c:v>
                </c:pt>
                <c:pt idx="566">
                  <c:v>-277.51564921005678</c:v>
                </c:pt>
                <c:pt idx="567">
                  <c:v>-277.56971260680837</c:v>
                </c:pt>
                <c:pt idx="568">
                  <c:v>-277.62366893401349</c:v>
                </c:pt>
                <c:pt idx="569">
                  <c:v>-277.67751895390671</c:v>
                </c:pt>
                <c:pt idx="570">
                  <c:v>-277.73126342015343</c:v>
                </c:pt>
                <c:pt idx="571">
                  <c:v>-277.78490307796767</c:v>
                </c:pt>
                <c:pt idx="572">
                  <c:v>-277.83843866422808</c:v>
                </c:pt>
                <c:pt idx="573">
                  <c:v>-277.89187090759185</c:v>
                </c:pt>
                <c:pt idx="574">
                  <c:v>-277.94520052860707</c:v>
                </c:pt>
                <c:pt idx="575">
                  <c:v>-277.99842823982306</c:v>
                </c:pt>
                <c:pt idx="576">
                  <c:v>-278.05155474589861</c:v>
                </c:pt>
                <c:pt idx="577">
                  <c:v>-278.10458074370928</c:v>
                </c:pt>
                <c:pt idx="578">
                  <c:v>-278.15750692245217</c:v>
                </c:pt>
                <c:pt idx="579">
                  <c:v>-278.21033396374946</c:v>
                </c:pt>
                <c:pt idx="580">
                  <c:v>-278.26306254175017</c:v>
                </c:pt>
                <c:pt idx="581">
                  <c:v>-278.31569332323033</c:v>
                </c:pt>
                <c:pt idx="582">
                  <c:v>-278.36822696769138</c:v>
                </c:pt>
                <c:pt idx="583">
                  <c:v>-278.42066412745743</c:v>
                </c:pt>
                <c:pt idx="584">
                  <c:v>-278.47300544777039</c:v>
                </c:pt>
                <c:pt idx="585">
                  <c:v>-278.52525156688415</c:v>
                </c:pt>
                <c:pt idx="586">
                  <c:v>-278.57740311615692</c:v>
                </c:pt>
                <c:pt idx="587">
                  <c:v>-278.62946072014239</c:v>
                </c:pt>
                <c:pt idx="588">
                  <c:v>-278.68142499667903</c:v>
                </c:pt>
                <c:pt idx="589">
                  <c:v>-278.73329655697853</c:v>
                </c:pt>
                <c:pt idx="590">
                  <c:v>-278.78507600571271</c:v>
                </c:pt>
                <c:pt idx="591">
                  <c:v>-278.83676394109858</c:v>
                </c:pt>
                <c:pt idx="592">
                  <c:v>-278.88836095498283</c:v>
                </c:pt>
                <c:pt idx="593">
                  <c:v>-278.93986763292452</c:v>
                </c:pt>
                <c:pt idx="594">
                  <c:v>-278.99128455427683</c:v>
                </c:pt>
                <c:pt idx="595">
                  <c:v>-279.04261229226694</c:v>
                </c:pt>
                <c:pt idx="596">
                  <c:v>-279.09385141407563</c:v>
                </c:pt>
                <c:pt idx="597">
                  <c:v>-279.1450024809148</c:v>
                </c:pt>
                <c:pt idx="598">
                  <c:v>-279.19606604810434</c:v>
                </c:pt>
                <c:pt idx="599">
                  <c:v>-279.24704266514738</c:v>
                </c:pt>
                <c:pt idx="600">
                  <c:v>-279.29793287580492</c:v>
                </c:pt>
                <c:pt idx="601">
                  <c:v>-279.34873721816911</c:v>
                </c:pt>
                <c:pt idx="602">
                  <c:v>-279.39945622473499</c:v>
                </c:pt>
                <c:pt idx="603">
                  <c:v>-279.45009042247187</c:v>
                </c:pt>
                <c:pt idx="604">
                  <c:v>-279.5006403328934</c:v>
                </c:pt>
                <c:pt idx="605">
                  <c:v>-279.55110647212604</c:v>
                </c:pt>
                <c:pt idx="606">
                  <c:v>-281.97762548556443</c:v>
                </c:pt>
                <c:pt idx="607">
                  <c:v>-284.24448542726651</c:v>
                </c:pt>
                <c:pt idx="608">
                  <c:v>-286.38370371430392</c:v>
                </c:pt>
                <c:pt idx="609">
                  <c:v>-288.41621511653977</c:v>
                </c:pt>
                <c:pt idx="610">
                  <c:v>-290.35626446184483</c:v>
                </c:pt>
                <c:pt idx="611">
                  <c:v>-292.21390808709657</c:v>
                </c:pt>
                <c:pt idx="612">
                  <c:v>-293.99650490405509</c:v>
                </c:pt>
                <c:pt idx="613">
                  <c:v>-295.70963810847559</c:v>
                </c:pt>
                <c:pt idx="614">
                  <c:v>-297.35770151352546</c:v>
                </c:pt>
                <c:pt idx="615">
                  <c:v>-298.94428089567407</c:v>
                </c:pt>
                <c:pt idx="616">
                  <c:v>-300.47240614671125</c:v>
                </c:pt>
                <c:pt idx="617">
                  <c:v>-301.94471992927697</c:v>
                </c:pt>
                <c:pt idx="618">
                  <c:v>-302.55428375436816</c:v>
                </c:pt>
                <c:pt idx="619">
                  <c:v>-303.15426551757787</c:v>
                </c:pt>
                <c:pt idx="620">
                  <c:v>-303.74486763093012</c:v>
                </c:pt>
                <c:pt idx="621">
                  <c:v>-304.3262836434655</c:v>
                </c:pt>
                <c:pt idx="622">
                  <c:v>-304.89869913333058</c:v>
                </c:pt>
                <c:pt idx="623">
                  <c:v>-305.46229248635166</c:v>
                </c:pt>
                <c:pt idx="624">
                  <c:v>-306.01723557611285</c:v>
                </c:pt>
                <c:pt idx="625">
                  <c:v>-306.56369435847284</c:v>
                </c:pt>
                <c:pt idx="626">
                  <c:v>-307.10182939167794</c:v>
                </c:pt>
                <c:pt idx="627">
                  <c:v>-307.63179629172072</c:v>
                </c:pt>
                <c:pt idx="628">
                  <c:v>-308.15374613129848</c:v>
                </c:pt>
                <c:pt idx="629">
                  <c:v>-308.66782578961949</c:v>
                </c:pt>
                <c:pt idx="630">
                  <c:v>-309.17417825935377</c:v>
                </c:pt>
                <c:pt idx="631">
                  <c:v>-309.67294291620476</c:v>
                </c:pt>
                <c:pt idx="632">
                  <c:v>-310.16425575587243</c:v>
                </c:pt>
                <c:pt idx="633">
                  <c:v>-310.64824960256578</c:v>
                </c:pt>
                <c:pt idx="634">
                  <c:v>-311.12505429269271</c:v>
                </c:pt>
                <c:pt idx="635">
                  <c:v>-311.59479683689682</c:v>
                </c:pt>
                <c:pt idx="636">
                  <c:v>-312.05760156320838</c:v>
                </c:pt>
                <c:pt idx="637">
                  <c:v>-312.51359024373028</c:v>
                </c:pt>
                <c:pt idx="638">
                  <c:v>-312.96288220697562</c:v>
                </c:pt>
                <c:pt idx="639">
                  <c:v>-313.40559443770803</c:v>
                </c:pt>
                <c:pt idx="640">
                  <c:v>-313.84184166590524</c:v>
                </c:pt>
                <c:pt idx="641">
                  <c:v>-314.27173644626168</c:v>
                </c:pt>
                <c:pt idx="642">
                  <c:v>-314.69538922947117</c:v>
                </c:pt>
                <c:pt idx="643">
                  <c:v>-315.1129084263726</c:v>
                </c:pt>
                <c:pt idx="644">
                  <c:v>-315.52440046590709</c:v>
                </c:pt>
                <c:pt idx="645">
                  <c:v>-315.92996984771344</c:v>
                </c:pt>
                <c:pt idx="646">
                  <c:v>-316.32971919008645</c:v>
                </c:pt>
                <c:pt idx="647">
                  <c:v>-316.72374927392752</c:v>
                </c:pt>
                <c:pt idx="648">
                  <c:v>-317.112159083238</c:v>
                </c:pt>
                <c:pt idx="649">
                  <c:v>-317.49504584263406</c:v>
                </c:pt>
                <c:pt idx="650">
                  <c:v>-317.87250505229918</c:v>
                </c:pt>
                <c:pt idx="651">
                  <c:v>-318.24463052073571</c:v>
                </c:pt>
                <c:pt idx="652">
                  <c:v>-318.61151439562934</c:v>
                </c:pt>
                <c:pt idx="653">
                  <c:v>-318.97324719309705</c:v>
                </c:pt>
                <c:pt idx="654">
                  <c:v>-319.3299178255532</c:v>
                </c:pt>
                <c:pt idx="655">
                  <c:v>-319.68161362839567</c:v>
                </c:pt>
                <c:pt idx="656">
                  <c:v>-320.02842038568429</c:v>
                </c:pt>
                <c:pt idx="657">
                  <c:v>-320.37042235496159</c:v>
                </c:pt>
                <c:pt idx="658">
                  <c:v>-320.70770229134104</c:v>
                </c:pt>
                <c:pt idx="659">
                  <c:v>-321.04034147097178</c:v>
                </c:pt>
                <c:pt idx="660">
                  <c:v>-321.3684197139703</c:v>
                </c:pt>
                <c:pt idx="661">
                  <c:v>-321.69201540689596</c:v>
                </c:pt>
                <c:pt idx="662">
                  <c:v>-322.01120552483519</c:v>
                </c:pt>
                <c:pt idx="663">
                  <c:v>-322.32606565314666</c:v>
                </c:pt>
                <c:pt idx="664">
                  <c:v>-322.63667000891292</c:v>
                </c:pt>
                <c:pt idx="665">
                  <c:v>-322.94309146213322</c:v>
                </c:pt>
                <c:pt idx="666">
                  <c:v>-323.2454015566874</c:v>
                </c:pt>
                <c:pt idx="667">
                  <c:v>-323.54367053109223</c:v>
                </c:pt>
              </c:numCache>
            </c:numRef>
          </c:yVal>
          <c:smooth val="0"/>
          <c:extLst>
            <c:ext xmlns:c16="http://schemas.microsoft.com/office/drawing/2014/chart" uri="{C3380CC4-5D6E-409C-BE32-E72D297353CC}">
              <c16:uniqueId val="{00000001-306B-4242-B253-B9A3B2188A5D}"/>
            </c:ext>
          </c:extLst>
        </c:ser>
        <c:dLbls>
          <c:showLegendKey val="0"/>
          <c:showVal val="0"/>
          <c:showCatName val="0"/>
          <c:showSerName val="0"/>
          <c:showPercent val="0"/>
          <c:showBubbleSize val="0"/>
        </c:dLbls>
        <c:axId val="177465600"/>
        <c:axId val="177467392"/>
      </c:scatterChart>
      <c:valAx>
        <c:axId val="177449216"/>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375680580762788"/>
              <c:y val="0.88281468722659673"/>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63680"/>
        <c:crossesAt val="-80"/>
        <c:crossBetween val="midCat"/>
      </c:valAx>
      <c:valAx>
        <c:axId val="177463680"/>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852994555354056E-2"/>
              <c:y val="0.4427094269466312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49216"/>
        <c:crosses val="autoZero"/>
        <c:crossBetween val="midCat"/>
      </c:valAx>
      <c:valAx>
        <c:axId val="177465600"/>
        <c:scaling>
          <c:logBase val="10"/>
          <c:orientation val="minMax"/>
        </c:scaling>
        <c:delete val="1"/>
        <c:axPos val="b"/>
        <c:numFmt formatCode="General" sourceLinked="1"/>
        <c:majorTickMark val="out"/>
        <c:minorTickMark val="none"/>
        <c:tickLblPos val="none"/>
        <c:crossAx val="177467392"/>
        <c:crosses val="autoZero"/>
        <c:crossBetween val="midCat"/>
      </c:valAx>
      <c:valAx>
        <c:axId val="177467392"/>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62794918330363"/>
              <c:y val="0.3671883202099790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65600"/>
        <c:crosses val="max"/>
        <c:crossBetween val="midCat"/>
      </c:valAx>
      <c:spPr>
        <a:noFill/>
        <a:ln w="12700">
          <a:solidFill>
            <a:srgbClr val="808080"/>
          </a:solidFill>
          <a:prstDash val="solid"/>
        </a:ln>
      </c:spPr>
    </c:plotArea>
    <c:legend>
      <c:legendPos val="t"/>
      <c:layout>
        <c:manualLayout>
          <c:xMode val="edge"/>
          <c:yMode val="edge"/>
          <c:x val="0.76406533575318358"/>
          <c:y val="1.3020833333333511E-2"/>
          <c:w val="0.21597096188747997"/>
          <c:h val="0.14583360673665788"/>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Comp to Vout</a:t>
            </a:r>
          </a:p>
        </c:rich>
      </c:tx>
      <c:layout>
        <c:manualLayout>
          <c:xMode val="edge"/>
          <c:yMode val="edge"/>
          <c:x val="0.42753699265852635"/>
          <c:y val="3.3766233766233771E-2"/>
        </c:manualLayout>
      </c:layout>
      <c:overlay val="0"/>
      <c:spPr>
        <a:noFill/>
        <a:ln w="25400">
          <a:noFill/>
        </a:ln>
      </c:spPr>
    </c:title>
    <c:autoTitleDeleted val="0"/>
    <c:plotArea>
      <c:layout>
        <c:manualLayout>
          <c:layoutTarget val="inner"/>
          <c:xMode val="edge"/>
          <c:yMode val="edge"/>
          <c:x val="0.11594223410296738"/>
          <c:y val="0.20779247132770992"/>
          <c:w val="0.79166806723432415"/>
          <c:h val="0.60519557274195002"/>
        </c:manualLayout>
      </c:layout>
      <c:scatterChart>
        <c:scatterStyle val="smoothMarker"/>
        <c:varyColors val="0"/>
        <c:ser>
          <c:idx val="2"/>
          <c:order val="0"/>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Calculations'!$BM$9:$BM$676</c:f>
              <c:numCache>
                <c:formatCode>General</c:formatCode>
                <c:ptCount val="668"/>
                <c:pt idx="0">
                  <c:v>23.470879696284094</c:v>
                </c:pt>
                <c:pt idx="1">
                  <c:v>23.470880649769533</c:v>
                </c:pt>
                <c:pt idx="2">
                  <c:v>23.470882238912139</c:v>
                </c:pt>
                <c:pt idx="3">
                  <c:v>23.47088446371221</c:v>
                </c:pt>
                <c:pt idx="4">
                  <c:v>23.470887324170178</c:v>
                </c:pt>
                <c:pt idx="5">
                  <c:v>23.470890820286584</c:v>
                </c:pt>
                <c:pt idx="6">
                  <c:v>23.470894952062107</c:v>
                </c:pt>
                <c:pt idx="7">
                  <c:v>23.470899719497531</c:v>
                </c:pt>
                <c:pt idx="8">
                  <c:v>23.470905122593777</c:v>
                </c:pt>
                <c:pt idx="9">
                  <c:v>23.470911161351871</c:v>
                </c:pt>
                <c:pt idx="10">
                  <c:v>23.471006510649456</c:v>
                </c:pt>
                <c:pt idx="11">
                  <c:v>23.471165428175034</c:v>
                </c:pt>
                <c:pt idx="12">
                  <c:v>23.471387916973143</c:v>
                </c:pt>
                <c:pt idx="13">
                  <c:v>23.471673981306324</c:v>
                </c:pt>
                <c:pt idx="14">
                  <c:v>23.472023626655393</c:v>
                </c:pt>
                <c:pt idx="15">
                  <c:v>23.472436859719696</c:v>
                </c:pt>
                <c:pt idx="16">
                  <c:v>23.472913688417471</c:v>
                </c:pt>
                <c:pt idx="17">
                  <c:v>23.473454121886249</c:v>
                </c:pt>
                <c:pt idx="18">
                  <c:v>23.474058170483346</c:v>
                </c:pt>
                <c:pt idx="19">
                  <c:v>23.483600640531321</c:v>
                </c:pt>
                <c:pt idx="20">
                  <c:v>23.499525102251347</c:v>
                </c:pt>
                <c:pt idx="21">
                  <c:v>23.521862184456843</c:v>
                </c:pt>
                <c:pt idx="22">
                  <c:v>23.550654990919703</c:v>
                </c:pt>
                <c:pt idx="23">
                  <c:v>23.585959325483749</c:v>
                </c:pt>
                <c:pt idx="24">
                  <c:v>23.627843983856287</c:v>
                </c:pt>
                <c:pt idx="25">
                  <c:v>23.676391113770862</c:v>
                </c:pt>
                <c:pt idx="26">
                  <c:v>23.731696645492054</c:v>
                </c:pt>
                <c:pt idx="27">
                  <c:v>23.793870794832483</c:v>
                </c:pt>
                <c:pt idx="28">
                  <c:v>24.21270767375686</c:v>
                </c:pt>
                <c:pt idx="29">
                  <c:v>24.829239165057871</c:v>
                </c:pt>
                <c:pt idx="30">
                  <c:v>25.678166496769059</c:v>
                </c:pt>
                <c:pt idx="31">
                  <c:v>26.809883366328183</c:v>
                </c:pt>
                <c:pt idx="32">
                  <c:v>28.287749059235765</c:v>
                </c:pt>
                <c:pt idx="33">
                  <c:v>30.144563605580057</c:v>
                </c:pt>
                <c:pt idx="34">
                  <c:v>32.129192412439934</c:v>
                </c:pt>
                <c:pt idx="35">
                  <c:v>32.967897172488158</c:v>
                </c:pt>
                <c:pt idx="36">
                  <c:v>31.304371813919502</c:v>
                </c:pt>
                <c:pt idx="37">
                  <c:v>28.460814001879051</c:v>
                </c:pt>
                <c:pt idx="38">
                  <c:v>25.726760873878689</c:v>
                </c:pt>
                <c:pt idx="39">
                  <c:v>23.358169922025059</c:v>
                </c:pt>
                <c:pt idx="40">
                  <c:v>21.318838118139567</c:v>
                </c:pt>
                <c:pt idx="41">
                  <c:v>19.539856867531174</c:v>
                </c:pt>
                <c:pt idx="42">
                  <c:v>17.964309622635845</c:v>
                </c:pt>
                <c:pt idx="43">
                  <c:v>16.549944733194835</c:v>
                </c:pt>
                <c:pt idx="44">
                  <c:v>15.26574624288833</c:v>
                </c:pt>
                <c:pt idx="45">
                  <c:v>14.088654498284566</c:v>
                </c:pt>
                <c:pt idx="46">
                  <c:v>13.001197997992136</c:v>
                </c:pt>
                <c:pt idx="47">
                  <c:v>11.989877380884836</c:v>
                </c:pt>
                <c:pt idx="48">
                  <c:v>11.044068039852055</c:v>
                </c:pt>
                <c:pt idx="49">
                  <c:v>10.155266215105513</c:v>
                </c:pt>
                <c:pt idx="50">
                  <c:v>9.3165621286388323</c:v>
                </c:pt>
                <c:pt idx="51">
                  <c:v>8.5222649243575717</c:v>
                </c:pt>
                <c:pt idx="52">
                  <c:v>7.767630777172565</c:v>
                </c:pt>
                <c:pt idx="53">
                  <c:v>7.0486623683760632</c:v>
                </c:pt>
                <c:pt idx="54">
                  <c:v>6.3619586048464285</c:v>
                </c:pt>
                <c:pt idx="55">
                  <c:v>5.7046003133028584</c:v>
                </c:pt>
                <c:pt idx="56">
                  <c:v>5.0740621055270321</c:v>
                </c:pt>
                <c:pt idx="57">
                  <c:v>4.4681435666094851</c:v>
                </c:pt>
                <c:pt idx="58">
                  <c:v>3.8849149078988887</c:v>
                </c:pt>
                <c:pt idx="59">
                  <c:v>3.322673586948075</c:v>
                </c:pt>
                <c:pt idx="60">
                  <c:v>2.7799093414990894</c:v>
                </c:pt>
                <c:pt idx="61">
                  <c:v>2.2552757500698832</c:v>
                </c:pt>
                <c:pt idx="62">
                  <c:v>1.747566906938385</c:v>
                </c:pt>
                <c:pt idx="63">
                  <c:v>1.2556981430325129</c:v>
                </c:pt>
                <c:pt idx="64">
                  <c:v>0.77868997581964439</c:v>
                </c:pt>
                <c:pt idx="65">
                  <c:v>0.31565465752044064</c:v>
                </c:pt>
                <c:pt idx="66">
                  <c:v>-0.13421516971296721</c:v>
                </c:pt>
                <c:pt idx="67">
                  <c:v>-0.57165609775972948</c:v>
                </c:pt>
                <c:pt idx="68">
                  <c:v>-0.99734216147433186</c:v>
                </c:pt>
                <c:pt idx="69">
                  <c:v>-1.4118918767062283</c:v>
                </c:pt>
                <c:pt idx="70">
                  <c:v>-1.8158743035959579</c:v>
                </c:pt>
                <c:pt idx="71">
                  <c:v>-2.2098142939102607</c:v>
                </c:pt>
                <c:pt idx="72">
                  <c:v>-2.5941970516972352</c:v>
                </c:pt>
                <c:pt idx="73">
                  <c:v>-2.9694721131652857</c:v>
                </c:pt>
                <c:pt idx="74">
                  <c:v>-3.3360568330302582</c:v>
                </c:pt>
                <c:pt idx="75">
                  <c:v>-3.6943394495886874</c:v>
                </c:pt>
                <c:pt idx="76">
                  <c:v>-4.044681788667039</c:v>
                </c:pt>
                <c:pt idx="77">
                  <c:v>-4.3874216567593001</c:v>
                </c:pt>
                <c:pt idx="78">
                  <c:v>-4.7228749656299307</c:v>
                </c:pt>
                <c:pt idx="79">
                  <c:v>-5.0513376240619916</c:v>
                </c:pt>
                <c:pt idx="80">
                  <c:v>-5.3730872269880638</c:v>
                </c:pt>
                <c:pt idx="81">
                  <c:v>-5.6883845677308633</c:v>
                </c:pt>
                <c:pt idx="82">
                  <c:v>-5.9974749953257032</c:v>
                </c:pt>
                <c:pt idx="83">
                  <c:v>-6.3005896357579037</c:v>
                </c:pt>
                <c:pt idx="84">
                  <c:v>-6.5979464933136365</c:v>
                </c:pt>
                <c:pt idx="85">
                  <c:v>-6.8897514460226885</c:v>
                </c:pt>
                <c:pt idx="86">
                  <c:v>-7.1761991472941791</c:v>
                </c:pt>
                <c:pt idx="87">
                  <c:v>-7.4574738442527622</c:v>
                </c:pt>
                <c:pt idx="88">
                  <c:v>-7.7337501219259348</c:v>
                </c:pt>
                <c:pt idx="89">
                  <c:v>-8.0051935812735646</c:v>
                </c:pt>
                <c:pt idx="90">
                  <c:v>-8.2719614580570049</c:v>
                </c:pt>
                <c:pt idx="91">
                  <c:v>-8.5342031886909524</c:v>
                </c:pt>
                <c:pt idx="92">
                  <c:v>-8.792060928484533</c:v>
                </c:pt>
                <c:pt idx="93">
                  <c:v>-9.0456700270413215</c:v>
                </c:pt>
                <c:pt idx="94">
                  <c:v>-9.2951594650358889</c:v>
                </c:pt>
                <c:pt idx="95">
                  <c:v>-9.5406522561045577</c:v>
                </c:pt>
                <c:pt idx="96">
                  <c:v>-9.7822658171699342</c:v>
                </c:pt>
                <c:pt idx="97">
                  <c:v>-10.020112310153475</c:v>
                </c:pt>
                <c:pt idx="98">
                  <c:v>-10.254298957710548</c:v>
                </c:pt>
                <c:pt idx="99">
                  <c:v>-10.484928335341836</c:v>
                </c:pt>
                <c:pt idx="100">
                  <c:v>-10.712098641988106</c:v>
                </c:pt>
                <c:pt idx="101">
                  <c:v>-10.935903950997858</c:v>
                </c:pt>
                <c:pt idx="102">
                  <c:v>-11.15643444316528</c:v>
                </c:pt>
                <c:pt idx="103">
                  <c:v>-11.373776623366009</c:v>
                </c:pt>
                <c:pt idx="104">
                  <c:v>-11.588013522167373</c:v>
                </c:pt>
                <c:pt idx="105">
                  <c:v>-11.79922488365616</c:v>
                </c:pt>
                <c:pt idx="106">
                  <c:v>-12.007487340607639</c:v>
                </c:pt>
                <c:pt idx="107">
                  <c:v>-12.212874578013519</c:v>
                </c:pt>
                <c:pt idx="108">
                  <c:v>-12.415457485891743</c:v>
                </c:pt>
                <c:pt idx="109">
                  <c:v>-12.615304302216162</c:v>
                </c:pt>
                <c:pt idx="110">
                  <c:v>-12.812480746728207</c:v>
                </c:pt>
                <c:pt idx="111">
                  <c:v>-13.007050146324611</c:v>
                </c:pt>
                <c:pt idx="112">
                  <c:v>-13.199073552653894</c:v>
                </c:pt>
                <c:pt idx="113">
                  <c:v>-13.38860985249929</c:v>
                </c:pt>
                <c:pt idx="114">
                  <c:v>-13.575715871476113</c:v>
                </c:pt>
                <c:pt idx="115">
                  <c:v>-13.760446471526773</c:v>
                </c:pt>
                <c:pt idx="116">
                  <c:v>-13.942854642656123</c:v>
                </c:pt>
                <c:pt idx="117">
                  <c:v>-14.122991589313221</c:v>
                </c:pt>
                <c:pt idx="118">
                  <c:v>-14.300906811792348</c:v>
                </c:pt>
                <c:pt idx="119">
                  <c:v>-14.47664818299601</c:v>
                </c:pt>
                <c:pt idx="120">
                  <c:v>-14.650262020875378</c:v>
                </c:pt>
                <c:pt idx="121">
                  <c:v>-14.821793156838606</c:v>
                </c:pt>
                <c:pt idx="122">
                  <c:v>-14.991285000394928</c:v>
                </c:pt>
                <c:pt idx="123">
                  <c:v>-15.158779600281791</c:v>
                </c:pt>
                <c:pt idx="124">
                  <c:v>-15.324317702303372</c:v>
                </c:pt>
                <c:pt idx="125">
                  <c:v>-15.487938804091669</c:v>
                </c:pt>
                <c:pt idx="126">
                  <c:v>-15.649681206985701</c:v>
                </c:pt>
                <c:pt idx="127">
                  <c:v>-15.809582065209732</c:v>
                </c:pt>
                <c:pt idx="128">
                  <c:v>-15.967677432518547</c:v>
                </c:pt>
                <c:pt idx="129">
                  <c:v>-16.124002306465435</c:v>
                </c:pt>
                <c:pt idx="130">
                  <c:v>-16.278590670437517</c:v>
                </c:pt>
                <c:pt idx="131">
                  <c:v>-16.431475533592973</c:v>
                </c:pt>
                <c:pt idx="132">
                  <c:v>-16.582688968825106</c:v>
                </c:pt>
                <c:pt idx="133">
                  <c:v>-16.732262148869694</c:v>
                </c:pt>
                <c:pt idx="134">
                  <c:v>-16.880225380664079</c:v>
                </c:pt>
                <c:pt idx="135">
                  <c:v>-17.026608138059082</c:v>
                </c:pt>
                <c:pt idx="136">
                  <c:v>-17.17143909297803</c:v>
                </c:pt>
                <c:pt idx="137">
                  <c:v>-17.31474614511102</c:v>
                </c:pt>
                <c:pt idx="138">
                  <c:v>-17.456556450226557</c:v>
                </c:pt>
                <c:pt idx="139">
                  <c:v>-17.596896447177631</c:v>
                </c:pt>
                <c:pt idx="140">
                  <c:v>-17.735791883673993</c:v>
                </c:pt>
                <c:pt idx="141">
                  <c:v>-17.873267840888165</c:v>
                </c:pt>
                <c:pt idx="142">
                  <c:v>-18.009348756958076</c:v>
                </c:pt>
                <c:pt idx="143">
                  <c:v>-18.144058449445609</c:v>
                </c:pt>
                <c:pt idx="144">
                  <c:v>-18.277420136806434</c:v>
                </c:pt>
                <c:pt idx="145">
                  <c:v>-18.409456458923128</c:v>
                </c:pt>
                <c:pt idx="146">
                  <c:v>-18.540189496750546</c:v>
                </c:pt>
                <c:pt idx="147">
                  <c:v>-18.669640791119257</c:v>
                </c:pt>
                <c:pt idx="148">
                  <c:v>-18.79783136074024</c:v>
                </c:pt>
                <c:pt idx="149">
                  <c:v>-18.924781719451421</c:v>
                </c:pt>
                <c:pt idx="150">
                  <c:v>-19.050511892744243</c:v>
                </c:pt>
                <c:pt idx="151">
                  <c:v>-19.17504143360626</c:v>
                </c:pt>
                <c:pt idx="152">
                  <c:v>-19.298389437713585</c:v>
                </c:pt>
                <c:pt idx="153">
                  <c:v>-19.420574558005217</c:v>
                </c:pt>
                <c:pt idx="154">
                  <c:v>-19.541615018669233</c:v>
                </c:pt>
                <c:pt idx="155">
                  <c:v>-19.661528628569435</c:v>
                </c:pt>
                <c:pt idx="156">
                  <c:v>-19.78033279413912</c:v>
                </c:pt>
                <c:pt idx="157">
                  <c:v>-19.8980445317674</c:v>
                </c:pt>
                <c:pt idx="158">
                  <c:v>-20.014680479701973</c:v>
                </c:pt>
                <c:pt idx="159">
                  <c:v>-20.130256909490981</c:v>
                </c:pt>
                <c:pt idx="160">
                  <c:v>-20.24478973698541</c:v>
                </c:pt>
                <c:pt idx="161">
                  <c:v>-20.358294532922145</c:v>
                </c:pt>
                <c:pt idx="162">
                  <c:v>-20.470786533107038</c:v>
                </c:pt>
                <c:pt idx="163">
                  <c:v>-20.582280648215946</c:v>
                </c:pt>
                <c:pt idx="164">
                  <c:v>-20.692791473231122</c:v>
                </c:pt>
                <c:pt idx="165">
                  <c:v>-20.802333296529088</c:v>
                </c:pt>
                <c:pt idx="166">
                  <c:v>-20.910920108635587</c:v>
                </c:pt>
                <c:pt idx="167">
                  <c:v>-21.018565610662201</c:v>
                </c:pt>
                <c:pt idx="168">
                  <c:v>-21.125283222438508</c:v>
                </c:pt>
                <c:pt idx="169">
                  <c:v>-21.231086090353152</c:v>
                </c:pt>
                <c:pt idx="170">
                  <c:v>-21.335987094916145</c:v>
                </c:pt>
                <c:pt idx="171">
                  <c:v>-21.439998858054466</c:v>
                </c:pt>
                <c:pt idx="172">
                  <c:v>-21.5431337501523</c:v>
                </c:pt>
                <c:pt idx="173">
                  <c:v>-21.645403896846545</c:v>
                </c:pt>
                <c:pt idx="174">
                  <c:v>-21.746821185587976</c:v>
                </c:pt>
                <c:pt idx="175">
                  <c:v>-21.847397271977723</c:v>
                </c:pt>
                <c:pt idx="176">
                  <c:v>-21.947143585888366</c:v>
                </c:pt>
                <c:pt idx="177">
                  <c:v>-22.0460713373785</c:v>
                </c:pt>
                <c:pt idx="178">
                  <c:v>-22.144191522409105</c:v>
                </c:pt>
                <c:pt idx="179">
                  <c:v>-22.241514928369842</c:v>
                </c:pt>
                <c:pt idx="180">
                  <c:v>-22.338052139422825</c:v>
                </c:pt>
                <c:pt idx="181">
                  <c:v>-22.433813541671164</c:v>
                </c:pt>
                <c:pt idx="182">
                  <c:v>-22.528809328159277</c:v>
                </c:pt>
                <c:pt idx="183">
                  <c:v>-22.623049503711542</c:v>
                </c:pt>
                <c:pt idx="184">
                  <c:v>-22.716543889615597</c:v>
                </c:pt>
                <c:pt idx="185">
                  <c:v>-22.809302128156407</c:v>
                </c:pt>
                <c:pt idx="186">
                  <c:v>-22.901333687006744</c:v>
                </c:pt>
                <c:pt idx="187">
                  <c:v>-22.992647863479693</c:v>
                </c:pt>
                <c:pt idx="188">
                  <c:v>-23.083253788648364</c:v>
                </c:pt>
                <c:pt idx="189">
                  <c:v>-23.17316043133788</c:v>
                </c:pt>
                <c:pt idx="190">
                  <c:v>-23.262376601994422</c:v>
                </c:pt>
                <c:pt idx="191">
                  <c:v>-23.350910956435943</c:v>
                </c:pt>
                <c:pt idx="192">
                  <c:v>-23.438771999488925</c:v>
                </c:pt>
                <c:pt idx="193">
                  <c:v>-23.525968088515413</c:v>
                </c:pt>
                <c:pt idx="194">
                  <c:v>-23.612507436834328</c:v>
                </c:pt>
                <c:pt idx="195">
                  <c:v>-23.698398117040888</c:v>
                </c:pt>
                <c:pt idx="196">
                  <c:v>-23.783648064227918</c:v>
                </c:pt>
                <c:pt idx="197">
                  <c:v>-23.868265079112462</c:v>
                </c:pt>
                <c:pt idx="198">
                  <c:v>-23.952256831071175</c:v>
                </c:pt>
                <c:pt idx="199">
                  <c:v>-24.035630861087679</c:v>
                </c:pt>
                <c:pt idx="200">
                  <c:v>-24.118394584615046</c:v>
                </c:pt>
                <c:pt idx="201">
                  <c:v>-24.200555294356363</c:v>
                </c:pt>
                <c:pt idx="202">
                  <c:v>-24.282120162966194</c:v>
                </c:pt>
                <c:pt idx="203">
                  <c:v>-24.363096245675798</c:v>
                </c:pt>
                <c:pt idx="204">
                  <c:v>-24.443490482844599</c:v>
                </c:pt>
                <c:pt idx="205">
                  <c:v>-24.523309702440553</c:v>
                </c:pt>
                <c:pt idx="206">
                  <c:v>-24.602560622451737</c:v>
                </c:pt>
                <c:pt idx="207">
                  <c:v>-24.681249853231584</c:v>
                </c:pt>
                <c:pt idx="208">
                  <c:v>-24.759383899779909</c:v>
                </c:pt>
                <c:pt idx="209">
                  <c:v>-24.836969163961939</c:v>
                </c:pt>
                <c:pt idx="210">
                  <c:v>-24.91401194666738</c:v>
                </c:pt>
                <c:pt idx="211">
                  <c:v>-24.990518449911555</c:v>
                </c:pt>
                <c:pt idx="212">
                  <c:v>-25.066494778880394</c:v>
                </c:pt>
                <c:pt idx="213">
                  <c:v>-25.14194694392129</c:v>
                </c:pt>
                <c:pt idx="214">
                  <c:v>-25.216880862481432</c:v>
                </c:pt>
                <c:pt idx="215">
                  <c:v>-25.291302360995367</c:v>
                </c:pt>
                <c:pt idx="216">
                  <c:v>-25.365217176723476</c:v>
                </c:pt>
                <c:pt idx="217">
                  <c:v>-25.438630959542834</c:v>
                </c:pt>
                <c:pt idx="218">
                  <c:v>-25.511549273692022</c:v>
                </c:pt>
                <c:pt idx="219">
                  <c:v>-25.583977599471339</c:v>
                </c:pt>
                <c:pt idx="220">
                  <c:v>-25.655921334899865</c:v>
                </c:pt>
                <c:pt idx="221">
                  <c:v>-25.727385797330591</c:v>
                </c:pt>
                <c:pt idx="222">
                  <c:v>-25.798376225025059</c:v>
                </c:pt>
                <c:pt idx="223">
                  <c:v>-25.868897778688677</c:v>
                </c:pt>
                <c:pt idx="224">
                  <c:v>-25.938955542967982</c:v>
                </c:pt>
                <c:pt idx="225">
                  <c:v>-26.008554527910906</c:v>
                </c:pt>
                <c:pt idx="226">
                  <c:v>-26.680363137451977</c:v>
                </c:pt>
                <c:pt idx="227">
                  <c:v>-27.311301678526398</c:v>
                </c:pt>
                <c:pt idx="228">
                  <c:v>-27.905343634960118</c:v>
                </c:pt>
                <c:pt idx="229">
                  <c:v>-28.465960244179023</c:v>
                </c:pt>
                <c:pt idx="230">
                  <c:v>-28.996198892026023</c:v>
                </c:pt>
                <c:pt idx="231">
                  <c:v>-29.498746688625623</c:v>
                </c:pt>
                <c:pt idx="232">
                  <c:v>-29.975982547318011</c:v>
                </c:pt>
                <c:pt idx="233">
                  <c:v>-30.430020231227086</c:v>
                </c:pt>
                <c:pt idx="234">
                  <c:v>-30.862744221562149</c:v>
                </c:pt>
                <c:pt idx="235">
                  <c:v>-31.275839820855602</c:v>
                </c:pt>
                <c:pt idx="236">
                  <c:v>-31.67081858155607</c:v>
                </c:pt>
                <c:pt idx="237">
                  <c:v>-32.049039911016848</c:v>
                </c:pt>
                <c:pt idx="238">
                  <c:v>-32.411729524199217</c:v>
                </c:pt>
                <c:pt idx="239">
                  <c:v>-32.759995278895232</c:v>
                </c:pt>
                <c:pt idx="240">
                  <c:v>-33.094840823420782</c:v>
                </c:pt>
                <c:pt idx="241">
                  <c:v>-33.417177405345072</c:v>
                </c:pt>
                <c:pt idx="242">
                  <c:v>-33.727834126025698</c:v>
                </c:pt>
                <c:pt idx="243">
                  <c:v>-34.027566875242471</c:v>
                </c:pt>
                <c:pt idx="244">
                  <c:v>-34.317066139938639</c:v>
                </c:pt>
                <c:pt idx="245">
                  <c:v>-34.596963848667833</c:v>
                </c:pt>
                <c:pt idx="246">
                  <c:v>-34.867839387073651</c:v>
                </c:pt>
                <c:pt idx="247">
                  <c:v>-35.130224898286592</c:v>
                </c:pt>
                <c:pt idx="248">
                  <c:v>-35.384609964510815</c:v>
                </c:pt>
                <c:pt idx="249">
                  <c:v>-35.631445751521206</c:v>
                </c:pt>
                <c:pt idx="250">
                  <c:v>-35.87114868570405</c:v>
                </c:pt>
                <c:pt idx="251">
                  <c:v>-36.104103723183989</c:v>
                </c:pt>
                <c:pt idx="252">
                  <c:v>-36.330667262118006</c:v>
                </c:pt>
                <c:pt idx="253">
                  <c:v>-36.551169742111483</c:v>
                </c:pt>
                <c:pt idx="254">
                  <c:v>-36.765917968687056</c:v>
                </c:pt>
                <c:pt idx="255">
                  <c:v>-36.975197195626123</c:v>
                </c:pt>
                <c:pt idx="256">
                  <c:v>-37.179272993651729</c:v>
                </c:pt>
                <c:pt idx="257">
                  <c:v>-37.378392930206516</c:v>
                </c:pt>
                <c:pt idx="258">
                  <c:v>-37.572788081897684</c:v>
                </c:pt>
                <c:pt idx="259">
                  <c:v>-37.762674398448581</c:v>
                </c:pt>
                <c:pt idx="260">
                  <c:v>-37.948253934644363</c:v>
                </c:pt>
                <c:pt idx="261">
                  <c:v>-38.129715964729009</c:v>
                </c:pt>
                <c:pt idx="262">
                  <c:v>-38.307237991955049</c:v>
                </c:pt>
                <c:pt idx="263">
                  <c:v>-38.480986664464936</c:v>
                </c:pt>
                <c:pt idx="264">
                  <c:v>-38.651118607360566</c:v>
                </c:pt>
                <c:pt idx="265">
                  <c:v>-38.817781179666333</c:v>
                </c:pt>
                <c:pt idx="266">
                  <c:v>-38.981113163887095</c:v>
                </c:pt>
                <c:pt idx="267">
                  <c:v>-39.141245394985255</c:v>
                </c:pt>
                <c:pt idx="268">
                  <c:v>-39.298301334833447</c:v>
                </c:pt>
                <c:pt idx="269">
                  <c:v>-39.452397597525945</c:v>
                </c:pt>
                <c:pt idx="270">
                  <c:v>-39.603644430340729</c:v>
                </c:pt>
                <c:pt idx="271">
                  <c:v>-39.752146154624093</c:v>
                </c:pt>
                <c:pt idx="272">
                  <c:v>-39.898001570411225</c:v>
                </c:pt>
                <c:pt idx="273">
                  <c:v>-40.041304328191963</c:v>
                </c:pt>
                <c:pt idx="274">
                  <c:v>-40.182143270873453</c:v>
                </c:pt>
                <c:pt idx="275">
                  <c:v>-40.320602748675171</c:v>
                </c:pt>
                <c:pt idx="276">
                  <c:v>-40.456762909411445</c:v>
                </c:pt>
                <c:pt idx="277">
                  <c:v>-40.590699966367872</c:v>
                </c:pt>
                <c:pt idx="278">
                  <c:v>-40.722486445756722</c:v>
                </c:pt>
                <c:pt idx="279">
                  <c:v>-40.852191415539977</c:v>
                </c:pt>
                <c:pt idx="280">
                  <c:v>-40.979880697232986</c:v>
                </c:pt>
                <c:pt idx="281">
                  <c:v>-41.105617062145548</c:v>
                </c:pt>
                <c:pt idx="282">
                  <c:v>-41.229460413377325</c:v>
                </c:pt>
                <c:pt idx="283">
                  <c:v>-41.351467954759464</c:v>
                </c:pt>
                <c:pt idx="284">
                  <c:v>-41.471694347822741</c:v>
                </c:pt>
                <c:pt idx="285">
                  <c:v>-41.5901918577716</c:v>
                </c:pt>
                <c:pt idx="286">
                  <c:v>-41.707010489353905</c:v>
                </c:pt>
                <c:pt idx="287">
                  <c:v>-41.822198113435071</c:v>
                </c:pt>
                <c:pt idx="288">
                  <c:v>-41.935800585012409</c:v>
                </c:pt>
                <c:pt idx="289">
                  <c:v>-42.047861853339953</c:v>
                </c:pt>
                <c:pt idx="290">
                  <c:v>-42.158424064774998</c:v>
                </c:pt>
                <c:pt idx="291">
                  <c:v>-42.267527658904136</c:v>
                </c:pt>
                <c:pt idx="292">
                  <c:v>-42.375211458458431</c:v>
                </c:pt>
                <c:pt idx="293">
                  <c:v>-42.481512753483571</c:v>
                </c:pt>
                <c:pt idx="294">
                  <c:v>-42.58646738019182</c:v>
                </c:pt>
                <c:pt idx="295">
                  <c:v>-42.690109794886126</c:v>
                </c:pt>
                <c:pt idx="296">
                  <c:v>-42.792473143315071</c:v>
                </c:pt>
                <c:pt idx="297">
                  <c:v>-42.893589325787275</c:v>
                </c:pt>
                <c:pt idx="298">
                  <c:v>-42.993489058347294</c:v>
                </c:pt>
                <c:pt idx="299">
                  <c:v>-43.092201930290919</c:v>
                </c:pt>
                <c:pt idx="300">
                  <c:v>-43.18975645827517</c:v>
                </c:pt>
                <c:pt idx="301">
                  <c:v>-43.286180137258398</c:v>
                </c:pt>
                <c:pt idx="302">
                  <c:v>-43.381499488487393</c:v>
                </c:pt>
                <c:pt idx="303">
                  <c:v>-43.475740104731486</c:v>
                </c:pt>
                <c:pt idx="304">
                  <c:v>-43.568926692948303</c:v>
                </c:pt>
                <c:pt idx="305">
                  <c:v>-43.661083114551786</c:v>
                </c:pt>
                <c:pt idx="306">
                  <c:v>-43.752232423440191</c:v>
                </c:pt>
                <c:pt idx="307">
                  <c:v>-43.842396901930023</c:v>
                </c:pt>
                <c:pt idx="308">
                  <c:v>-43.931598094730944</c:v>
                </c:pt>
                <c:pt idx="309">
                  <c:v>-44.019856841086956</c:v>
                </c:pt>
                <c:pt idx="310">
                  <c:v>-44.107193305199822</c:v>
                </c:pt>
                <c:pt idx="311">
                  <c:v>-44.19362700504265</c:v>
                </c:pt>
                <c:pt idx="312">
                  <c:v>-44.279176839663364</c:v>
                </c:pt>
                <c:pt idx="313">
                  <c:v>-44.363861115071394</c:v>
                </c:pt>
                <c:pt idx="314">
                  <c:v>-44.447697568793537</c:v>
                </c:pt>
                <c:pt idx="315">
                  <c:v>-44.530703393179905</c:v>
                </c:pt>
                <c:pt idx="316">
                  <c:v>-44.612895257534404</c:v>
                </c:pt>
                <c:pt idx="317">
                  <c:v>-44.6942893291397</c:v>
                </c:pt>
                <c:pt idx="318">
                  <c:v>-44.774901293241633</c:v>
                </c:pt>
                <c:pt idx="319">
                  <c:v>-44.854746372053818</c:v>
                </c:pt>
                <c:pt idx="320">
                  <c:v>-44.933839342838851</c:v>
                </c:pt>
                <c:pt idx="321">
                  <c:v>-45.012194555119208</c:v>
                </c:pt>
                <c:pt idx="322">
                  <c:v>-45.089825947067041</c:v>
                </c:pt>
                <c:pt idx="323">
                  <c:v>-45.16674706111931</c:v>
                </c:pt>
                <c:pt idx="324">
                  <c:v>-45.242971058861201</c:v>
                </c:pt>
                <c:pt idx="325">
                  <c:v>-45.31851073521851</c:v>
                </c:pt>
                <c:pt idx="326">
                  <c:v>-45.393378531996788</c:v>
                </c:pt>
                <c:pt idx="327">
                  <c:v>-45.467586550802764</c:v>
                </c:pt>
                <c:pt idx="328">
                  <c:v>-45.541146565381432</c:v>
                </c:pt>
                <c:pt idx="329">
                  <c:v>-45.614070033399926</c:v>
                </c:pt>
                <c:pt idx="330">
                  <c:v>-45.686368107707622</c:v>
                </c:pt>
                <c:pt idx="331">
                  <c:v>-45.758051647099961</c:v>
                </c:pt>
                <c:pt idx="332">
                  <c:v>-45.829131226611828</c:v>
                </c:pt>
                <c:pt idx="333">
                  <c:v>-45.899617147364978</c:v>
                </c:pt>
                <c:pt idx="334">
                  <c:v>-45.969519445992191</c:v>
                </c:pt>
                <c:pt idx="335">
                  <c:v>-46.038847903659843</c:v>
                </c:pt>
                <c:pt idx="336">
                  <c:v>-46.107612054709136</c:v>
                </c:pt>
                <c:pt idx="337">
                  <c:v>-46.175821194935097</c:v>
                </c:pt>
                <c:pt idx="338">
                  <c:v>-46.243484389521257</c:v>
                </c:pt>
                <c:pt idx="339">
                  <c:v>-46.310610480647121</c:v>
                </c:pt>
                <c:pt idx="340">
                  <c:v>-46.377208094784415</c:v>
                </c:pt>
                <c:pt idx="341">
                  <c:v>-46.443285649697046</c:v>
                </c:pt>
                <c:pt idx="342">
                  <c:v>-46.508851361159323</c:v>
                </c:pt>
                <c:pt idx="343">
                  <c:v>-46.57391324940572</c:v>
                </c:pt>
                <c:pt idx="344">
                  <c:v>-46.638479145324887</c:v>
                </c:pt>
                <c:pt idx="345">
                  <c:v>-46.70255669641017</c:v>
                </c:pt>
                <c:pt idx="346">
                  <c:v>-46.766153372477717</c:v>
                </c:pt>
                <c:pt idx="347">
                  <c:v>-46.82927647116324</c:v>
                </c:pt>
                <c:pt idx="348">
                  <c:v>-46.89193312320738</c:v>
                </c:pt>
                <c:pt idx="349">
                  <c:v>-46.954130297539479</c:v>
                </c:pt>
                <c:pt idx="350">
                  <c:v>-47.015874806168945</c:v>
                </c:pt>
                <c:pt idx="351">
                  <c:v>-47.07717330889264</c:v>
                </c:pt>
                <c:pt idx="352">
                  <c:v>-47.13803231782677</c:v>
                </c:pt>
                <c:pt idx="353">
                  <c:v>-47.198458201770976</c:v>
                </c:pt>
                <c:pt idx="354">
                  <c:v>-47.25845719041196</c:v>
                </c:pt>
                <c:pt idx="355">
                  <c:v>-47.318035378373729</c:v>
                </c:pt>
                <c:pt idx="356">
                  <c:v>-47.377198729121147</c:v>
                </c:pt>
                <c:pt idx="357">
                  <c:v>-47.435953078722989</c:v>
                </c:pt>
                <c:pt idx="358">
                  <c:v>-47.494304139480725</c:v>
                </c:pt>
                <c:pt idx="359">
                  <c:v>-47.552257503428564</c:v>
                </c:pt>
                <c:pt idx="360">
                  <c:v>-47.609818645710256</c:v>
                </c:pt>
                <c:pt idx="361">
                  <c:v>-47.666992927837839</c:v>
                </c:pt>
                <c:pt idx="362">
                  <c:v>-47.723785600837296</c:v>
                </c:pt>
                <c:pt idx="363">
                  <c:v>-47.780201808285625</c:v>
                </c:pt>
                <c:pt idx="364">
                  <c:v>-47.83624658924402</c:v>
                </c:pt>
                <c:pt idx="365">
                  <c:v>-47.891924881091242</c:v>
                </c:pt>
                <c:pt idx="366">
                  <c:v>-47.947241522261294</c:v>
                </c:pt>
                <c:pt idx="367">
                  <c:v>-48.002201254889187</c:v>
                </c:pt>
                <c:pt idx="368">
                  <c:v>-48.056808727368612</c:v>
                </c:pt>
                <c:pt idx="369">
                  <c:v>-48.111068496824856</c:v>
                </c:pt>
                <c:pt idx="370">
                  <c:v>-48.164985031506482</c:v>
                </c:pt>
                <c:pt idx="371">
                  <c:v>-48.218562713098734</c:v>
                </c:pt>
                <c:pt idx="372">
                  <c:v>-48.27180583896201</c:v>
                </c:pt>
                <c:pt idx="373">
                  <c:v>-48.324718624298022</c:v>
                </c:pt>
                <c:pt idx="374">
                  <c:v>-48.377305204246646</c:v>
                </c:pt>
                <c:pt idx="375">
                  <c:v>-48.429569635915954</c:v>
                </c:pt>
                <c:pt idx="376">
                  <c:v>-48.481515900348086</c:v>
                </c:pt>
                <c:pt idx="377">
                  <c:v>-48.53314790442333</c:v>
                </c:pt>
                <c:pt idx="378">
                  <c:v>-48.584469482704698</c:v>
                </c:pt>
                <c:pt idx="379">
                  <c:v>-48.635484399225312</c:v>
                </c:pt>
                <c:pt idx="380">
                  <c:v>-48.686196349220594</c:v>
                </c:pt>
                <c:pt idx="381">
                  <c:v>-48.736608960807466</c:v>
                </c:pt>
                <c:pt idx="382">
                  <c:v>-48.786725796612288</c:v>
                </c:pt>
                <c:pt idx="383">
                  <c:v>-48.836550355349601</c:v>
                </c:pt>
                <c:pt idx="384">
                  <c:v>-48.886086073353269</c:v>
                </c:pt>
                <c:pt idx="385">
                  <c:v>-48.935336326061957</c:v>
                </c:pt>
                <c:pt idx="386">
                  <c:v>-48.98430442946033</c:v>
                </c:pt>
                <c:pt idx="387">
                  <c:v>-49.032993641477759</c:v>
                </c:pt>
                <c:pt idx="388">
                  <c:v>-49.081407163345823</c:v>
                </c:pt>
                <c:pt idx="389">
                  <c:v>-49.129548140916313</c:v>
                </c:pt>
                <c:pt idx="390">
                  <c:v>-49.177419665940924</c:v>
                </c:pt>
                <c:pt idx="391">
                  <c:v>-49.225024777313919</c:v>
                </c:pt>
                <c:pt idx="392">
                  <c:v>-49.272366462279308</c:v>
                </c:pt>
                <c:pt idx="393">
                  <c:v>-49.319447657603497</c:v>
                </c:pt>
                <c:pt idx="394">
                  <c:v>-49.366271250714703</c:v>
                </c:pt>
                <c:pt idx="395">
                  <c:v>-49.412840080810213</c:v>
                </c:pt>
                <c:pt idx="396">
                  <c:v>-49.459156939932683</c:v>
                </c:pt>
                <c:pt idx="397">
                  <c:v>-49.505224574016317</c:v>
                </c:pt>
                <c:pt idx="398">
                  <c:v>-49.551045683904164</c:v>
                </c:pt>
                <c:pt idx="399">
                  <c:v>-49.596622926337261</c:v>
                </c:pt>
                <c:pt idx="400">
                  <c:v>-49.641958914916799</c:v>
                </c:pt>
                <c:pt idx="401">
                  <c:v>-49.687056221039931</c:v>
                </c:pt>
                <c:pt idx="402">
                  <c:v>-49.731917374810273</c:v>
                </c:pt>
                <c:pt idx="403">
                  <c:v>-49.77654486592386</c:v>
                </c:pt>
                <c:pt idx="404">
                  <c:v>-49.820941144531368</c:v>
                </c:pt>
                <c:pt idx="405">
                  <c:v>-49.865108622077273</c:v>
                </c:pt>
                <c:pt idx="406">
                  <c:v>-49.909049672116836</c:v>
                </c:pt>
                <c:pt idx="407">
                  <c:v>-49.952766631111494</c:v>
                </c:pt>
                <c:pt idx="408">
                  <c:v>-49.996261799203374</c:v>
                </c:pt>
                <c:pt idx="409">
                  <c:v>-50.039537440969625</c:v>
                </c:pt>
                <c:pt idx="410">
                  <c:v>-50.082595786157157</c:v>
                </c:pt>
                <c:pt idx="411">
                  <c:v>-50.125439030398383</c:v>
                </c:pt>
                <c:pt idx="412">
                  <c:v>-50.168069335908598</c:v>
                </c:pt>
                <c:pt idx="413">
                  <c:v>-50.210488832165545</c:v>
                </c:pt>
                <c:pt idx="414">
                  <c:v>-50.252699616571675</c:v>
                </c:pt>
                <c:pt idx="415">
                  <c:v>-50.294703755099704</c:v>
                </c:pt>
                <c:pt idx="416">
                  <c:v>-50.336503282921889</c:v>
                </c:pt>
                <c:pt idx="417">
                  <c:v>-50.378100205023522</c:v>
                </c:pt>
                <c:pt idx="418">
                  <c:v>-50.419496496801273</c:v>
                </c:pt>
                <c:pt idx="419">
                  <c:v>-50.460694104646535</c:v>
                </c:pt>
                <c:pt idx="420">
                  <c:v>-50.501694946514526</c:v>
                </c:pt>
                <c:pt idx="421">
                  <c:v>-50.542500912479383</c:v>
                </c:pt>
                <c:pt idx="422">
                  <c:v>-50.583113865275664</c:v>
                </c:pt>
                <c:pt idx="423">
                  <c:v>-50.623535640826759</c:v>
                </c:pt>
                <c:pt idx="424">
                  <c:v>-50.663768048760517</c:v>
                </c:pt>
                <c:pt idx="425">
                  <c:v>-50.703812872912486</c:v>
                </c:pt>
                <c:pt idx="426">
                  <c:v>-50.743671871817014</c:v>
                </c:pt>
                <c:pt idx="427">
                  <c:v>-50.783346779186836</c:v>
                </c:pt>
                <c:pt idx="428">
                  <c:v>-50.822839304381105</c:v>
                </c:pt>
                <c:pt idx="429">
                  <c:v>-50.862151132862522</c:v>
                </c:pt>
                <c:pt idx="430">
                  <c:v>-50.901283926643679</c:v>
                </c:pt>
                <c:pt idx="431">
                  <c:v>-50.940239324722938</c:v>
                </c:pt>
                <c:pt idx="432">
                  <c:v>-50.979018943510312</c:v>
                </c:pt>
                <c:pt idx="433">
                  <c:v>-51.017624377243294</c:v>
                </c:pt>
                <c:pt idx="434">
                  <c:v>-51.056057198393326</c:v>
                </c:pt>
                <c:pt idx="435">
                  <c:v>-51.094318958062743</c:v>
                </c:pt>
                <c:pt idx="436">
                  <c:v>-51.132411186372835</c:v>
                </c:pt>
                <c:pt idx="437">
                  <c:v>-51.170335392842993</c:v>
                </c:pt>
                <c:pt idx="438">
                  <c:v>-51.2080930667613</c:v>
                </c:pt>
                <c:pt idx="439">
                  <c:v>-51.245685677546852</c:v>
                </c:pt>
                <c:pt idx="440">
                  <c:v>-51.283114675103846</c:v>
                </c:pt>
                <c:pt idx="441">
                  <c:v>-51.320381490167868</c:v>
                </c:pt>
                <c:pt idx="442">
                  <c:v>-51.357487534644505</c:v>
                </c:pt>
                <c:pt idx="443">
                  <c:v>-51.394434201940385</c:v>
                </c:pt>
                <c:pt idx="444">
                  <c:v>-51.431222867286984</c:v>
                </c:pt>
                <c:pt idx="445">
                  <c:v>-51.467854888057431</c:v>
                </c:pt>
                <c:pt idx="446">
                  <c:v>-51.504331604076214</c:v>
                </c:pt>
                <c:pt idx="447">
                  <c:v>-51.540654337922376</c:v>
                </c:pt>
                <c:pt idx="448">
                  <c:v>-51.576824395225998</c:v>
                </c:pt>
                <c:pt idx="449">
                  <c:v>-51.612843064958405</c:v>
                </c:pt>
                <c:pt idx="450">
                  <c:v>-51.648711619716103</c:v>
                </c:pt>
                <c:pt idx="451">
                  <c:v>-51.684431315998687</c:v>
                </c:pt>
                <c:pt idx="452">
                  <c:v>-51.720003394480855</c:v>
                </c:pt>
                <c:pt idx="453">
                  <c:v>-51.755429080278617</c:v>
                </c:pt>
                <c:pt idx="454">
                  <c:v>-51.790709583210024</c:v>
                </c:pt>
                <c:pt idx="455">
                  <c:v>-51.825846098050256</c:v>
                </c:pt>
                <c:pt idx="456">
                  <c:v>-51.860839804781577</c:v>
                </c:pt>
                <c:pt idx="457">
                  <c:v>-51.895691868837915</c:v>
                </c:pt>
                <c:pt idx="458">
                  <c:v>-51.930403441344588</c:v>
                </c:pt>
                <c:pt idx="459">
                  <c:v>-51.964975659352852</c:v>
                </c:pt>
                <c:pt idx="460">
                  <c:v>-51.999409646069815</c:v>
                </c:pt>
                <c:pt idx="461">
                  <c:v>-52.033706511083643</c:v>
                </c:pt>
                <c:pt idx="462">
                  <c:v>-52.067867350584038</c:v>
                </c:pt>
                <c:pt idx="463">
                  <c:v>-52.101893247578452</c:v>
                </c:pt>
                <c:pt idx="464">
                  <c:v>-52.135785272103746</c:v>
                </c:pt>
                <c:pt idx="465">
                  <c:v>-52.169544481433789</c:v>
                </c:pt>
                <c:pt idx="466">
                  <c:v>-52.203171920282692</c:v>
                </c:pt>
                <c:pt idx="467">
                  <c:v>-52.236668621004185</c:v>
                </c:pt>
                <c:pt idx="468">
                  <c:v>-52.270035603786901</c:v>
                </c:pt>
                <c:pt idx="469">
                  <c:v>-52.303273876845857</c:v>
                </c:pt>
                <c:pt idx="470">
                  <c:v>-52.336384436610189</c:v>
                </c:pt>
                <c:pt idx="471">
                  <c:v>-52.369368267907142</c:v>
                </c:pt>
                <c:pt idx="472">
                  <c:v>-52.402226344142512</c:v>
                </c:pt>
                <c:pt idx="473">
                  <c:v>-52.434959627477546</c:v>
                </c:pt>
                <c:pt idx="474">
                  <c:v>-52.467569069002458</c:v>
                </c:pt>
                <c:pt idx="475">
                  <c:v>-52.500055608906564</c:v>
                </c:pt>
                <c:pt idx="476">
                  <c:v>-52.532420176645118</c:v>
                </c:pt>
                <c:pt idx="477">
                  <c:v>-52.564663691103036</c:v>
                </c:pt>
                <c:pt idx="478">
                  <c:v>-52.596787060755418</c:v>
                </c:pt>
                <c:pt idx="479">
                  <c:v>-52.628791183825079</c:v>
                </c:pt>
                <c:pt idx="480">
                  <c:v>-52.660676948437015</c:v>
                </c:pt>
                <c:pt idx="481">
                  <c:v>-52.692445232770069</c:v>
                </c:pt>
                <c:pt idx="482">
                  <c:v>-52.724096905205656</c:v>
                </c:pt>
                <c:pt idx="483">
                  <c:v>-52.755632824473757</c:v>
                </c:pt>
                <c:pt idx="484">
                  <c:v>-52.787053839796165</c:v>
                </c:pt>
                <c:pt idx="485">
                  <c:v>-52.818360791027096</c:v>
                </c:pt>
                <c:pt idx="486">
                  <c:v>-52.849554508791137</c:v>
                </c:pt>
                <c:pt idx="487">
                  <c:v>-52.88063581461877</c:v>
                </c:pt>
                <c:pt idx="488">
                  <c:v>-52.911605521079295</c:v>
                </c:pt>
                <c:pt idx="489">
                  <c:v>-52.942464431911347</c:v>
                </c:pt>
                <c:pt idx="490">
                  <c:v>-52.973213342151112</c:v>
                </c:pt>
                <c:pt idx="491">
                  <c:v>-53.003853038258065</c:v>
                </c:pt>
                <c:pt idx="492">
                  <c:v>-53.034384298238628</c:v>
                </c:pt>
                <c:pt idx="493">
                  <c:v>-53.064807891767394</c:v>
                </c:pt>
                <c:pt idx="494">
                  <c:v>-53.095124580306376</c:v>
                </c:pt>
                <c:pt idx="495">
                  <c:v>-53.125335117221901</c:v>
                </c:pt>
                <c:pt idx="496">
                  <c:v>-53.155440247899662</c:v>
                </c:pt>
                <c:pt idx="497">
                  <c:v>-53.185440709857545</c:v>
                </c:pt>
                <c:pt idx="498">
                  <c:v>-53.215337232856506</c:v>
                </c:pt>
                <c:pt idx="499">
                  <c:v>-53.245130539009573</c:v>
                </c:pt>
                <c:pt idx="500">
                  <c:v>-53.274821342888785</c:v>
                </c:pt>
                <c:pt idx="501">
                  <c:v>-53.304410351630395</c:v>
                </c:pt>
                <c:pt idx="502">
                  <c:v>-53.333898265038194</c:v>
                </c:pt>
                <c:pt idx="503">
                  <c:v>-53.363285775685007</c:v>
                </c:pt>
                <c:pt idx="504">
                  <c:v>-53.392573569012434</c:v>
                </c:pt>
                <c:pt idx="505">
                  <c:v>-53.421762323428943</c:v>
                </c:pt>
                <c:pt idx="506">
                  <c:v>-53.450852710406174</c:v>
                </c:pt>
                <c:pt idx="507">
                  <c:v>-53.479845394573672</c:v>
                </c:pt>
                <c:pt idx="508">
                  <c:v>-53.508741033811951</c:v>
                </c:pt>
                <c:pt idx="509">
                  <c:v>-53.537540279344043</c:v>
                </c:pt>
                <c:pt idx="510">
                  <c:v>-53.56624377582537</c:v>
                </c:pt>
                <c:pt idx="511">
                  <c:v>-53.594852161432215</c:v>
                </c:pt>
                <c:pt idx="512">
                  <c:v>-53.623366067948702</c:v>
                </c:pt>
                <c:pt idx="513">
                  <c:v>-53.651786120852194</c:v>
                </c:pt>
                <c:pt idx="514">
                  <c:v>-53.680112939397389</c:v>
                </c:pt>
                <c:pt idx="515">
                  <c:v>-53.708347136699004</c:v>
                </c:pt>
                <c:pt idx="516">
                  <c:v>-53.736489319812947</c:v>
                </c:pt>
                <c:pt idx="517">
                  <c:v>-53.764540089816386</c:v>
                </c:pt>
                <c:pt idx="518">
                  <c:v>-53.792500041886228</c:v>
                </c:pt>
                <c:pt idx="519">
                  <c:v>-53.820369765376519</c:v>
                </c:pt>
                <c:pt idx="520">
                  <c:v>-53.84814984389449</c:v>
                </c:pt>
                <c:pt idx="521">
                  <c:v>-53.875840855375316</c:v>
                </c:pt>
                <c:pt idx="522">
                  <c:v>-53.903443372155763</c:v>
                </c:pt>
                <c:pt idx="523">
                  <c:v>-53.930957961046559</c:v>
                </c:pt>
                <c:pt idx="524">
                  <c:v>-53.958385183403621</c:v>
                </c:pt>
                <c:pt idx="525">
                  <c:v>-53.985725595198126</c:v>
                </c:pt>
                <c:pt idx="526">
                  <c:v>-54.012979747085467</c:v>
                </c:pt>
                <c:pt idx="527">
                  <c:v>-54.040148184473111</c:v>
                </c:pt>
                <c:pt idx="528">
                  <c:v>-54.067231447587353</c:v>
                </c:pt>
                <c:pt idx="529">
                  <c:v>-54.094230071539009</c:v>
                </c:pt>
                <c:pt idx="530">
                  <c:v>-54.121144586388084</c:v>
                </c:pt>
                <c:pt idx="531">
                  <c:v>-54.147975517207421</c:v>
                </c:pt>
                <c:pt idx="532">
                  <c:v>-54.17472338414531</c:v>
                </c:pt>
                <c:pt idx="533">
                  <c:v>-54.201388702487144</c:v>
                </c:pt>
                <c:pt idx="534">
                  <c:v>-54.227971982716134</c:v>
                </c:pt>
                <c:pt idx="535">
                  <c:v>-54.254473730572997</c:v>
                </c:pt>
                <c:pt idx="536">
                  <c:v>-54.280894447114804</c:v>
                </c:pt>
                <c:pt idx="537">
                  <c:v>-54.307234628772854</c:v>
                </c:pt>
                <c:pt idx="538">
                  <c:v>-54.33349476740969</c:v>
                </c:pt>
                <c:pt idx="539">
                  <c:v>-54.359675350375205</c:v>
                </c:pt>
                <c:pt idx="540">
                  <c:v>-54.385776860561919</c:v>
                </c:pt>
                <c:pt idx="541">
                  <c:v>-54.411799776459375</c:v>
                </c:pt>
                <c:pt idx="542">
                  <c:v>-54.437744572207755</c:v>
                </c:pt>
                <c:pt idx="543">
                  <c:v>-54.463611717650586</c:v>
                </c:pt>
                <c:pt idx="544">
                  <c:v>-54.489401678386777</c:v>
                </c:pt>
                <c:pt idx="545">
                  <c:v>-54.515114915821755</c:v>
                </c:pt>
                <c:pt idx="546">
                  <c:v>-54.540751887217887</c:v>
                </c:pt>
                <c:pt idx="547">
                  <c:v>-54.566313045744124</c:v>
                </c:pt>
                <c:pt idx="548">
                  <c:v>-54.591798840524916</c:v>
                </c:pt>
                <c:pt idx="549">
                  <c:v>-54.617209716688393</c:v>
                </c:pt>
                <c:pt idx="550">
                  <c:v>-54.642546115413808</c:v>
                </c:pt>
                <c:pt idx="551">
                  <c:v>-54.66780847397829</c:v>
                </c:pt>
                <c:pt idx="552">
                  <c:v>-54.692997225802941</c:v>
                </c:pt>
                <c:pt idx="553">
                  <c:v>-54.71811280049814</c:v>
                </c:pt>
                <c:pt idx="554">
                  <c:v>-54.743155623908358</c:v>
                </c:pt>
                <c:pt idx="555">
                  <c:v>-54.768126118156133</c:v>
                </c:pt>
                <c:pt idx="556">
                  <c:v>-54.793024701685496</c:v>
                </c:pt>
                <c:pt idx="557">
                  <c:v>-54.817851789304804</c:v>
                </c:pt>
                <c:pt idx="558">
                  <c:v>-54.842607792228819</c:v>
                </c:pt>
                <c:pt idx="559">
                  <c:v>-54.86729311812033</c:v>
                </c:pt>
                <c:pt idx="560">
                  <c:v>-54.891908171131014</c:v>
                </c:pt>
                <c:pt idx="561">
                  <c:v>-54.916453351941868</c:v>
                </c:pt>
                <c:pt idx="562">
                  <c:v>-54.940929057802961</c:v>
                </c:pt>
                <c:pt idx="563">
                  <c:v>-54.965335682572594</c:v>
                </c:pt>
                <c:pt idx="564">
                  <c:v>-54.989673616756008</c:v>
                </c:pt>
                <c:pt idx="565">
                  <c:v>-55.01394324754343</c:v>
                </c:pt>
                <c:pt idx="566">
                  <c:v>-55.038144958847667</c:v>
                </c:pt>
                <c:pt idx="567">
                  <c:v>-55.062279131341072</c:v>
                </c:pt>
                <c:pt idx="568">
                  <c:v>-55.086346142492097</c:v>
                </c:pt>
                <c:pt idx="569">
                  <c:v>-55.110346366601242</c:v>
                </c:pt>
                <c:pt idx="570">
                  <c:v>-55.134280174836555</c:v>
                </c:pt>
                <c:pt idx="571">
                  <c:v>-55.15814793526858</c:v>
                </c:pt>
                <c:pt idx="572">
                  <c:v>-55.181950012904892</c:v>
                </c:pt>
                <c:pt idx="573">
                  <c:v>-55.205686769724068</c:v>
                </c:pt>
                <c:pt idx="574">
                  <c:v>-55.229358564709266</c:v>
                </c:pt>
                <c:pt idx="575">
                  <c:v>-55.252965753881263</c:v>
                </c:pt>
                <c:pt idx="576">
                  <c:v>-55.276508690331106</c:v>
                </c:pt>
                <c:pt idx="577">
                  <c:v>-55.299987724252262</c:v>
                </c:pt>
                <c:pt idx="578">
                  <c:v>-55.323403202972337</c:v>
                </c:pt>
                <c:pt idx="579">
                  <c:v>-55.346755470984405</c:v>
                </c:pt>
                <c:pt idx="580">
                  <c:v>-55.370044869977832</c:v>
                </c:pt>
                <c:pt idx="581">
                  <c:v>-55.393271738868776</c:v>
                </c:pt>
                <c:pt idx="582">
                  <c:v>-55.416436413830148</c:v>
                </c:pt>
                <c:pt idx="583">
                  <c:v>-55.439539228321294</c:v>
                </c:pt>
                <c:pt idx="584">
                  <c:v>-55.462580513117189</c:v>
                </c:pt>
                <c:pt idx="585">
                  <c:v>-55.485560596337308</c:v>
                </c:pt>
                <c:pt idx="586">
                  <c:v>-55.508479803473996</c:v>
                </c:pt>
                <c:pt idx="587">
                  <c:v>-55.531338457420645</c:v>
                </c:pt>
                <c:pt idx="588">
                  <c:v>-55.554136878499271</c:v>
                </c:pt>
                <c:pt idx="589">
                  <c:v>-55.576875384487892</c:v>
                </c:pt>
                <c:pt idx="590">
                  <c:v>-55.599554290647461</c:v>
                </c:pt>
                <c:pt idx="591">
                  <c:v>-55.622173909748518</c:v>
                </c:pt>
                <c:pt idx="592">
                  <c:v>-55.644734552097347</c:v>
                </c:pt>
                <c:pt idx="593">
                  <c:v>-55.667236525561975</c:v>
                </c:pt>
                <c:pt idx="594">
                  <c:v>-55.689680135597648</c:v>
                </c:pt>
                <c:pt idx="595">
                  <c:v>-55.712065685272151</c:v>
                </c:pt>
                <c:pt idx="596">
                  <c:v>-55.734393475290595</c:v>
                </c:pt>
                <c:pt idx="597">
                  <c:v>-55.756663804020079</c:v>
                </c:pt>
                <c:pt idx="598">
                  <c:v>-55.778876967513909</c:v>
                </c:pt>
                <c:pt idx="599">
                  <c:v>-55.801033259535544</c:v>
                </c:pt>
                <c:pt idx="600">
                  <c:v>-55.823132971582197</c:v>
                </c:pt>
                <c:pt idx="601">
                  <c:v>-55.845176392908193</c:v>
                </c:pt>
                <c:pt idx="602">
                  <c:v>-55.867163810547986</c:v>
                </c:pt>
                <c:pt idx="603">
                  <c:v>-55.889095509338873</c:v>
                </c:pt>
                <c:pt idx="604">
                  <c:v>-55.91097177194343</c:v>
                </c:pt>
                <c:pt idx="605">
                  <c:v>-55.932792878871695</c:v>
                </c:pt>
                <c:pt idx="606">
                  <c:v>-56.959156349145353</c:v>
                </c:pt>
                <c:pt idx="607">
                  <c:v>-57.876677486068061</c:v>
                </c:pt>
                <c:pt idx="608">
                  <c:v>-58.706286530289901</c:v>
                </c:pt>
                <c:pt idx="609">
                  <c:v>-59.463393300918426</c:v>
                </c:pt>
                <c:pt idx="610">
                  <c:v>-60.159675082626158</c:v>
                </c:pt>
                <c:pt idx="611">
                  <c:v>-60.804193861623084</c:v>
                </c:pt>
                <c:pt idx="612">
                  <c:v>-61.404124100586124</c:v>
                </c:pt>
                <c:pt idx="613">
                  <c:v>-61.965243533159686</c:v>
                </c:pt>
                <c:pt idx="614">
                  <c:v>-62.492274009074706</c:v>
                </c:pt>
                <c:pt idx="615">
                  <c:v>-62.989124249742886</c:v>
                </c:pt>
                <c:pt idx="616">
                  <c:v>-63.459066572876957</c:v>
                </c:pt>
                <c:pt idx="617">
                  <c:v>-63.90486804325284</c:v>
                </c:pt>
                <c:pt idx="618">
                  <c:v>-64.076969816254575</c:v>
                </c:pt>
                <c:pt idx="619">
                  <c:v>-64.245725888179948</c:v>
                </c:pt>
                <c:pt idx="620">
                  <c:v>-64.411263931796029</c:v>
                </c:pt>
                <c:pt idx="621">
                  <c:v>-64.573704444850875</c:v>
                </c:pt>
                <c:pt idx="622">
                  <c:v>-64.73316127808927</c:v>
                </c:pt>
                <c:pt idx="623">
                  <c:v>-64.889742115551172</c:v>
                </c:pt>
                <c:pt idx="624">
                  <c:v>-65.043548912238535</c:v>
                </c:pt>
                <c:pt idx="625">
                  <c:v>-65.194678293613634</c:v>
                </c:pt>
                <c:pt idx="626">
                  <c:v>-65.343221920856777</c:v>
                </c:pt>
                <c:pt idx="627">
                  <c:v>-65.48926682534713</c:v>
                </c:pt>
                <c:pt idx="628">
                  <c:v>-65.632895715428248</c:v>
                </c:pt>
                <c:pt idx="629">
                  <c:v>-65.774187258170102</c:v>
                </c:pt>
                <c:pt idx="630">
                  <c:v>-65.913216338535179</c:v>
                </c:pt>
                <c:pt idx="631">
                  <c:v>-66.05005429808935</c:v>
                </c:pt>
                <c:pt idx="632">
                  <c:v>-66.184769155165469</c:v>
                </c:pt>
                <c:pt idx="633">
                  <c:v>-66.317425808183287</c:v>
                </c:pt>
                <c:pt idx="634">
                  <c:v>-66.448086223649085</c:v>
                </c:pt>
                <c:pt idx="635">
                  <c:v>-66.576809610200286</c:v>
                </c:pt>
                <c:pt idx="636">
                  <c:v>-66.703652579920231</c:v>
                </c:pt>
                <c:pt idx="637">
                  <c:v>-66.82866929802465</c:v>
                </c:pt>
                <c:pt idx="638">
                  <c:v>-66.951911621911776</c:v>
                </c:pt>
                <c:pt idx="639">
                  <c:v>-67.073429230470467</c:v>
                </c:pt>
                <c:pt idx="640">
                  <c:v>-67.193269744454398</c:v>
                </c:pt>
                <c:pt idx="641">
                  <c:v>-67.311478838653144</c:v>
                </c:pt>
                <c:pt idx="642">
                  <c:v>-67.428100346522001</c:v>
                </c:pt>
                <c:pt idx="643">
                  <c:v>-67.543176357871204</c:v>
                </c:pt>
                <c:pt idx="644">
                  <c:v>-67.656747310159773</c:v>
                </c:pt>
                <c:pt idx="645">
                  <c:v>-67.76885207389013</c:v>
                </c:pt>
                <c:pt idx="646">
                  <c:v>-67.879528032555243</c:v>
                </c:pt>
                <c:pt idx="647">
                  <c:v>-67.988811157549918</c:v>
                </c:pt>
                <c:pt idx="648">
                  <c:v>-68.096736078422595</c:v>
                </c:pt>
                <c:pt idx="649">
                  <c:v>-68.203336148810919</c:v>
                </c:pt>
                <c:pt idx="650">
                  <c:v>-68.308643508375695</c:v>
                </c:pt>
                <c:pt idx="651">
                  <c:v>-68.41268914102109</c:v>
                </c:pt>
                <c:pt idx="652">
                  <c:v>-68.515502929665445</c:v>
                </c:pt>
                <c:pt idx="653">
                  <c:v>-68.617113707804776</c:v>
                </c:pt>
                <c:pt idx="654">
                  <c:v>-68.717549308092018</c:v>
                </c:pt>
                <c:pt idx="655">
                  <c:v>-68.816836608136924</c:v>
                </c:pt>
                <c:pt idx="656">
                  <c:v>-68.915001573715131</c:v>
                </c:pt>
                <c:pt idx="657">
                  <c:v>-69.012069299560665</c:v>
                </c:pt>
                <c:pt idx="658">
                  <c:v>-69.108064047901863</c:v>
                </c:pt>
                <c:pt idx="659">
                  <c:v>-69.203009284889291</c:v>
                </c:pt>
                <c:pt idx="660">
                  <c:v>-69.296927715052391</c:v>
                </c:pt>
                <c:pt idx="661">
                  <c:v>-69.389841313911433</c:v>
                </c:pt>
                <c:pt idx="662">
                  <c:v>-69.481771358862233</c:v>
                </c:pt>
                <c:pt idx="663">
                  <c:v>-69.57273845844216</c:v>
                </c:pt>
                <c:pt idx="664">
                  <c:v>-69.662762580078223</c:v>
                </c:pt>
                <c:pt idx="665">
                  <c:v>-69.751863076410785</c:v>
                </c:pt>
                <c:pt idx="666">
                  <c:v>-69.840058710279621</c:v>
                </c:pt>
                <c:pt idx="667">
                  <c:v>-69.927367678453464</c:v>
                </c:pt>
              </c:numCache>
            </c:numRef>
          </c:yVal>
          <c:smooth val="1"/>
          <c:extLst>
            <c:ext xmlns:c16="http://schemas.microsoft.com/office/drawing/2014/chart" uri="{C3380CC4-5D6E-409C-BE32-E72D297353CC}">
              <c16:uniqueId val="{00000000-2DBB-4F72-B5DF-A436F54D08AE}"/>
            </c:ext>
          </c:extLst>
        </c:ser>
        <c:dLbls>
          <c:showLegendKey val="0"/>
          <c:showVal val="0"/>
          <c:showCatName val="0"/>
          <c:showSerName val="0"/>
          <c:showPercent val="0"/>
          <c:showBubbleSize val="0"/>
        </c:dLbls>
        <c:axId val="176896640"/>
        <c:axId val="176898816"/>
      </c:scatterChart>
      <c:scatterChart>
        <c:scatterStyle val="lineMarker"/>
        <c:varyColors val="0"/>
        <c:ser>
          <c:idx val="3"/>
          <c:order val="1"/>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Calculations'!$BN$9:$BN$676</c:f>
              <c:numCache>
                <c:formatCode>General</c:formatCode>
                <c:ptCount val="668"/>
                <c:pt idx="0">
                  <c:v>-3.3521234168612467E-3</c:v>
                </c:pt>
                <c:pt idx="1">
                  <c:v>-6.7042476903579609E-3</c:v>
                </c:pt>
                <c:pt idx="2">
                  <c:v>-1.0056373677126217E-2</c:v>
                </c:pt>
                <c:pt idx="3">
                  <c:v>-1.3408502233803323E-2</c:v>
                </c:pt>
                <c:pt idx="4">
                  <c:v>-1.6760634217028423E-2</c:v>
                </c:pt>
                <c:pt idx="5">
                  <c:v>-2.0112770483443117E-2</c:v>
                </c:pt>
                <c:pt idx="6">
                  <c:v>-2.3464911889692072E-2</c:v>
                </c:pt>
                <c:pt idx="7">
                  <c:v>-2.6817059292423624E-2</c:v>
                </c:pt>
                <c:pt idx="8">
                  <c:v>-3.0169213548290427E-2</c:v>
                </c:pt>
                <c:pt idx="9">
                  <c:v>-3.3521375513950014E-2</c:v>
                </c:pt>
                <c:pt idx="10">
                  <c:v>-6.7043607678545475E-2</c:v>
                </c:pt>
                <c:pt idx="11">
                  <c:v>-0.10056755320576762</c:v>
                </c:pt>
                <c:pt idx="12">
                  <c:v>-0.13409406893027789</c:v>
                </c:pt>
                <c:pt idx="13">
                  <c:v>-0.1676240118707803</c:v>
                </c:pt>
                <c:pt idx="14">
                  <c:v>-0.20115823929141005</c:v>
                </c:pt>
                <c:pt idx="15">
                  <c:v>-0.23469760876315723</c:v>
                </c:pt>
                <c:pt idx="16">
                  <c:v>-0.26824297822533522</c:v>
                </c:pt>
                <c:pt idx="17">
                  <c:v>-0.30179520604710136</c:v>
                </c:pt>
                <c:pt idx="18">
                  <c:v>-0.33535515108904002</c:v>
                </c:pt>
                <c:pt idx="19">
                  <c:v>-0.67156847301656675</c:v>
                </c:pt>
                <c:pt idx="20">
                  <c:v>-1.009504299380386</c:v>
                </c:pt>
                <c:pt idx="21">
                  <c:v>-1.3500393782945983</c:v>
                </c:pt>
                <c:pt idx="22">
                  <c:v>-1.6940693042348642</c:v>
                </c:pt>
                <c:pt idx="23">
                  <c:v>-2.0425152253189123</c:v>
                </c:pt>
                <c:pt idx="24">
                  <c:v>-2.3963309279326235</c:v>
                </c:pt>
                <c:pt idx="25">
                  <c:v>-2.7565104097058675</c:v>
                </c:pt>
                <c:pt idx="26">
                  <c:v>-3.1240960637792528</c:v>
                </c:pt>
                <c:pt idx="27">
                  <c:v>-3.5001876124987832</c:v>
                </c:pt>
                <c:pt idx="28">
                  <c:v>-5.5520761580669067</c:v>
                </c:pt>
                <c:pt idx="29">
                  <c:v>-8.0356632036955702</c:v>
                </c:pt>
                <c:pt idx="30">
                  <c:v>-11.243539218877673</c:v>
                </c:pt>
                <c:pt idx="31">
                  <c:v>-15.686983590664161</c:v>
                </c:pt>
                <c:pt idx="32">
                  <c:v>-22.348303295096343</c:v>
                </c:pt>
                <c:pt idx="33">
                  <c:v>-33.25614854669508</c:v>
                </c:pt>
                <c:pt idx="34">
                  <c:v>-52.346391606805362</c:v>
                </c:pt>
                <c:pt idx="35">
                  <c:v>-82.441877760423623</c:v>
                </c:pt>
                <c:pt idx="36">
                  <c:v>-112.64620431646505</c:v>
                </c:pt>
                <c:pt idx="37">
                  <c:v>-131.83296881305537</c:v>
                </c:pt>
                <c:pt idx="38">
                  <c:v>-142.70979057080632</c:v>
                </c:pt>
                <c:pt idx="39">
                  <c:v>-149.23914036953863</c:v>
                </c:pt>
                <c:pt idx="40">
                  <c:v>-153.46772157182198</c:v>
                </c:pt>
                <c:pt idx="41">
                  <c:v>-156.38049998245353</c:v>
                </c:pt>
                <c:pt idx="42">
                  <c:v>-158.48224735369243</c:v>
                </c:pt>
                <c:pt idx="43">
                  <c:v>-160.05211894703567</c:v>
                </c:pt>
                <c:pt idx="44">
                  <c:v>-161.25529268114499</c:v>
                </c:pt>
                <c:pt idx="45">
                  <c:v>-162.19519573036143</c:v>
                </c:pt>
                <c:pt idx="46">
                  <c:v>-162.93970428145127</c:v>
                </c:pt>
                <c:pt idx="47">
                  <c:v>-163.53514443151295</c:v>
                </c:pt>
                <c:pt idx="48">
                  <c:v>-164.01419593343374</c:v>
                </c:pt>
                <c:pt idx="49">
                  <c:v>-164.40056941368604</c:v>
                </c:pt>
                <c:pt idx="50">
                  <c:v>-164.71188893545681</c:v>
                </c:pt>
                <c:pt idx="51">
                  <c:v>-164.9615321157776</c:v>
                </c:pt>
                <c:pt idx="52">
                  <c:v>-165.15984137485285</c:v>
                </c:pt>
                <c:pt idx="53">
                  <c:v>-165.31494300627449</c:v>
                </c:pt>
                <c:pt idx="54">
                  <c:v>-165.43331439981918</c:v>
                </c:pt>
                <c:pt idx="55">
                  <c:v>-165.52018526991966</c:v>
                </c:pt>
                <c:pt idx="56">
                  <c:v>-165.57982690316015</c:v>
                </c:pt>
                <c:pt idx="57">
                  <c:v>-165.61576426904392</c:v>
                </c:pt>
                <c:pt idx="58">
                  <c:v>-165.63093398542492</c:v>
                </c:pt>
                <c:pt idx="59">
                  <c:v>-165.62780362220724</c:v>
                </c:pt>
                <c:pt idx="60">
                  <c:v>-165.60846296623106</c:v>
                </c:pt>
                <c:pt idx="61">
                  <c:v>-165.57469466004636</c:v>
                </c:pt>
                <c:pt idx="62">
                  <c:v>-165.52802946812966</c:v>
                </c:pt>
                <c:pt idx="63">
                  <c:v>-165.4697899473997</c:v>
                </c:pt>
                <c:pt idx="64">
                  <c:v>-165.40112527326426</c:v>
                </c:pt>
                <c:pt idx="65">
                  <c:v>-165.32303924988821</c:v>
                </c:pt>
                <c:pt idx="66">
                  <c:v>-165.23641301759704</c:v>
                </c:pt>
                <c:pt idx="67">
                  <c:v>-165.14202359761504</c:v>
                </c:pt>
                <c:pt idx="68">
                  <c:v>-165.04055914191207</c:v>
                </c:pt>
                <c:pt idx="69">
                  <c:v>-164.93263155467943</c:v>
                </c:pt>
                <c:pt idx="70">
                  <c:v>-164.81878700179331</c:v>
                </c:pt>
                <c:pt idx="71">
                  <c:v>-164.69951471152882</c:v>
                </c:pt>
                <c:pt idx="72">
                  <c:v>-164.57525438385741</c:v>
                </c:pt>
                <c:pt idx="73">
                  <c:v>-164.44640245983391</c:v>
                </c:pt>
                <c:pt idx="74">
                  <c:v>-164.31331745175169</c:v>
                </c:pt>
                <c:pt idx="75">
                  <c:v>-164.1763244952117</c:v>
                </c:pt>
                <c:pt idx="76">
                  <c:v>-164.03571925329172</c:v>
                </c:pt>
                <c:pt idx="77">
                  <c:v>-163.89177127858741</c:v>
                </c:pt>
                <c:pt idx="78">
                  <c:v>-163.74472691953346</c:v>
                </c:pt>
                <c:pt idx="79">
                  <c:v>-163.59481184195494</c:v>
                </c:pt>
                <c:pt idx="80">
                  <c:v>-163.44223322439498</c:v>
                </c:pt>
                <c:pt idx="81">
                  <c:v>-163.2871816757542</c:v>
                </c:pt>
                <c:pt idx="82">
                  <c:v>-163.12983291565786</c:v>
                </c:pt>
                <c:pt idx="83">
                  <c:v>-162.97034925134977</c:v>
                </c:pt>
                <c:pt idx="84">
                  <c:v>-162.80888087949302</c:v>
                </c:pt>
                <c:pt idx="85">
                  <c:v>-162.6455670367985</c:v>
                </c:pt>
                <c:pt idx="86">
                  <c:v>-162.48053701972199</c:v>
                </c:pt>
                <c:pt idx="87">
                  <c:v>-162.31391109041456</c:v>
                </c:pt>
                <c:pt idx="88">
                  <c:v>-162.14580128356846</c:v>
                </c:pt>
                <c:pt idx="89">
                  <c:v>-161.97631212667358</c:v>
                </c:pt>
                <c:pt idx="90">
                  <c:v>-161.80554128441767</c:v>
                </c:pt>
                <c:pt idx="91">
                  <c:v>-161.63358013645907</c:v>
                </c:pt>
                <c:pt idx="92">
                  <c:v>-161.46051429653539</c:v>
                </c:pt>
                <c:pt idx="93">
                  <c:v>-161.2864240797949</c:v>
                </c:pt>
                <c:pt idx="94">
                  <c:v>-161.11138492432349</c:v>
                </c:pt>
                <c:pt idx="95">
                  <c:v>-160.93546777206362</c:v>
                </c:pt>
                <c:pt idx="96">
                  <c:v>-160.7587394136518</c:v>
                </c:pt>
                <c:pt idx="97">
                  <c:v>-160.58126280113368</c:v>
                </c:pt>
                <c:pt idx="98">
                  <c:v>-160.40309733202247</c:v>
                </c:pt>
                <c:pt idx="99">
                  <c:v>-160.22429910774474</c:v>
                </c:pt>
                <c:pt idx="100">
                  <c:v>-160.04492116915037</c:v>
                </c:pt>
                <c:pt idx="101">
                  <c:v>-159.86501371144814</c:v>
                </c:pt>
                <c:pt idx="102">
                  <c:v>-159.6846242806528</c:v>
                </c:pt>
                <c:pt idx="103">
                  <c:v>-159.50379795338935</c:v>
                </c:pt>
                <c:pt idx="104">
                  <c:v>-159.32257750169305</c:v>
                </c:pt>
                <c:pt idx="105">
                  <c:v>-159.14100354425983</c:v>
                </c:pt>
                <c:pt idx="106">
                  <c:v>-158.95911468544227</c:v>
                </c:pt>
                <c:pt idx="107">
                  <c:v>-158.77694764314685</c:v>
                </c:pt>
                <c:pt idx="108">
                  <c:v>-158.59453736666356</c:v>
                </c:pt>
                <c:pt idx="109">
                  <c:v>-158.41191714535157</c:v>
                </c:pt>
                <c:pt idx="110">
                  <c:v>-158.22911870900799</c:v>
                </c:pt>
                <c:pt idx="111">
                  <c:v>-158.04617232066167</c:v>
                </c:pt>
                <c:pt idx="112">
                  <c:v>-157.86310686246034</c:v>
                </c:pt>
                <c:pt idx="113">
                  <c:v>-157.67994991525086</c:v>
                </c:pt>
                <c:pt idx="114">
                  <c:v>-157.49672783239481</c:v>
                </c:pt>
                <c:pt idx="115">
                  <c:v>-157.31346580830777</c:v>
                </c:pt>
                <c:pt idx="116">
                  <c:v>-157.13018794216447</c:v>
                </c:pt>
                <c:pt idx="117">
                  <c:v>-156.94691729716939</c:v>
                </c:pt>
                <c:pt idx="118">
                  <c:v>-156.76367595575559</c:v>
                </c:pt>
                <c:pt idx="119">
                  <c:v>-156.5804850710403</c:v>
                </c:pt>
                <c:pt idx="120">
                  <c:v>-156.39736491483615</c:v>
                </c:pt>
                <c:pt idx="121">
                  <c:v>-156.2143349224896</c:v>
                </c:pt>
                <c:pt idx="122">
                  <c:v>-156.03141373479443</c:v>
                </c:pt>
                <c:pt idx="123">
                  <c:v>-155.84861923720496</c:v>
                </c:pt>
                <c:pt idx="124">
                  <c:v>-155.6659685965557</c:v>
                </c:pt>
                <c:pt idx="125">
                  <c:v>-155.48347829547484</c:v>
                </c:pt>
                <c:pt idx="126">
                  <c:v>-155.30116416466399</c:v>
                </c:pt>
                <c:pt idx="127">
                  <c:v>-155.11904141320073</c:v>
                </c:pt>
                <c:pt idx="128">
                  <c:v>-154.93712465700949</c:v>
                </c:pt>
                <c:pt idx="129">
                  <c:v>-154.75542794563165</c:v>
                </c:pt>
                <c:pt idx="130">
                  <c:v>-154.57396478741725</c:v>
                </c:pt>
                <c:pt idx="131">
                  <c:v>-154.39274817324949</c:v>
                </c:pt>
                <c:pt idx="132">
                  <c:v>-154.21179059890486</c:v>
                </c:pt>
                <c:pt idx="133">
                  <c:v>-154.03110408614282</c:v>
                </c:pt>
                <c:pt idx="134">
                  <c:v>-153.85070020261301</c:v>
                </c:pt>
                <c:pt idx="135">
                  <c:v>-153.67059008065925</c:v>
                </c:pt>
                <c:pt idx="136">
                  <c:v>-153.49078443509515</c:v>
                </c:pt>
                <c:pt idx="137">
                  <c:v>-153.31129358001928</c:v>
                </c:pt>
                <c:pt idx="138">
                  <c:v>-153.1321274447331</c:v>
                </c:pt>
                <c:pt idx="139">
                  <c:v>-152.95329558882065</c:v>
                </c:pt>
                <c:pt idx="140">
                  <c:v>-152.77480721644341</c:v>
                </c:pt>
                <c:pt idx="141">
                  <c:v>-152.59667118990086</c:v>
                </c:pt>
                <c:pt idx="142">
                  <c:v>-152.41889604250346</c:v>
                </c:pt>
                <c:pt idx="143">
                  <c:v>-152.24148999080055</c:v>
                </c:pt>
                <c:pt idx="144">
                  <c:v>-152.06446094620355</c:v>
                </c:pt>
                <c:pt idx="145">
                  <c:v>-151.8878165260422</c:v>
                </c:pt>
                <c:pt idx="146">
                  <c:v>-151.71156406408673</c:v>
                </c:pt>
                <c:pt idx="147">
                  <c:v>-151.53571062057057</c:v>
                </c:pt>
                <c:pt idx="148">
                  <c:v>-151.36026299174088</c:v>
                </c:pt>
                <c:pt idx="149">
                  <c:v>-151.18522771896701</c:v>
                </c:pt>
                <c:pt idx="150">
                  <c:v>-151.01061109743154</c:v>
                </c:pt>
                <c:pt idx="151">
                  <c:v>-150.83641918442825</c:v>
                </c:pt>
                <c:pt idx="152">
                  <c:v>-150.66265780729026</c:v>
                </c:pt>
                <c:pt idx="153">
                  <c:v>-150.48933257096874</c:v>
                </c:pt>
                <c:pt idx="154">
                  <c:v>-150.31644886528233</c:v>
                </c:pt>
                <c:pt idx="155">
                  <c:v>-150.14401187185524</c:v>
                </c:pt>
                <c:pt idx="156">
                  <c:v>-149.97202657076184</c:v>
                </c:pt>
                <c:pt idx="157">
                  <c:v>-149.80049774689317</c:v>
                </c:pt>
                <c:pt idx="158">
                  <c:v>-149.62942999606116</c:v>
                </c:pt>
                <c:pt idx="159">
                  <c:v>-149.45882773085395</c:v>
                </c:pt>
                <c:pt idx="160">
                  <c:v>-149.28869518625609</c:v>
                </c:pt>
                <c:pt idx="161">
                  <c:v>-149.11903642504575</c:v>
                </c:pt>
                <c:pt idx="162">
                  <c:v>-148.94985534298078</c:v>
                </c:pt>
                <c:pt idx="163">
                  <c:v>-148.7811556737843</c:v>
                </c:pt>
                <c:pt idx="164">
                  <c:v>-148.61294099393993</c:v>
                </c:pt>
                <c:pt idx="165">
                  <c:v>-148.44521472730722</c:v>
                </c:pt>
                <c:pt idx="166">
                  <c:v>-148.27798014956494</c:v>
                </c:pt>
                <c:pt idx="167">
                  <c:v>-148.11124039249171</c:v>
                </c:pt>
                <c:pt idx="168">
                  <c:v>-147.94499844809181</c:v>
                </c:pt>
                <c:pt idx="169">
                  <c:v>-147.77925717257344</c:v>
                </c:pt>
                <c:pt idx="170">
                  <c:v>-147.61401929018675</c:v>
                </c:pt>
                <c:pt idx="171">
                  <c:v>-147.44928739692824</c:v>
                </c:pt>
                <c:pt idx="172">
                  <c:v>-147.28506396411763</c:v>
                </c:pt>
                <c:pt idx="173">
                  <c:v>-147.12135134185385</c:v>
                </c:pt>
                <c:pt idx="174">
                  <c:v>-146.95815176235456</c:v>
                </c:pt>
                <c:pt idx="175">
                  <c:v>-146.79546734318555</c:v>
                </c:pt>
                <c:pt idx="176">
                  <c:v>-146.63330009038469</c:v>
                </c:pt>
                <c:pt idx="177">
                  <c:v>-146.47165190148468</c:v>
                </c:pt>
                <c:pt idx="178">
                  <c:v>-146.31052456843949</c:v>
                </c:pt>
                <c:pt idx="179">
                  <c:v>-146.1499197804593</c:v>
                </c:pt>
                <c:pt idx="180">
                  <c:v>-145.98983912675592</c:v>
                </c:pt>
                <c:pt idx="181">
                  <c:v>-145.83028409920513</c:v>
                </c:pt>
                <c:pt idx="182">
                  <c:v>-145.6712560949272</c:v>
                </c:pt>
                <c:pt idx="183">
                  <c:v>-145.5127564187903</c:v>
                </c:pt>
                <c:pt idx="184">
                  <c:v>-145.35478628583959</c:v>
                </c:pt>
                <c:pt idx="185">
                  <c:v>-145.1973468236547</c:v>
                </c:pt>
                <c:pt idx="186">
                  <c:v>-145.04043907463921</c:v>
                </c:pt>
                <c:pt idx="187">
                  <c:v>-144.88406399824405</c:v>
                </c:pt>
                <c:pt idx="188">
                  <c:v>-144.72822247312806</c:v>
                </c:pt>
                <c:pt idx="189">
                  <c:v>-144.57291529925752</c:v>
                </c:pt>
                <c:pt idx="190">
                  <c:v>-144.41814319994762</c:v>
                </c:pt>
                <c:pt idx="191">
                  <c:v>-144.26390682384763</c:v>
                </c:pt>
                <c:pt idx="192">
                  <c:v>-144.11020674687217</c:v>
                </c:pt>
                <c:pt idx="193">
                  <c:v>-143.95704347408</c:v>
                </c:pt>
                <c:pt idx="194">
                  <c:v>-143.80441744150323</c:v>
                </c:pt>
                <c:pt idx="195">
                  <c:v>-143.65232901792777</c:v>
                </c:pt>
                <c:pt idx="196">
                  <c:v>-143.50077850662717</c:v>
                </c:pt>
                <c:pt idx="197">
                  <c:v>-143.34976614705172</c:v>
                </c:pt>
                <c:pt idx="198">
                  <c:v>-143.19929211647386</c:v>
                </c:pt>
                <c:pt idx="199">
                  <c:v>-143.0493565315916</c:v>
                </c:pt>
                <c:pt idx="200">
                  <c:v>-142.89995945009179</c:v>
                </c:pt>
                <c:pt idx="201">
                  <c:v>-142.75110087217354</c:v>
                </c:pt>
                <c:pt idx="202">
                  <c:v>-142.6027807420347</c:v>
                </c:pt>
                <c:pt idx="203">
                  <c:v>-142.45499894932058</c:v>
                </c:pt>
                <c:pt idx="204">
                  <c:v>-142.30775533053816</c:v>
                </c:pt>
                <c:pt idx="205">
                  <c:v>-142.16104967043529</c:v>
                </c:pt>
                <c:pt idx="206">
                  <c:v>-142.01488170334699</c:v>
                </c:pt>
                <c:pt idx="207">
                  <c:v>-141.8692511145093</c:v>
                </c:pt>
                <c:pt idx="208">
                  <c:v>-141.72415754134215</c:v>
                </c:pt>
                <c:pt idx="209">
                  <c:v>-141.57960057470137</c:v>
                </c:pt>
                <c:pt idx="210">
                  <c:v>-141.435579760102</c:v>
                </c:pt>
                <c:pt idx="211">
                  <c:v>-141.2920945989124</c:v>
                </c:pt>
                <c:pt idx="212">
                  <c:v>-141.14914454952111</c:v>
                </c:pt>
                <c:pt idx="213">
                  <c:v>-141.00672902847657</c:v>
                </c:pt>
                <c:pt idx="214">
                  <c:v>-140.86484741160069</c:v>
                </c:pt>
                <c:pt idx="215">
                  <c:v>-140.72349903507723</c:v>
                </c:pt>
                <c:pt idx="216">
                  <c:v>-140.58268319651484</c:v>
                </c:pt>
                <c:pt idx="217">
                  <c:v>-140.44239915598715</c:v>
                </c:pt>
                <c:pt idx="218">
                  <c:v>-140.30264613704827</c:v>
                </c:pt>
                <c:pt idx="219">
                  <c:v>-140.16342332772635</c:v>
                </c:pt>
                <c:pt idx="220">
                  <c:v>-140.02472988149464</c:v>
                </c:pt>
                <c:pt idx="221">
                  <c:v>-139.88656491822121</c:v>
                </c:pt>
                <c:pt idx="222">
                  <c:v>-139.74892752509729</c:v>
                </c:pt>
                <c:pt idx="223">
                  <c:v>-139.61181675754545</c:v>
                </c:pt>
                <c:pt idx="224">
                  <c:v>-139.47523164010775</c:v>
                </c:pt>
                <c:pt idx="225">
                  <c:v>-139.33917116731433</c:v>
                </c:pt>
                <c:pt idx="226">
                  <c:v>-138.00718087993013</c:v>
                </c:pt>
                <c:pt idx="227">
                  <c:v>-136.72635667721784</c:v>
                </c:pt>
                <c:pt idx="228">
                  <c:v>-135.49531524315418</c:v>
                </c:pt>
                <c:pt idx="229">
                  <c:v>-134.31252139794509</c:v>
                </c:pt>
                <c:pt idx="230">
                  <c:v>-133.17633639213503</c:v>
                </c:pt>
                <c:pt idx="231">
                  <c:v>-132.08505672232482</c:v>
                </c:pt>
                <c:pt idx="232">
                  <c:v>-131.03694518298948</c:v>
                </c:pt>
                <c:pt idx="233">
                  <c:v>-130.03025553212245</c:v>
                </c:pt>
                <c:pt idx="234">
                  <c:v>-129.06325189630363</c:v>
                </c:pt>
                <c:pt idx="235">
                  <c:v>-128.13422384487112</c:v>
                </c:pt>
                <c:pt idx="236">
                  <c:v>-127.241497906063</c:v>
                </c:pt>
                <c:pt idx="237">
                  <c:v>-126.38344616973555</c:v>
                </c:pt>
                <c:pt idx="238">
                  <c:v>-125.55849251480862</c:v>
                </c:pt>
                <c:pt idx="239">
                  <c:v>-124.76511691043005</c:v>
                </c:pt>
                <c:pt idx="240">
                  <c:v>-124.00185816481519</c:v>
                </c:pt>
                <c:pt idx="241">
                  <c:v>-123.26731543244478</c:v>
                </c:pt>
                <c:pt idx="242">
                  <c:v>-122.56014873695293</c:v>
                </c:pt>
                <c:pt idx="243">
                  <c:v>-121.87907872210744</c:v>
                </c:pt>
                <c:pt idx="244">
                  <c:v>-121.22288580552741</c:v>
                </c:pt>
                <c:pt idx="245">
                  <c:v>-120.59040887813758</c:v>
                </c:pt>
                <c:pt idx="246">
                  <c:v>-119.98054366590385</c:v>
                </c:pt>
                <c:pt idx="247">
                  <c:v>-119.39224084835509</c:v>
                </c:pt>
                <c:pt idx="248">
                  <c:v>-118.82450401008201</c:v>
                </c:pt>
                <c:pt idx="249">
                  <c:v>-118.27638748624143</c:v>
                </c:pt>
                <c:pt idx="250">
                  <c:v>-117.74699415057817</c:v>
                </c:pt>
                <c:pt idx="251">
                  <c:v>-117.23547318417812</c:v>
                </c:pt>
                <c:pt idx="252">
                  <c:v>-116.74101785472652</c:v>
                </c:pt>
                <c:pt idx="253">
                  <c:v>-116.26286332914989</c:v>
                </c:pt>
                <c:pt idx="254">
                  <c:v>-115.80028453691162</c:v>
                </c:pt>
                <c:pt idx="255">
                  <c:v>-115.35259409668717</c:v>
                </c:pt>
                <c:pt idx="256">
                  <c:v>-114.91914031548521</c:v>
                </c:pt>
                <c:pt idx="257">
                  <c:v>-114.49930526634348</c:v>
                </c:pt>
                <c:pt idx="258">
                  <c:v>-114.09250294839279</c:v>
                </c:pt>
                <c:pt idx="259">
                  <c:v>-113.69817753123424</c:v>
                </c:pt>
                <c:pt idx="260">
                  <c:v>-113.31580168412937</c:v>
                </c:pt>
                <c:pt idx="261">
                  <c:v>-112.94487498938294</c:v>
                </c:pt>
                <c:pt idx="262">
                  <c:v>-112.58492243844474</c:v>
                </c:pt>
                <c:pt idx="263">
                  <c:v>-112.23549300861799</c:v>
                </c:pt>
                <c:pt idx="264">
                  <c:v>-111.89615831779628</c:v>
                </c:pt>
                <c:pt idx="265">
                  <c:v>-111.56651135432519</c:v>
                </c:pt>
                <c:pt idx="266">
                  <c:v>-111.24616527886889</c:v>
                </c:pt>
                <c:pt idx="267">
                  <c:v>-110.93475229503521</c:v>
                </c:pt>
                <c:pt idx="268">
                  <c:v>-110.63192258545388</c:v>
                </c:pt>
                <c:pt idx="269">
                  <c:v>-110.33734330999845</c:v>
                </c:pt>
                <c:pt idx="270">
                  <c:v>-110.05069766287961</c:v>
                </c:pt>
                <c:pt idx="271">
                  <c:v>-109.77168398540553</c:v>
                </c:pt>
                <c:pt idx="272">
                  <c:v>-109.50001493129628</c:v>
                </c:pt>
                <c:pt idx="273">
                  <c:v>-109.23541668154789</c:v>
                </c:pt>
                <c:pt idx="274">
                  <c:v>-108.97762820596046</c:v>
                </c:pt>
                <c:pt idx="275">
                  <c:v>-108.72640056857202</c:v>
                </c:pt>
                <c:pt idx="276">
                  <c:v>-108.48149627437043</c:v>
                </c:pt>
                <c:pt idx="277">
                  <c:v>-108.2426886547874</c:v>
                </c:pt>
                <c:pt idx="278">
                  <c:v>-108.00976128961108</c:v>
                </c:pt>
                <c:pt idx="279">
                  <c:v>-107.78250746308272</c:v>
                </c:pt>
                <c:pt idx="280">
                  <c:v>-107.56072965206897</c:v>
                </c:pt>
                <c:pt idx="281">
                  <c:v>-107.34423904432484</c:v>
                </c:pt>
                <c:pt idx="282">
                  <c:v>-107.13285508497867</c:v>
                </c:pt>
                <c:pt idx="283">
                  <c:v>-106.92640504948467</c:v>
                </c:pt>
                <c:pt idx="284">
                  <c:v>-106.72472364139422</c:v>
                </c:pt>
                <c:pt idx="285">
                  <c:v>-106.5276526134017</c:v>
                </c:pt>
                <c:pt idx="286">
                  <c:v>-106.33504041021504</c:v>
                </c:pt>
                <c:pt idx="287">
                  <c:v>-106.14674183189445</c:v>
                </c:pt>
                <c:pt idx="288">
                  <c:v>-105.96261771638778</c:v>
                </c:pt>
                <c:pt idx="289">
                  <c:v>-105.78253464007341</c:v>
                </c:pt>
                <c:pt idx="290">
                  <c:v>-105.60636463519687</c:v>
                </c:pt>
                <c:pt idx="291">
                  <c:v>-105.4339849231596</c:v>
                </c:pt>
                <c:pt idx="292">
                  <c:v>-105.26527766268575</c:v>
                </c:pt>
                <c:pt idx="293">
                  <c:v>-105.10012971195484</c:v>
                </c:pt>
                <c:pt idx="294">
                  <c:v>-104.93843240384881</c:v>
                </c:pt>
                <c:pt idx="295">
                  <c:v>-104.78008133351499</c:v>
                </c:pt>
                <c:pt idx="296">
                  <c:v>-104.62497615749992</c:v>
                </c:pt>
                <c:pt idx="297">
                  <c:v>-104.47302040375627</c:v>
                </c:pt>
                <c:pt idx="298">
                  <c:v>-104.32412129186999</c:v>
                </c:pt>
                <c:pt idx="299">
                  <c:v>-104.17818956289722</c:v>
                </c:pt>
                <c:pt idx="300">
                  <c:v>-104.0351393182398</c:v>
                </c:pt>
                <c:pt idx="301">
                  <c:v>-103.89488786702418</c:v>
                </c:pt>
                <c:pt idx="302">
                  <c:v>-103.75735558148372</c:v>
                </c:pt>
                <c:pt idx="303">
                  <c:v>-103.62246575987531</c:v>
                </c:pt>
                <c:pt idx="304">
                  <c:v>-103.49014449649133</c:v>
                </c:pt>
                <c:pt idx="305">
                  <c:v>-103.36032055835645</c:v>
                </c:pt>
                <c:pt idx="306">
                  <c:v>-103.23292526822335</c:v>
                </c:pt>
                <c:pt idx="307">
                  <c:v>-103.10789239350683</c:v>
                </c:pt>
                <c:pt idx="308">
                  <c:v>-102.98515804081772</c:v>
                </c:pt>
                <c:pt idx="309">
                  <c:v>-102.86466055577918</c:v>
                </c:pt>
                <c:pt idx="310">
                  <c:v>-102.74634042782829</c:v>
                </c:pt>
                <c:pt idx="311">
                  <c:v>-102.63014019972256</c:v>
                </c:pt>
                <c:pt idx="312">
                  <c:v>-102.51600438149067</c:v>
                </c:pt>
                <c:pt idx="313">
                  <c:v>-102.40387936858016</c:v>
                </c:pt>
                <c:pt idx="314">
                  <c:v>-102.29371336397185</c:v>
                </c:pt>
                <c:pt idx="315">
                  <c:v>-102.18545630404316</c:v>
                </c:pt>
                <c:pt idx="316">
                  <c:v>-102.07905978797726</c:v>
                </c:pt>
                <c:pt idx="317">
                  <c:v>-101.97447701052556</c:v>
                </c:pt>
                <c:pt idx="318">
                  <c:v>-101.87166269794335</c:v>
                </c:pt>
                <c:pt idx="319">
                  <c:v>-101.77057304692951</c:v>
                </c:pt>
                <c:pt idx="320">
                  <c:v>-101.67116566641018</c:v>
                </c:pt>
                <c:pt idx="321">
                  <c:v>-101.57339952201627</c:v>
                </c:pt>
                <c:pt idx="322">
                  <c:v>-101.47723488311382</c:v>
                </c:pt>
                <c:pt idx="323">
                  <c:v>-101.38263327225359</c:v>
                </c:pt>
                <c:pt idx="324">
                  <c:v>-101.28955741691441</c:v>
                </c:pt>
                <c:pt idx="325">
                  <c:v>-101.19797120342258</c:v>
                </c:pt>
                <c:pt idx="326">
                  <c:v>-101.10783963293501</c:v>
                </c:pt>
                <c:pt idx="327">
                  <c:v>-101.01912877938172</c:v>
                </c:pt>
                <c:pt idx="328">
                  <c:v>-100.93180574926778</c:v>
                </c:pt>
                <c:pt idx="329">
                  <c:v>-100.84583864324208</c:v>
                </c:pt>
                <c:pt idx="330">
                  <c:v>-100.76119651934332</c:v>
                </c:pt>
                <c:pt idx="331">
                  <c:v>-100.67784935784096</c:v>
                </c:pt>
                <c:pt idx="332">
                  <c:v>-100.59576802759145</c:v>
                </c:pt>
                <c:pt idx="333">
                  <c:v>-100.51492425383574</c:v>
                </c:pt>
                <c:pt idx="334">
                  <c:v>-100.43529058736752</c:v>
                </c:pt>
                <c:pt idx="335">
                  <c:v>-100.3568403750057</c:v>
                </c:pt>
                <c:pt idx="336">
                  <c:v>-100.27954773130786</c:v>
                </c:pt>
                <c:pt idx="337">
                  <c:v>-100.20338751146576</c:v>
                </c:pt>
                <c:pt idx="338">
                  <c:v>-100.12833528532583</c:v>
                </c:pt>
                <c:pt idx="339">
                  <c:v>-100.05436731248176</c:v>
                </c:pt>
                <c:pt idx="340">
                  <c:v>-99.981460518388332</c:v>
                </c:pt>
                <c:pt idx="341">
                  <c:v>-99.909592471448931</c:v>
                </c:pt>
                <c:pt idx="342">
                  <c:v>-99.838741361031069</c:v>
                </c:pt>
                <c:pt idx="343">
                  <c:v>-99.768885976367159</c:v>
                </c:pt>
                <c:pt idx="344">
                  <c:v>-99.700005686299633</c:v>
                </c:pt>
                <c:pt idx="345">
                  <c:v>-99.632080419831794</c:v>
                </c:pt>
                <c:pt idx="346">
                  <c:v>-99.565090647447562</c:v>
                </c:pt>
                <c:pt idx="347">
                  <c:v>-99.499017363165777</c:v>
                </c:pt>
                <c:pt idx="348">
                  <c:v>-99.433842067295132</c:v>
                </c:pt>
                <c:pt idx="349">
                  <c:v>-99.369546749859524</c:v>
                </c:pt>
                <c:pt idx="350">
                  <c:v>-99.306113874662799</c:v>
                </c:pt>
                <c:pt idx="351">
                  <c:v>-99.243526363965614</c:v>
                </c:pt>
                <c:pt idx="352">
                  <c:v>-99.18176758374679</c:v>
                </c:pt>
                <c:pt idx="353">
                  <c:v>-99.120821329523849</c:v>
                </c:pt>
                <c:pt idx="354">
                  <c:v>-99.060671812708506</c:v>
                </c:pt>
                <c:pt idx="355">
                  <c:v>-99.001303647473776</c:v>
                </c:pt>
                <c:pt idx="356">
                  <c:v>-98.942701838110764</c:v>
                </c:pt>
                <c:pt idx="357">
                  <c:v>-98.884851766854197</c:v>
                </c:pt>
                <c:pt idx="358">
                  <c:v>-98.827739182156819</c:v>
                </c:pt>
                <c:pt idx="359">
                  <c:v>-98.771350187393324</c:v>
                </c:pt>
                <c:pt idx="360">
                  <c:v>-98.715671229976351</c:v>
                </c:pt>
                <c:pt idx="361">
                  <c:v>-98.660689090866768</c:v>
                </c:pt>
                <c:pt idx="362">
                  <c:v>-98.606390874461852</c:v>
                </c:pt>
                <c:pt idx="363">
                  <c:v>-98.552763998846231</c:v>
                </c:pt>
                <c:pt idx="364">
                  <c:v>-98.499796186389943</c:v>
                </c:pt>
                <c:pt idx="365">
                  <c:v>-98.447475454680102</c:v>
                </c:pt>
                <c:pt idx="366">
                  <c:v>-98.395790107771802</c:v>
                </c:pt>
                <c:pt idx="367">
                  <c:v>-98.344728727746102</c:v>
                </c:pt>
                <c:pt idx="368">
                  <c:v>-98.294280166562245</c:v>
                </c:pt>
                <c:pt idx="369">
                  <c:v>-98.244433538192339</c:v>
                </c:pt>
                <c:pt idx="370">
                  <c:v>-98.195178211027368</c:v>
                </c:pt>
                <c:pt idx="371">
                  <c:v>-98.14650380054384</c:v>
                </c:pt>
                <c:pt idx="372">
                  <c:v>-98.098400162220486</c:v>
                </c:pt>
                <c:pt idx="373">
                  <c:v>-98.050857384695462</c:v>
                </c:pt>
                <c:pt idx="374">
                  <c:v>-98.003865783154595</c:v>
                </c:pt>
                <c:pt idx="375">
                  <c:v>-97.957415892941611</c:v>
                </c:pt>
                <c:pt idx="376">
                  <c:v>-97.911498463381861</c:v>
                </c:pt>
                <c:pt idx="377">
                  <c:v>-97.866104451811267</c:v>
                </c:pt>
                <c:pt idx="378">
                  <c:v>-97.821225017802661</c:v>
                </c:pt>
                <c:pt idx="379">
                  <c:v>-97.776851517582173</c:v>
                </c:pt>
                <c:pt idx="380">
                  <c:v>-97.732975498627923</c:v>
                </c:pt>
                <c:pt idx="381">
                  <c:v>-97.689588694444979</c:v>
                </c:pt>
                <c:pt idx="382">
                  <c:v>-97.646683019509183</c:v>
                </c:pt>
                <c:pt idx="383">
                  <c:v>-97.604250564373984</c:v>
                </c:pt>
                <c:pt idx="384">
                  <c:v>-97.562283590934285</c:v>
                </c:pt>
                <c:pt idx="385">
                  <c:v>-97.520774527840913</c:v>
                </c:pt>
                <c:pt idx="386">
                  <c:v>-97.479715966061264</c:v>
                </c:pt>
                <c:pt idx="387">
                  <c:v>-97.439100654579406</c:v>
                </c:pt>
                <c:pt idx="388">
                  <c:v>-97.398921496231722</c:v>
                </c:pt>
                <c:pt idx="389">
                  <c:v>-97.359171543672659</c:v>
                </c:pt>
                <c:pt idx="390">
                  <c:v>-97.319843995465888</c:v>
                </c:pt>
                <c:pt idx="391">
                  <c:v>-97.280932192296561</c:v>
                </c:pt>
                <c:pt idx="392">
                  <c:v>-97.242429613299961</c:v>
                </c:pt>
                <c:pt idx="393">
                  <c:v>-97.20432987250318</c:v>
                </c:pt>
                <c:pt idx="394">
                  <c:v>-97.166626715374875</c:v>
                </c:pt>
                <c:pt idx="395">
                  <c:v>-97.129314015480077</c:v>
                </c:pt>
                <c:pt idx="396">
                  <c:v>-97.092385771235726</c:v>
                </c:pt>
                <c:pt idx="397">
                  <c:v>-97.055836102764133</c:v>
                </c:pt>
                <c:pt idx="398">
                  <c:v>-97.019659248840313</c:v>
                </c:pt>
                <c:pt idx="399">
                  <c:v>-96.983849563930363</c:v>
                </c:pt>
                <c:pt idx="400">
                  <c:v>-96.948401515317542</c:v>
                </c:pt>
                <c:pt idx="401">
                  <c:v>-96.91330968031312</c:v>
                </c:pt>
                <c:pt idx="402">
                  <c:v>-96.878568743549209</c:v>
                </c:pt>
                <c:pt idx="403">
                  <c:v>-96.844173494350656</c:v>
                </c:pt>
                <c:pt idx="404">
                  <c:v>-96.81011882418332</c:v>
                </c:pt>
                <c:pt idx="405">
                  <c:v>-96.776399724176315</c:v>
                </c:pt>
                <c:pt idx="406">
                  <c:v>-96.743011282715628</c:v>
                </c:pt>
                <c:pt idx="407">
                  <c:v>-96.709948683106688</c:v>
                </c:pt>
                <c:pt idx="408">
                  <c:v>-96.677207201303915</c:v>
                </c:pt>
                <c:pt idx="409">
                  <c:v>-96.644782203704466</c:v>
                </c:pt>
                <c:pt idx="410">
                  <c:v>-96.612669145004716</c:v>
                </c:pt>
                <c:pt idx="411">
                  <c:v>-96.580863566116932</c:v>
                </c:pt>
                <c:pt idx="412">
                  <c:v>-96.549361092144352</c:v>
                </c:pt>
                <c:pt idx="413">
                  <c:v>-96.518157430413055</c:v>
                </c:pt>
                <c:pt idx="414">
                  <c:v>-96.48724836855817</c:v>
                </c:pt>
                <c:pt idx="415">
                  <c:v>-96.456629772663177</c:v>
                </c:pt>
                <c:pt idx="416">
                  <c:v>-96.426297585450698</c:v>
                </c:pt>
                <c:pt idx="417">
                  <c:v>-96.396247824522348</c:v>
                </c:pt>
                <c:pt idx="418">
                  <c:v>-96.366476580647245</c:v>
                </c:pt>
                <c:pt idx="419">
                  <c:v>-96.336980016096732</c:v>
                </c:pt>
                <c:pt idx="420">
                  <c:v>-96.30775436302406</c:v>
                </c:pt>
                <c:pt idx="421">
                  <c:v>-96.27879592188809</c:v>
                </c:pt>
                <c:pt idx="422">
                  <c:v>-96.250101059918862</c:v>
                </c:pt>
                <c:pt idx="423">
                  <c:v>-96.221666209624686</c:v>
                </c:pt>
                <c:pt idx="424">
                  <c:v>-96.193487867338234</c:v>
                </c:pt>
                <c:pt idx="425">
                  <c:v>-96.16556259180193</c:v>
                </c:pt>
                <c:pt idx="426">
                  <c:v>-96.137887002790009</c:v>
                </c:pt>
                <c:pt idx="427">
                  <c:v>-96.110457779767117</c:v>
                </c:pt>
                <c:pt idx="428">
                  <c:v>-96.083271660581886</c:v>
                </c:pt>
                <c:pt idx="429">
                  <c:v>-96.056325440194485</c:v>
                </c:pt>
                <c:pt idx="430">
                  <c:v>-96.029615969437288</c:v>
                </c:pt>
                <c:pt idx="431">
                  <c:v>-96.003140153807465</c:v>
                </c:pt>
                <c:pt idx="432">
                  <c:v>-95.976894952290536</c:v>
                </c:pt>
                <c:pt idx="433">
                  <c:v>-95.950877376214279</c:v>
                </c:pt>
                <c:pt idx="434">
                  <c:v>-95.925084488131674</c:v>
                </c:pt>
                <c:pt idx="435">
                  <c:v>-95.899513400732289</c:v>
                </c:pt>
                <c:pt idx="436">
                  <c:v>-95.874161275781191</c:v>
                </c:pt>
                <c:pt idx="437">
                  <c:v>-95.849025323084675</c:v>
                </c:pt>
                <c:pt idx="438">
                  <c:v>-95.824102799481707</c:v>
                </c:pt>
                <c:pt idx="439">
                  <c:v>-95.799391007860976</c:v>
                </c:pt>
                <c:pt idx="440">
                  <c:v>-95.77488729620184</c:v>
                </c:pt>
                <c:pt idx="441">
                  <c:v>-95.750589056639598</c:v>
                </c:pt>
                <c:pt idx="442">
                  <c:v>-95.726493724553606</c:v>
                </c:pt>
                <c:pt idx="443">
                  <c:v>-95.702598777677679</c:v>
                </c:pt>
                <c:pt idx="444">
                  <c:v>-95.678901735232486</c:v>
                </c:pt>
                <c:pt idx="445">
                  <c:v>-95.655400157079114</c:v>
                </c:pt>
                <c:pt idx="446">
                  <c:v>-95.632091642892931</c:v>
                </c:pt>
                <c:pt idx="447">
                  <c:v>-95.608973831357943</c:v>
                </c:pt>
                <c:pt idx="448">
                  <c:v>-95.586044399379944</c:v>
                </c:pt>
                <c:pt idx="449">
                  <c:v>-95.563301061319123</c:v>
                </c:pt>
                <c:pt idx="450">
                  <c:v>-95.540741568240719</c:v>
                </c:pt>
                <c:pt idx="451">
                  <c:v>-95.518363707183553</c:v>
                </c:pt>
                <c:pt idx="452">
                  <c:v>-95.496165300446123</c:v>
                </c:pt>
                <c:pt idx="453">
                  <c:v>-95.474144204889214</c:v>
                </c:pt>
                <c:pt idx="454">
                  <c:v>-95.452298311255433</c:v>
                </c:pt>
                <c:pt idx="455">
                  <c:v>-95.430625543504149</c:v>
                </c:pt>
                <c:pt idx="456">
                  <c:v>-95.409123858162516</c:v>
                </c:pt>
                <c:pt idx="457">
                  <c:v>-95.387791243691169</c:v>
                </c:pt>
                <c:pt idx="458">
                  <c:v>-95.366625719864928</c:v>
                </c:pt>
                <c:pt idx="459">
                  <c:v>-95.345625337167704</c:v>
                </c:pt>
                <c:pt idx="460">
                  <c:v>-95.324788176201253</c:v>
                </c:pt>
                <c:pt idx="461">
                  <c:v>-95.304112347107719</c:v>
                </c:pt>
                <c:pt idx="462">
                  <c:v>-95.283595989005192</c:v>
                </c:pt>
                <c:pt idx="463">
                  <c:v>-95.263237269436075</c:v>
                </c:pt>
                <c:pt idx="464">
                  <c:v>-95.243034383828174</c:v>
                </c:pt>
                <c:pt idx="465">
                  <c:v>-95.222985554967849</c:v>
                </c:pt>
                <c:pt idx="466">
                  <c:v>-95.203089032484897</c:v>
                </c:pt>
                <c:pt idx="467">
                  <c:v>-95.183343092349304</c:v>
                </c:pt>
                <c:pt idx="468">
                  <c:v>-95.16374603637891</c:v>
                </c:pt>
                <c:pt idx="469">
                  <c:v>-95.144296191758343</c:v>
                </c:pt>
                <c:pt idx="470">
                  <c:v>-95.124991910568411</c:v>
                </c:pt>
                <c:pt idx="471">
                  <c:v>-95.105831569325844</c:v>
                </c:pt>
                <c:pt idx="472">
                  <c:v>-95.086813568533628</c:v>
                </c:pt>
                <c:pt idx="473">
                  <c:v>-95.067936332240635</c:v>
                </c:pt>
                <c:pt idx="474">
                  <c:v>-95.049198307611078</c:v>
                </c:pt>
                <c:pt idx="475">
                  <c:v>-95.03059796450377</c:v>
                </c:pt>
                <c:pt idx="476">
                  <c:v>-95.012133795059782</c:v>
                </c:pt>
                <c:pt idx="477">
                  <c:v>-94.993804313299634</c:v>
                </c:pt>
                <c:pt idx="478">
                  <c:v>-94.975608054728809</c:v>
                </c:pt>
                <c:pt idx="479">
                  <c:v>-94.957543575952144</c:v>
                </c:pt>
                <c:pt idx="480">
                  <c:v>-94.939609454295805</c:v>
                </c:pt>
                <c:pt idx="481">
                  <c:v>-94.921804287438192</c:v>
                </c:pt>
                <c:pt idx="482">
                  <c:v>-94.904126693047886</c:v>
                </c:pt>
                <c:pt idx="483">
                  <c:v>-94.886575308429855</c:v>
                </c:pt>
                <c:pt idx="484">
                  <c:v>-94.869148790178883</c:v>
                </c:pt>
                <c:pt idx="485">
                  <c:v>-94.851845813840171</c:v>
                </c:pt>
                <c:pt idx="486">
                  <c:v>-94.834665073577412</c:v>
                </c:pt>
                <c:pt idx="487">
                  <c:v>-94.817605281847477</c:v>
                </c:pt>
                <c:pt idx="488">
                  <c:v>-94.800665169081952</c:v>
                </c:pt>
                <c:pt idx="489">
                  <c:v>-94.783843483375477</c:v>
                </c:pt>
                <c:pt idx="490">
                  <c:v>-94.767138990180342</c:v>
                </c:pt>
                <c:pt idx="491">
                  <c:v>-94.750550472007347</c:v>
                </c:pt>
                <c:pt idx="492">
                  <c:v>-94.73407672813299</c:v>
                </c:pt>
                <c:pt idx="493">
                  <c:v>-94.717716574312547</c:v>
                </c:pt>
                <c:pt idx="494">
                  <c:v>-94.701468842498997</c:v>
                </c:pt>
                <c:pt idx="495">
                  <c:v>-94.685332380567672</c:v>
                </c:pt>
                <c:pt idx="496">
                  <c:v>-94.669306052046551</c:v>
                </c:pt>
                <c:pt idx="497">
                  <c:v>-94.653388735851934</c:v>
                </c:pt>
                <c:pt idx="498">
                  <c:v>-94.637579326029467</c:v>
                </c:pt>
                <c:pt idx="499">
                  <c:v>-94.621876731500464</c:v>
                </c:pt>
                <c:pt idx="500">
                  <c:v>-94.60627987581303</c:v>
                </c:pt>
                <c:pt idx="501">
                  <c:v>-94.590787696898488</c:v>
                </c:pt>
                <c:pt idx="502">
                  <c:v>-94.575399146832439</c:v>
                </c:pt>
                <c:pt idx="503">
                  <c:v>-94.560113191600621</c:v>
                </c:pt>
                <c:pt idx="504">
                  <c:v>-94.544928810869294</c:v>
                </c:pt>
                <c:pt idx="505">
                  <c:v>-94.529844997760435</c:v>
                </c:pt>
                <c:pt idx="506">
                  <c:v>-94.514860758631016</c:v>
                </c:pt>
                <c:pt idx="507">
                  <c:v>-94.499975112856617</c:v>
                </c:pt>
                <c:pt idx="508">
                  <c:v>-94.485187092619668</c:v>
                </c:pt>
                <c:pt idx="509">
                  <c:v>-94.470495742701218</c:v>
                </c:pt>
                <c:pt idx="510">
                  <c:v>-94.455900120277207</c:v>
                </c:pt>
                <c:pt idx="511">
                  <c:v>-94.441399294718494</c:v>
                </c:pt>
                <c:pt idx="512">
                  <c:v>-94.426992347394616</c:v>
                </c:pt>
                <c:pt idx="513">
                  <c:v>-94.412678371481604</c:v>
                </c:pt>
                <c:pt idx="514">
                  <c:v>-94.398456471773173</c:v>
                </c:pt>
                <c:pt idx="515">
                  <c:v>-94.384325764495728</c:v>
                </c:pt>
                <c:pt idx="516">
                  <c:v>-94.370285377126834</c:v>
                </c:pt>
                <c:pt idx="517">
                  <c:v>-94.356334448217012</c:v>
                </c:pt>
                <c:pt idx="518">
                  <c:v>-94.342472127215089</c:v>
                </c:pt>
                <c:pt idx="519">
                  <c:v>-94.328697574296712</c:v>
                </c:pt>
                <c:pt idx="520">
                  <c:v>-94.315009960196051</c:v>
                </c:pt>
                <c:pt idx="521">
                  <c:v>-94.301408466040868</c:v>
                </c:pt>
                <c:pt idx="522">
                  <c:v>-94.287892283190374</c:v>
                </c:pt>
                <c:pt idx="523">
                  <c:v>-94.274460613076286</c:v>
                </c:pt>
                <c:pt idx="524">
                  <c:v>-94.261112667046817</c:v>
                </c:pt>
                <c:pt idx="525">
                  <c:v>-94.247847666213502</c:v>
                </c:pt>
                <c:pt idx="526">
                  <c:v>-94.234664841300912</c:v>
                </c:pt>
                <c:pt idx="527">
                  <c:v>-94.221563432498954</c:v>
                </c:pt>
                <c:pt idx="528">
                  <c:v>-94.20854268931825</c:v>
                </c:pt>
                <c:pt idx="529">
                  <c:v>-94.195601870447703</c:v>
                </c:pt>
                <c:pt idx="530">
                  <c:v>-94.182740243614973</c:v>
                </c:pt>
                <c:pt idx="531">
                  <c:v>-94.169957085449383</c:v>
                </c:pt>
                <c:pt idx="532">
                  <c:v>-94.157251681347361</c:v>
                </c:pt>
                <c:pt idx="533">
                  <c:v>-94.144623325340163</c:v>
                </c:pt>
                <c:pt idx="534">
                  <c:v>-94.132071319964226</c:v>
                </c:pt>
                <c:pt idx="535">
                  <c:v>-94.119594976133499</c:v>
                </c:pt>
                <c:pt idx="536">
                  <c:v>-94.107193613014488</c:v>
                </c:pt>
                <c:pt idx="537">
                  <c:v>-94.094866557903202</c:v>
                </c:pt>
                <c:pt idx="538">
                  <c:v>-94.082613146104322</c:v>
                </c:pt>
                <c:pt idx="539">
                  <c:v>-94.070432720812732</c:v>
                </c:pt>
                <c:pt idx="540">
                  <c:v>-94.058324632996943</c:v>
                </c:pt>
                <c:pt idx="541">
                  <c:v>-94.046288241284543</c:v>
                </c:pt>
                <c:pt idx="542">
                  <c:v>-94.034322911849884</c:v>
                </c:pt>
                <c:pt idx="543">
                  <c:v>-94.022428018303501</c:v>
                </c:pt>
                <c:pt idx="544">
                  <c:v>-94.010602941583585</c:v>
                </c:pt>
                <c:pt idx="545">
                  <c:v>-93.99884706984939</c:v>
                </c:pt>
                <c:pt idx="546">
                  <c:v>-93.987159798376368</c:v>
                </c:pt>
                <c:pt idx="547">
                  <c:v>-93.975540529453212</c:v>
                </c:pt>
                <c:pt idx="548">
                  <c:v>-93.963988672280635</c:v>
                </c:pt>
                <c:pt idx="549">
                  <c:v>-93.952503642871903</c:v>
                </c:pt>
                <c:pt idx="550">
                  <c:v>-93.94108486395514</c:v>
                </c:pt>
                <c:pt idx="551">
                  <c:v>-93.929731764877175</c:v>
                </c:pt>
                <c:pt idx="552">
                  <c:v>-93.918443781509183</c:v>
                </c:pt>
                <c:pt idx="553">
                  <c:v>-93.907220356153871</c:v>
                </c:pt>
                <c:pt idx="554">
                  <c:v>-93.896060937454109</c:v>
                </c:pt>
                <c:pt idx="555">
                  <c:v>-93.884964980303351</c:v>
                </c:pt>
                <c:pt idx="556">
                  <c:v>-93.87393194575742</c:v>
                </c:pt>
                <c:pt idx="557">
                  <c:v>-93.862961300947859</c:v>
                </c:pt>
                <c:pt idx="558">
                  <c:v>-93.85205251899653</c:v>
                </c:pt>
                <c:pt idx="559">
                  <c:v>-93.841205078932049</c:v>
                </c:pt>
                <c:pt idx="560">
                  <c:v>-93.830418465607181</c:v>
                </c:pt>
                <c:pt idx="561">
                  <c:v>-93.819692169617824</c:v>
                </c:pt>
                <c:pt idx="562">
                  <c:v>-93.809025687223468</c:v>
                </c:pt>
                <c:pt idx="563">
                  <c:v>-93.798418520268598</c:v>
                </c:pt>
                <c:pt idx="564">
                  <c:v>-93.787870176105855</c:v>
                </c:pt>
                <c:pt idx="565">
                  <c:v>-93.777380167520107</c:v>
                </c:pt>
                <c:pt idx="566">
                  <c:v>-93.766948012653899</c:v>
                </c:pt>
                <c:pt idx="567">
                  <c:v>-93.756573234934109</c:v>
                </c:pt>
                <c:pt idx="568">
                  <c:v>-93.746255362999875</c:v>
                </c:pt>
                <c:pt idx="569">
                  <c:v>-93.735993930631679</c:v>
                </c:pt>
                <c:pt idx="570">
                  <c:v>-93.725788476681359</c:v>
                </c:pt>
                <c:pt idx="571">
                  <c:v>-93.715638545003571</c:v>
                </c:pt>
                <c:pt idx="572">
                  <c:v>-93.705543684388331</c:v>
                </c:pt>
                <c:pt idx="573">
                  <c:v>-93.695503448494293</c:v>
                </c:pt>
                <c:pt idx="574">
                  <c:v>-93.685517395783535</c:v>
                </c:pt>
                <c:pt idx="575">
                  <c:v>-93.675585089457215</c:v>
                </c:pt>
                <c:pt idx="576">
                  <c:v>-93.665706097392174</c:v>
                </c:pt>
                <c:pt idx="577">
                  <c:v>-93.65587999207861</c:v>
                </c:pt>
                <c:pt idx="578">
                  <c:v>-93.646106350558881</c:v>
                </c:pt>
                <c:pt idx="579">
                  <c:v>-93.636384754367029</c:v>
                </c:pt>
                <c:pt idx="580">
                  <c:v>-93.626714789469517</c:v>
                </c:pt>
                <c:pt idx="581">
                  <c:v>-93.617096046206711</c:v>
                </c:pt>
                <c:pt idx="582">
                  <c:v>-93.607528119235326</c:v>
                </c:pt>
                <c:pt idx="583">
                  <c:v>-93.598010607471878</c:v>
                </c:pt>
                <c:pt idx="584">
                  <c:v>-93.588543114036938</c:v>
                </c:pt>
                <c:pt idx="585">
                  <c:v>-93.579125246200221</c:v>
                </c:pt>
                <c:pt idx="586">
                  <c:v>-93.569756615326611</c:v>
                </c:pt>
                <c:pt idx="587">
                  <c:v>-93.560436836823015</c:v>
                </c:pt>
                <c:pt idx="588">
                  <c:v>-93.551165530085996</c:v>
                </c:pt>
                <c:pt idx="589">
                  <c:v>-93.541942318450168</c:v>
                </c:pt>
                <c:pt idx="590">
                  <c:v>-93.532766829137671</c:v>
                </c:pt>
                <c:pt idx="591">
                  <c:v>-93.523638693208014</c:v>
                </c:pt>
                <c:pt idx="592">
                  <c:v>-93.514557545508922</c:v>
                </c:pt>
                <c:pt idx="593">
                  <c:v>-93.505523024627976</c:v>
                </c:pt>
                <c:pt idx="594">
                  <c:v>-93.49653477284491</c:v>
                </c:pt>
                <c:pt idx="595">
                  <c:v>-93.487592436084583</c:v>
                </c:pt>
                <c:pt idx="596">
                  <c:v>-93.478695663870738</c:v>
                </c:pt>
                <c:pt idx="597">
                  <c:v>-93.469844109280544</c:v>
                </c:pt>
                <c:pt idx="598">
                  <c:v>-93.461037428899587</c:v>
                </c:pt>
                <c:pt idx="599">
                  <c:v>-93.452275282777833</c:v>
                </c:pt>
                <c:pt idx="600">
                  <c:v>-93.443557334385986</c:v>
                </c:pt>
                <c:pt idx="601">
                  <c:v>-93.434883250572724</c:v>
                </c:pt>
                <c:pt idx="602">
                  <c:v>-93.426252701522372</c:v>
                </c:pt>
                <c:pt idx="603">
                  <c:v>-93.417665360713443</c:v>
                </c:pt>
                <c:pt idx="604">
                  <c:v>-93.409120904877526</c:v>
                </c:pt>
                <c:pt idx="605">
                  <c:v>-93.400619013959002</c:v>
                </c:pt>
                <c:pt idx="606">
                  <c:v>-93.023550124723741</c:v>
                </c:pt>
                <c:pt idx="607">
                  <c:v>-92.721696136499503</c:v>
                </c:pt>
                <c:pt idx="608">
                  <c:v>-92.47460640529421</c:v>
                </c:pt>
                <c:pt idx="609">
                  <c:v>-92.268624392015951</c:v>
                </c:pt>
                <c:pt idx="610">
                  <c:v>-92.094283828527537</c:v>
                </c:pt>
                <c:pt idx="611">
                  <c:v>-91.944816678747742</c:v>
                </c:pt>
                <c:pt idx="612">
                  <c:v>-91.815256035007337</c:v>
                </c:pt>
                <c:pt idx="613">
                  <c:v>-91.701874515210704</c:v>
                </c:pt>
                <c:pt idx="614">
                  <c:v>-91.601820404275841</c:v>
                </c:pt>
                <c:pt idx="615">
                  <c:v>-91.512874829786369</c:v>
                </c:pt>
                <c:pt idx="616">
                  <c:v>-91.433285477852777</c:v>
                </c:pt>
                <c:pt idx="617">
                  <c:v>-91.361650112260591</c:v>
                </c:pt>
                <c:pt idx="618">
                  <c:v>-91.334961277761778</c:v>
                </c:pt>
                <c:pt idx="619">
                  <c:v>-91.309298366166303</c:v>
                </c:pt>
                <c:pt idx="620">
                  <c:v>-91.284603348204428</c:v>
                </c:pt>
                <c:pt idx="621">
                  <c:v>-91.26082248930652</c:v>
                </c:pt>
                <c:pt idx="622">
                  <c:v>-91.237905959574974</c:v>
                </c:pt>
                <c:pt idx="623">
                  <c:v>-91.21580748549637</c:v>
                </c:pt>
                <c:pt idx="624">
                  <c:v>-91.194484038274382</c:v>
                </c:pt>
                <c:pt idx="625">
                  <c:v>-91.173895554369309</c:v>
                </c:pt>
                <c:pt idx="626">
                  <c:v>-91.154004684427662</c:v>
                </c:pt>
                <c:pt idx="627">
                  <c:v>-91.134776567293542</c:v>
                </c:pt>
                <c:pt idx="628">
                  <c:v>-91.116178626226642</c:v>
                </c:pt>
                <c:pt idx="629">
                  <c:v>-91.098180384822726</c:v>
                </c:pt>
                <c:pt idx="630">
                  <c:v>-91.080753300449203</c:v>
                </c:pt>
                <c:pt idx="631">
                  <c:v>-91.063870613282702</c:v>
                </c:pt>
                <c:pt idx="632">
                  <c:v>-91.04750720926944</c:v>
                </c:pt>
                <c:pt idx="633">
                  <c:v>-91.03163949553344</c:v>
                </c:pt>
                <c:pt idx="634">
                  <c:v>-91.01624528693344</c:v>
                </c:pt>
                <c:pt idx="635">
                  <c:v>-91.001303702621613</c:v>
                </c:pt>
                <c:pt idx="636">
                  <c:v>-90.986795071590237</c:v>
                </c:pt>
                <c:pt idx="637">
                  <c:v>-90.972700846308513</c:v>
                </c:pt>
                <c:pt idx="638">
                  <c:v>-90.959003523652626</c:v>
                </c:pt>
                <c:pt idx="639">
                  <c:v>-90.945686572420087</c:v>
                </c:pt>
                <c:pt idx="640">
                  <c:v>-90.932734366798059</c:v>
                </c:pt>
                <c:pt idx="641">
                  <c:v>-90.920132125222494</c:v>
                </c:pt>
                <c:pt idx="642">
                  <c:v>-90.907865854125362</c:v>
                </c:pt>
                <c:pt idx="643">
                  <c:v>-90.89592229612029</c:v>
                </c:pt>
                <c:pt idx="644">
                  <c:v>-90.884288882223046</c:v>
                </c:pt>
                <c:pt idx="645">
                  <c:v>-90.872953687745422</c:v>
                </c:pt>
                <c:pt idx="646">
                  <c:v>-90.861905391536837</c:v>
                </c:pt>
                <c:pt idx="647">
                  <c:v>-90.851133238281164</c:v>
                </c:pt>
                <c:pt idx="648">
                  <c:v>-90.840627003584999</c:v>
                </c:pt>
                <c:pt idx="649">
                  <c:v>-90.830376961618924</c:v>
                </c:pt>
                <c:pt idx="650">
                  <c:v>-90.820373855096676</c:v>
                </c:pt>
                <c:pt idx="651">
                  <c:v>-90.810608867397988</c:v>
                </c:pt>
                <c:pt idx="652">
                  <c:v>-90.801073596657588</c:v>
                </c:pt>
                <c:pt idx="653">
                  <c:v>-90.791760031661767</c:v>
                </c:pt>
                <c:pt idx="654">
                  <c:v>-90.782660529405973</c:v>
                </c:pt>
                <c:pt idx="655">
                  <c:v>-90.773767794182163</c:v>
                </c:pt>
                <c:pt idx="656">
                  <c:v>-90.765074858075067</c:v>
                </c:pt>
                <c:pt idx="657">
                  <c:v>-90.7565750627585</c:v>
                </c:pt>
                <c:pt idx="658">
                  <c:v>-90.748262042491049</c:v>
                </c:pt>
                <c:pt idx="659">
                  <c:v>-90.740129708220508</c:v>
                </c:pt>
                <c:pt idx="660">
                  <c:v>-90.732172232713353</c:v>
                </c:pt>
                <c:pt idx="661">
                  <c:v>-90.724384036632912</c:v>
                </c:pt>
                <c:pt idx="662">
                  <c:v>-90.716759775496541</c:v>
                </c:pt>
                <c:pt idx="663">
                  <c:v>-90.709294327447822</c:v>
                </c:pt>
                <c:pt idx="664">
                  <c:v>-90.701982781784395</c:v>
                </c:pt>
                <c:pt idx="665">
                  <c:v>-90.694820428188521</c:v>
                </c:pt>
                <c:pt idx="666">
                  <c:v>-90.687802746609506</c:v>
                </c:pt>
                <c:pt idx="667">
                  <c:v>-90.68092539775337</c:v>
                </c:pt>
              </c:numCache>
            </c:numRef>
          </c:yVal>
          <c:smooth val="0"/>
          <c:extLst>
            <c:ext xmlns:c16="http://schemas.microsoft.com/office/drawing/2014/chart" uri="{C3380CC4-5D6E-409C-BE32-E72D297353CC}">
              <c16:uniqueId val="{00000001-2DBB-4F72-B5DF-A436F54D08AE}"/>
            </c:ext>
          </c:extLst>
        </c:ser>
        <c:dLbls>
          <c:showLegendKey val="0"/>
          <c:showVal val="0"/>
          <c:showCatName val="0"/>
          <c:showSerName val="0"/>
          <c:showPercent val="0"/>
          <c:showBubbleSize val="0"/>
        </c:dLbls>
        <c:axId val="176900736"/>
        <c:axId val="176902528"/>
      </c:scatterChart>
      <c:valAx>
        <c:axId val="176896640"/>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297177526722869"/>
              <c:y val="0.88311797388962088"/>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898816"/>
        <c:crossesAt val="-120"/>
        <c:crossBetween val="midCat"/>
      </c:valAx>
      <c:valAx>
        <c:axId val="17689881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797101449275412E-2"/>
              <c:y val="0.441558986944818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896640"/>
        <c:crosses val="autoZero"/>
        <c:crossBetween val="midCat"/>
      </c:valAx>
      <c:valAx>
        <c:axId val="176900736"/>
        <c:scaling>
          <c:logBase val="10"/>
          <c:orientation val="minMax"/>
        </c:scaling>
        <c:delete val="1"/>
        <c:axPos val="b"/>
        <c:numFmt formatCode="General" sourceLinked="1"/>
        <c:majorTickMark val="out"/>
        <c:minorTickMark val="none"/>
        <c:tickLblPos val="none"/>
        <c:crossAx val="176902528"/>
        <c:crosses val="autoZero"/>
        <c:crossBetween val="midCat"/>
      </c:valAx>
      <c:valAx>
        <c:axId val="176902528"/>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71185667010505"/>
              <c:y val="0.3662343116201382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00736"/>
        <c:crosses val="max"/>
        <c:crossBetween val="midCat"/>
      </c:valAx>
      <c:spPr>
        <a:noFill/>
        <a:ln w="12700">
          <a:solidFill>
            <a:srgbClr val="808080"/>
          </a:solidFill>
          <a:prstDash val="solid"/>
        </a:ln>
      </c:spPr>
    </c:plotArea>
    <c:legend>
      <c:legendPos val="r"/>
      <c:layout>
        <c:manualLayout>
          <c:xMode val="edge"/>
          <c:yMode val="edge"/>
          <c:x val="0.76630434782608692"/>
          <c:y val="1.2987012987012988E-2"/>
          <c:w val="0.21557971014492749"/>
          <c:h val="0.14545454545454545"/>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FeedBack To Comp
5V Vin</a:t>
            </a:r>
          </a:p>
        </c:rich>
      </c:tx>
      <c:layout>
        <c:manualLayout>
          <c:xMode val="edge"/>
          <c:yMode val="edge"/>
          <c:x val="0.40036307961505191"/>
          <c:y val="3.3766233766233771E-2"/>
        </c:manualLayout>
      </c:layout>
      <c:overlay val="0"/>
      <c:spPr>
        <a:noFill/>
        <a:ln w="25400">
          <a:noFill/>
        </a:ln>
      </c:spPr>
    </c:title>
    <c:autoTitleDeleted val="0"/>
    <c:plotArea>
      <c:layout>
        <c:manualLayout>
          <c:layoutTarget val="inner"/>
          <c:xMode val="edge"/>
          <c:yMode val="edge"/>
          <c:x val="0.11594223410296738"/>
          <c:y val="0.20779247132770992"/>
          <c:w val="0.79166806723432415"/>
          <c:h val="0.60519557274195002"/>
        </c:manualLayout>
      </c:layout>
      <c:scatterChart>
        <c:scatterStyle val="smoothMarker"/>
        <c:varyColors val="0"/>
        <c:ser>
          <c:idx val="2"/>
          <c:order val="0"/>
          <c:tx>
            <c:v>Theoretical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Calculations'!$BB$9:$BB$676</c:f>
              <c:numCache>
                <c:formatCode>General</c:formatCode>
                <c:ptCount val="668"/>
                <c:pt idx="0">
                  <c:v>59.885575552258715</c:v>
                </c:pt>
                <c:pt idx="1">
                  <c:v>55.394675439525429</c:v>
                </c:pt>
                <c:pt idx="2">
                  <c:v>52.226442712342511</c:v>
                </c:pt>
                <c:pt idx="3">
                  <c:v>49.858558881701505</c:v>
                </c:pt>
                <c:pt idx="4">
                  <c:v>47.982307960315794</c:v>
                </c:pt>
                <c:pt idx="5">
                  <c:v>46.432712542284122</c:v>
                </c:pt>
                <c:pt idx="6">
                  <c:v>45.114429170670931</c:v>
                </c:pt>
                <c:pt idx="7">
                  <c:v>43.968051431894821</c:v>
                </c:pt>
                <c:pt idx="8">
                  <c:v>42.954258450498614</c:v>
                </c:pt>
                <c:pt idx="9">
                  <c:v>42.04574700962845</c:v>
                </c:pt>
                <c:pt idx="10">
                  <c:v>36.046596523683263</c:v>
                </c:pt>
                <c:pt idx="11">
                  <c:v>32.529044721540458</c:v>
                </c:pt>
                <c:pt idx="12">
                  <c:v>30.032108853750124</c:v>
                </c:pt>
                <c:pt idx="13">
                  <c:v>28.095135432985185</c:v>
                </c:pt>
                <c:pt idx="14">
                  <c:v>26.512575393557608</c:v>
                </c:pt>
                <c:pt idx="15">
                  <c:v>25.174696768002089</c:v>
                </c:pt>
                <c:pt idx="16">
                  <c:v>24.015971697257594</c:v>
                </c:pt>
                <c:pt idx="17">
                  <c:v>22.994122569596268</c:v>
                </c:pt>
                <c:pt idx="18">
                  <c:v>22.080277702328836</c:v>
                </c:pt>
                <c:pt idx="19">
                  <c:v>16.079418039154834</c:v>
                </c:pt>
                <c:pt idx="20">
                  <c:v>12.590078325568182</c:v>
                </c:pt>
                <c:pt idx="21">
                  <c:v>10.136535853771825</c:v>
                </c:pt>
                <c:pt idx="22">
                  <c:v>8.2561307666185346</c:v>
                </c:pt>
                <c:pt idx="23">
                  <c:v>6.7426137815080276</c:v>
                </c:pt>
                <c:pt idx="24">
                  <c:v>5.4857967576758506</c:v>
                </c:pt>
                <c:pt idx="25">
                  <c:v>4.4197400535976676</c:v>
                </c:pt>
                <c:pt idx="26">
                  <c:v>3.5017478067602061</c:v>
                </c:pt>
                <c:pt idx="27">
                  <c:v>2.7025097914985081</c:v>
                </c:pt>
                <c:pt idx="28">
                  <c:v>-9.3503802448216433E-2</c:v>
                </c:pt>
                <c:pt idx="29">
                  <c:v>-1.669388883351882</c:v>
                </c:pt>
                <c:pt idx="30">
                  <c:v>-2.5502518595805199</c:v>
                </c:pt>
                <c:pt idx="31">
                  <c:v>-2.9963045049450239</c:v>
                </c:pt>
                <c:pt idx="32">
                  <c:v>-3.1596217201976828</c:v>
                </c:pt>
                <c:pt idx="33">
                  <c:v>-3.1361998285159371</c:v>
                </c:pt>
                <c:pt idx="34">
                  <c:v>-2.9889609505756547</c:v>
                </c:pt>
                <c:pt idx="35">
                  <c:v>-2.7599937792144917</c:v>
                </c:pt>
                <c:pt idx="36">
                  <c:v>-2.4778063120698772</c:v>
                </c:pt>
                <c:pt idx="37">
                  <c:v>-2.1618760220901634</c:v>
                </c:pt>
                <c:pt idx="38">
                  <c:v>-1.8255935899676086</c:v>
                </c:pt>
                <c:pt idx="39">
                  <c:v>-1.4782028083364396</c:v>
                </c:pt>
                <c:pt idx="40">
                  <c:v>-1.1260958585482106</c:v>
                </c:pt>
                <c:pt idx="41">
                  <c:v>-0.77368763018637809</c:v>
                </c:pt>
                <c:pt idx="42">
                  <c:v>-0.42401175164533</c:v>
                </c:pt>
                <c:pt idx="43">
                  <c:v>-7.9130712004739118E-2</c:v>
                </c:pt>
                <c:pt idx="44">
                  <c:v>0.25957942959374258</c:v>
                </c:pt>
                <c:pt idx="45">
                  <c:v>0.59122973819589397</c:v>
                </c:pt>
                <c:pt idx="46">
                  <c:v>0.91527779207931326</c:v>
                </c:pt>
                <c:pt idx="47">
                  <c:v>1.2314277714708448</c:v>
                </c:pt>
                <c:pt idx="48">
                  <c:v>1.5395590116836122</c:v>
                </c:pt>
                <c:pt idx="49">
                  <c:v>1.8396746266649788</c:v>
                </c:pt>
                <c:pt idx="50">
                  <c:v>2.1318643935074522</c:v>
                </c:pt>
                <c:pt idx="51">
                  <c:v>2.4162778429233351</c:v>
                </c:pt>
                <c:pt idx="52">
                  <c:v>2.6931047020793915</c:v>
                </c:pt>
                <c:pt idx="53">
                  <c:v>2.9625606659321764</c:v>
                </c:pt>
                <c:pt idx="54">
                  <c:v>3.2248770510494165</c:v>
                </c:pt>
                <c:pt idx="55">
                  <c:v>3.4802932915638642</c:v>
                </c:pt>
                <c:pt idx="56">
                  <c:v>3.7290515238917554</c:v>
                </c:pt>
                <c:pt idx="57">
                  <c:v>3.9713927113764207</c:v>
                </c:pt>
                <c:pt idx="58">
                  <c:v>4.2075539068036685</c:v>
                </c:pt>
                <c:pt idx="59">
                  <c:v>4.4377663567815944</c:v>
                </c:pt>
                <c:pt idx="60">
                  <c:v>4.6622542290696991</c:v>
                </c:pt>
                <c:pt idx="61">
                  <c:v>4.8812338003155968</c:v>
                </c:pt>
                <c:pt idx="62">
                  <c:v>5.0949129831058872</c:v>
                </c:pt>
                <c:pt idx="63">
                  <c:v>5.3034911018672855</c:v>
                </c:pt>
                <c:pt idx="64">
                  <c:v>5.507158849894612</c:v>
                </c:pt>
                <c:pt idx="65">
                  <c:v>5.7060983767375175</c:v>
                </c:pt>
                <c:pt idx="66">
                  <c:v>5.9004834678682982</c:v>
                </c:pt>
                <c:pt idx="67">
                  <c:v>6.0904797880838153</c:v>
                </c:pt>
                <c:pt idx="68">
                  <c:v>6.2762451672731787</c:v>
                </c:pt>
                <c:pt idx="69">
                  <c:v>6.4579299126033067</c:v>
                </c:pt>
                <c:pt idx="70">
                  <c:v>6.6356771352753841</c:v>
                </c:pt>
                <c:pt idx="71">
                  <c:v>6.8096230831116902</c:v>
                </c:pt>
                <c:pt idx="72">
                  <c:v>6.9798974725877905</c:v>
                </c:pt>
                <c:pt idx="73">
                  <c:v>7.1466238157106599</c:v>
                </c:pt>
                <c:pt idx="74">
                  <c:v>7.3099197384961121</c:v>
                </c:pt>
                <c:pt idx="75">
                  <c:v>7.4698972888220103</c:v>
                </c:pt>
                <c:pt idx="76">
                  <c:v>7.626663232205054</c:v>
                </c:pt>
                <c:pt idx="77">
                  <c:v>7.7803193346280475</c:v>
                </c:pt>
                <c:pt idx="78">
                  <c:v>7.9309626319766231</c:v>
                </c:pt>
                <c:pt idx="79">
                  <c:v>8.0786856859638441</c:v>
                </c:pt>
                <c:pt idx="80">
                  <c:v>8.2235768266545701</c:v>
                </c:pt>
                <c:pt idx="81">
                  <c:v>8.3657203818692061</c:v>
                </c:pt>
                <c:pt idx="82">
                  <c:v>8.5051968938639693</c:v>
                </c:pt>
                <c:pt idx="83">
                  <c:v>8.6420833237641386</c:v>
                </c:pt>
                <c:pt idx="84">
                  <c:v>8.7764532442774428</c:v>
                </c:pt>
                <c:pt idx="85">
                  <c:v>8.908377021243286</c:v>
                </c:pt>
                <c:pt idx="86">
                  <c:v>9.0379219845861787</c:v>
                </c:pt>
                <c:pt idx="87">
                  <c:v>9.1651525892422008</c:v>
                </c:pt>
                <c:pt idx="88">
                  <c:v>9.2901305666189131</c:v>
                </c:pt>
                <c:pt idx="89">
                  <c:v>9.4129150671348114</c:v>
                </c:pt>
                <c:pt idx="90">
                  <c:v>9.5335627943654231</c:v>
                </c:pt>
                <c:pt idx="91">
                  <c:v>9.6521281313013265</c:v>
                </c:pt>
                <c:pt idx="92">
                  <c:v>9.7686632592002027</c:v>
                </c:pt>
                <c:pt idx="93">
                  <c:v>9.8832182694900474</c:v>
                </c:pt>
                <c:pt idx="94">
                  <c:v>9.9958412691565854</c:v>
                </c:pt>
                <c:pt idx="95">
                  <c:v>10.106578480022845</c:v>
                </c:pt>
                <c:pt idx="96">
                  <c:v>10.215474332305108</c:v>
                </c:pt>
                <c:pt idx="97">
                  <c:v>10.322571552805954</c:v>
                </c:pt>
                <c:pt idx="98">
                  <c:v>10.427911248082806</c:v>
                </c:pt>
                <c:pt idx="99">
                  <c:v>10.531532982908871</c:v>
                </c:pt>
                <c:pt idx="100">
                  <c:v>10.633474854323053</c:v>
                </c:pt>
                <c:pt idx="101">
                  <c:v>10.733773561546121</c:v>
                </c:pt>
                <c:pt idx="102">
                  <c:v>10.832464472022336</c:v>
                </c:pt>
                <c:pt idx="103">
                  <c:v>10.929581683828411</c:v>
                </c:pt>
                <c:pt idx="104">
                  <c:v>11.025158084675908</c:v>
                </c:pt>
                <c:pt idx="105">
                  <c:v>11.119225407717959</c:v>
                </c:pt>
                <c:pt idx="106">
                  <c:v>11.211814284357235</c:v>
                </c:pt>
                <c:pt idx="107">
                  <c:v>11.302954294238884</c:v>
                </c:pt>
                <c:pt idx="108">
                  <c:v>11.392674012599961</c:v>
                </c:pt>
                <c:pt idx="109">
                  <c:v>11.481001055135444</c:v>
                </c:pt>
                <c:pt idx="110">
                  <c:v>11.567962120530211</c:v>
                </c:pt>
                <c:pt idx="111">
                  <c:v>11.653583030796558</c:v>
                </c:pt>
                <c:pt idx="112">
                  <c:v>11.737888769547487</c:v>
                </c:pt>
                <c:pt idx="113">
                  <c:v>11.820903518327501</c:v>
                </c:pt>
                <c:pt idx="114">
                  <c:v>11.902650691114502</c:v>
                </c:pt>
                <c:pt idx="115">
                  <c:v>11.983152967099176</c:v>
                </c:pt>
                <c:pt idx="116">
                  <c:v>12.062432321841083</c:v>
                </c:pt>
                <c:pt idx="117">
                  <c:v>12.140510056894374</c:v>
                </c:pt>
                <c:pt idx="118">
                  <c:v>12.217406827990052</c:v>
                </c:pt>
                <c:pt idx="119">
                  <c:v>12.29314267185606</c:v>
                </c:pt>
                <c:pt idx="120">
                  <c:v>12.367737031751316</c:v>
                </c:pt>
                <c:pt idx="121">
                  <c:v>12.441208781785049</c:v>
                </c:pt>
                <c:pt idx="122">
                  <c:v>12.513576250088089</c:v>
                </c:pt>
                <c:pt idx="123">
                  <c:v>12.584857240898915</c:v>
                </c:pt>
                <c:pt idx="124">
                  <c:v>12.655069055622963</c:v>
                </c:pt>
                <c:pt idx="125">
                  <c:v>12.724228512920368</c:v>
                </c:pt>
                <c:pt idx="126">
                  <c:v>12.79235196787377</c:v>
                </c:pt>
                <c:pt idx="127">
                  <c:v>12.85945533028471</c:v>
                </c:pt>
                <c:pt idx="128">
                  <c:v>12.925554082144185</c:v>
                </c:pt>
                <c:pt idx="129">
                  <c:v>12.99066329432007</c:v>
                </c:pt>
                <c:pt idx="130">
                  <c:v>13.054797642501892</c:v>
                </c:pt>
                <c:pt idx="131">
                  <c:v>13.11797142244048</c:v>
                </c:pt>
                <c:pt idx="132">
                  <c:v>13.180198564518349</c:v>
                </c:pt>
                <c:pt idx="133">
                  <c:v>13.24149264768427</c:v>
                </c:pt>
                <c:pt idx="134">
                  <c:v>13.301866912783522</c:v>
                </c:pt>
                <c:pt idx="135">
                  <c:v>13.361334275313649</c:v>
                </c:pt>
                <c:pt idx="136">
                  <c:v>13.419907337633678</c:v>
                </c:pt>
                <c:pt idx="137">
                  <c:v>13.477598400653349</c:v>
                </c:pt>
                <c:pt idx="138">
                  <c:v>13.5344194750271</c:v>
                </c:pt>
                <c:pt idx="139">
                  <c:v>13.590382291876546</c:v>
                </c:pt>
                <c:pt idx="140">
                  <c:v>13.645498313063536</c:v>
                </c:pt>
                <c:pt idx="141">
                  <c:v>13.699778741034848</c:v>
                </c:pt>
                <c:pt idx="142">
                  <c:v>13.75323452825835</c:v>
                </c:pt>
                <c:pt idx="143">
                  <c:v>13.805876386269365</c:v>
                </c:pt>
                <c:pt idx="144">
                  <c:v>13.857714794345046</c:v>
                </c:pt>
                <c:pt idx="145">
                  <c:v>13.908760007823533</c:v>
                </c:pt>
                <c:pt idx="146">
                  <c:v>13.959022066083737</c:v>
                </c:pt>
                <c:pt idx="147">
                  <c:v>14.008510800200977</c:v>
                </c:pt>
                <c:pt idx="148">
                  <c:v>14.057235840292622</c:v>
                </c:pt>
                <c:pt idx="149">
                  <c:v>14.105206622567284</c:v>
                </c:pt>
                <c:pt idx="150">
                  <c:v>14.152432396090543</c:v>
                </c:pt>
                <c:pt idx="151">
                  <c:v>14.198922229279265</c:v>
                </c:pt>
                <c:pt idx="152">
                  <c:v>14.244685016136145</c:v>
                </c:pt>
                <c:pt idx="153">
                  <c:v>14.289729482235519</c:v>
                </c:pt>
                <c:pt idx="154">
                  <c:v>14.334064190470873</c:v>
                </c:pt>
                <c:pt idx="155">
                  <c:v>14.37769754657397</c:v>
                </c:pt>
                <c:pt idx="156">
                  <c:v>14.420637804415151</c:v>
                </c:pt>
                <c:pt idx="157">
                  <c:v>14.462893071093735</c:v>
                </c:pt>
                <c:pt idx="158">
                  <c:v>14.504471311827142</c:v>
                </c:pt>
                <c:pt idx="159">
                  <c:v>14.545380354646921</c:v>
                </c:pt>
                <c:pt idx="160">
                  <c:v>14.585627894909488</c:v>
                </c:pt>
                <c:pt idx="161">
                  <c:v>14.625221499628982</c:v>
                </c:pt>
                <c:pt idx="162">
                  <c:v>14.664168611639379</c:v>
                </c:pt>
                <c:pt idx="163">
                  <c:v>14.702476553592604</c:v>
                </c:pt>
                <c:pt idx="164">
                  <c:v>14.740152531799144</c:v>
                </c:pt>
                <c:pt idx="165">
                  <c:v>14.777203639917346</c:v>
                </c:pt>
                <c:pt idx="166">
                  <c:v>14.813636862497297</c:v>
                </c:pt>
                <c:pt idx="167">
                  <c:v>14.849459078384964</c:v>
                </c:pt>
                <c:pt idx="168">
                  <c:v>14.884677063992013</c:v>
                </c:pt>
                <c:pt idx="169">
                  <c:v>14.919297496436478</c:v>
                </c:pt>
                <c:pt idx="170">
                  <c:v>14.953326956559284</c:v>
                </c:pt>
                <c:pt idx="171">
                  <c:v>14.986771931821307</c:v>
                </c:pt>
                <c:pt idx="172">
                  <c:v>15.01963881908566</c:v>
                </c:pt>
                <c:pt idx="173">
                  <c:v>15.051933927289472</c:v>
                </c:pt>
                <c:pt idx="174">
                  <c:v>15.083663480009406</c:v>
                </c:pt>
                <c:pt idx="175">
                  <c:v>15.114833617924985</c:v>
                </c:pt>
                <c:pt idx="176">
                  <c:v>15.145450401183542</c:v>
                </c:pt>
                <c:pt idx="177">
                  <c:v>15.17551981167057</c:v>
                </c:pt>
                <c:pt idx="178">
                  <c:v>15.205047755189014</c:v>
                </c:pt>
                <c:pt idx="179">
                  <c:v>15.23404006355096</c:v>
                </c:pt>
                <c:pt idx="180">
                  <c:v>15.262502496585068</c:v>
                </c:pt>
                <c:pt idx="181">
                  <c:v>15.290440744062879</c:v>
                </c:pt>
                <c:pt idx="182">
                  <c:v>15.3178604275471</c:v>
                </c:pt>
                <c:pt idx="183">
                  <c:v>15.344767102164802</c:v>
                </c:pt>
                <c:pt idx="184">
                  <c:v>15.371166258308433</c:v>
                </c:pt>
                <c:pt idx="185">
                  <c:v>15.39706332326729</c:v>
                </c:pt>
                <c:pt idx="186">
                  <c:v>15.422463662792168</c:v>
                </c:pt>
                <c:pt idx="187">
                  <c:v>15.447372582595747</c:v>
                </c:pt>
                <c:pt idx="188">
                  <c:v>15.471795329791121</c:v>
                </c:pt>
                <c:pt idx="189">
                  <c:v>15.495737094270845</c:v>
                </c:pt>
                <c:pt idx="190">
                  <c:v>15.519203010028859</c:v>
                </c:pt>
                <c:pt idx="191">
                  <c:v>15.542198156427403</c:v>
                </c:pt>
                <c:pt idx="192">
                  <c:v>15.564727559411116</c:v>
                </c:pt>
                <c:pt idx="193">
                  <c:v>15.586796192670377</c:v>
                </c:pt>
                <c:pt idx="194">
                  <c:v>15.608408978755829</c:v>
                </c:pt>
                <c:pt idx="195">
                  <c:v>15.629570790146044</c:v>
                </c:pt>
                <c:pt idx="196">
                  <c:v>15.650286450270197</c:v>
                </c:pt>
                <c:pt idx="197">
                  <c:v>15.670560734487484</c:v>
                </c:pt>
                <c:pt idx="198">
                  <c:v>15.690398371025054</c:v>
                </c:pt>
                <c:pt idx="199">
                  <c:v>15.709804041876144</c:v>
                </c:pt>
                <c:pt idx="200">
                  <c:v>15.728782383659972</c:v>
                </c:pt>
                <c:pt idx="201">
                  <c:v>15.747337988445</c:v>
                </c:pt>
                <c:pt idx="202">
                  <c:v>15.765475404537055</c:v>
                </c:pt>
                <c:pt idx="203">
                  <c:v>15.783199137233769</c:v>
                </c:pt>
                <c:pt idx="204">
                  <c:v>15.80051364954673</c:v>
                </c:pt>
                <c:pt idx="205">
                  <c:v>15.817423362892731</c:v>
                </c:pt>
                <c:pt idx="206">
                  <c:v>15.833932657755415</c:v>
                </c:pt>
                <c:pt idx="207">
                  <c:v>15.850045874318576</c:v>
                </c:pt>
                <c:pt idx="208">
                  <c:v>15.865767313072352</c:v>
                </c:pt>
                <c:pt idx="209">
                  <c:v>15.88110123539353</c:v>
                </c:pt>
                <c:pt idx="210">
                  <c:v>15.896051864100995</c:v>
                </c:pt>
                <c:pt idx="211">
                  <c:v>15.910623383987602</c:v>
                </c:pt>
                <c:pt idx="212">
                  <c:v>15.92481994232935</c:v>
                </c:pt>
                <c:pt idx="213">
                  <c:v>15.938645649373029</c:v>
                </c:pt>
                <c:pt idx="214">
                  <c:v>15.952104578803263</c:v>
                </c:pt>
                <c:pt idx="215">
                  <c:v>15.965200768189918</c:v>
                </c:pt>
                <c:pt idx="216">
                  <c:v>15.977938219416835</c:v>
                </c:pt>
                <c:pt idx="217">
                  <c:v>15.990320899092691</c:v>
                </c:pt>
                <c:pt idx="218">
                  <c:v>16.002352738944982</c:v>
                </c:pt>
                <c:pt idx="219">
                  <c:v>16.014037636197823</c:v>
                </c:pt>
                <c:pt idx="220">
                  <c:v>16.025379453934459</c:v>
                </c:pt>
                <c:pt idx="221">
                  <c:v>16.036382021445203</c:v>
                </c:pt>
                <c:pt idx="222">
                  <c:v>16.047049134561561</c:v>
                </c:pt>
                <c:pt idx="223">
                  <c:v>16.057384555977251</c:v>
                </c:pt>
                <c:pt idx="224">
                  <c:v>16.067392015556855</c:v>
                </c:pt>
                <c:pt idx="225">
                  <c:v>16.0770752106326</c:v>
                </c:pt>
                <c:pt idx="226">
                  <c:v>16.156863308606933</c:v>
                </c:pt>
                <c:pt idx="227">
                  <c:v>16.208060301697486</c:v>
                </c:pt>
                <c:pt idx="228">
                  <c:v>16.233863755128823</c:v>
                </c:pt>
                <c:pt idx="229">
                  <c:v>16.237191601111199</c:v>
                </c:pt>
                <c:pt idx="230">
                  <c:v>16.220697590480317</c:v>
                </c:pt>
                <c:pt idx="231">
                  <c:v>16.186785951447337</c:v>
                </c:pt>
                <c:pt idx="232">
                  <c:v>16.137626166558888</c:v>
                </c:pt>
                <c:pt idx="233">
                  <c:v>16.075168198928921</c:v>
                </c:pt>
                <c:pt idx="234">
                  <c:v>16.001158149019567</c:v>
                </c:pt>
                <c:pt idx="235">
                  <c:v>15.917154138560207</c:v>
                </c:pt>
                <c:pt idx="236">
                  <c:v>15.824542144940857</c:v>
                </c:pt>
                <c:pt idx="237">
                  <c:v>15.724551505794192</c:v>
                </c:pt>
                <c:pt idx="238">
                  <c:v>15.618269848786115</c:v>
                </c:pt>
                <c:pt idx="239">
                  <c:v>15.506657254691474</c:v>
                </c:pt>
                <c:pt idx="240">
                  <c:v>15.390559519049312</c:v>
                </c:pt>
                <c:pt idx="241">
                  <c:v>15.270720431130991</c:v>
                </c:pt>
                <c:pt idx="242">
                  <c:v>15.147793034617854</c:v>
                </c:pt>
                <c:pt idx="243">
                  <c:v>15.022349870849816</c:v>
                </c:pt>
                <c:pt idx="244">
                  <c:v>14.894892232897526</c:v>
                </c:pt>
                <c:pt idx="245">
                  <c:v>14.765858477983688</c:v>
                </c:pt>
                <c:pt idx="246">
                  <c:v>14.635631458245978</c:v>
                </c:pt>
                <c:pt idx="247">
                  <c:v>14.504545136873912</c:v>
                </c:pt>
                <c:pt idx="248">
                  <c:v>14.372890459550501</c:v>
                </c:pt>
                <c:pt idx="249">
                  <c:v>14.24092055099954</c:v>
                </c:pt>
                <c:pt idx="250">
                  <c:v>14.108855304198649</c:v>
                </c:pt>
                <c:pt idx="251">
                  <c:v>13.97688542619299</c:v>
                </c:pt>
                <c:pt idx="252">
                  <c:v>13.845175999991444</c:v>
                </c:pt>
                <c:pt idx="253">
                  <c:v>13.713869617157677</c:v>
                </c:pt>
                <c:pt idx="254">
                  <c:v>13.583089130719461</c:v>
                </c:pt>
                <c:pt idx="255">
                  <c:v>13.452940073114783</c:v>
                </c:pt>
                <c:pt idx="256">
                  <c:v>13.323512779206181</c:v>
                </c:pt>
                <c:pt idx="257">
                  <c:v>13.194884250009123</c:v>
                </c:pt>
                <c:pt idx="258">
                  <c:v>13.067119788737667</c:v>
                </c:pt>
                <c:pt idx="259">
                  <c:v>12.940274437090943</c:v>
                </c:pt>
                <c:pt idx="260">
                  <c:v>12.814394236383734</c:v>
                </c:pt>
                <c:pt idx="261">
                  <c:v>12.689517335152152</c:v>
                </c:pt>
                <c:pt idx="262">
                  <c:v>12.565674962219088</c:v>
                </c:pt>
                <c:pt idx="263">
                  <c:v>12.442892281860022</c:v>
                </c:pt>
                <c:pt idx="264">
                  <c:v>12.321189145640627</c:v>
                </c:pt>
                <c:pt idx="265">
                  <c:v>12.200580753676915</c:v>
                </c:pt>
                <c:pt idx="266">
                  <c:v>12.081078236470455</c:v>
                </c:pt>
                <c:pt idx="267">
                  <c:v>11.962689167070781</c:v>
                </c:pt>
                <c:pt idx="268">
                  <c:v>11.84541801209196</c:v>
                </c:pt>
                <c:pt idx="269">
                  <c:v>11.729266529039478</c:v>
                </c:pt>
                <c:pt idx="270">
                  <c:v>11.61423411646863</c:v>
                </c:pt>
                <c:pt idx="271">
                  <c:v>11.50031812267949</c:v>
                </c:pt>
                <c:pt idx="272">
                  <c:v>11.3875141179415</c:v>
                </c:pt>
                <c:pt idx="273">
                  <c:v>11.275816134619658</c:v>
                </c:pt>
                <c:pt idx="274">
                  <c:v>11.165216879032391</c:v>
                </c:pt>
                <c:pt idx="275">
                  <c:v>11.055707918398369</c:v>
                </c:pt>
                <c:pt idx="276">
                  <c:v>10.94727984581715</c:v>
                </c:pt>
                <c:pt idx="277">
                  <c:v>10.839922425868011</c:v>
                </c:pt>
                <c:pt idx="278">
                  <c:v>10.733624723097018</c:v>
                </c:pt>
                <c:pt idx="279">
                  <c:v>10.628375215387404</c:v>
                </c:pt>
                <c:pt idx="280">
                  <c:v>10.524161893967817</c:v>
                </c:pt>
                <c:pt idx="281">
                  <c:v>10.420972351602947</c:v>
                </c:pt>
                <c:pt idx="282">
                  <c:v>10.318793860326787</c:v>
                </c:pt>
                <c:pt idx="283">
                  <c:v>10.21761343991756</c:v>
                </c:pt>
                <c:pt idx="284">
                  <c:v>10.11741791817207</c:v>
                </c:pt>
                <c:pt idx="285">
                  <c:v>10.018193983912983</c:v>
                </c:pt>
                <c:pt idx="286">
                  <c:v>9.9199282335539625</c:v>
                </c:pt>
                <c:pt idx="287">
                  <c:v>9.8226072119515635</c:v>
                </c:pt>
                <c:pt idx="288">
                  <c:v>9.7262174481890025</c:v>
                </c:pt>
                <c:pt idx="289">
                  <c:v>9.6307454868626472</c:v>
                </c:pt>
                <c:pt idx="290">
                  <c:v>9.5361779153769515</c:v>
                </c:pt>
                <c:pt idx="291">
                  <c:v>9.4425013876961899</c:v>
                </c:pt>
                <c:pt idx="292">
                  <c:v>9.3497026449504812</c:v>
                </c:pt>
                <c:pt idx="293">
                  <c:v>9.2577685332490773</c:v>
                </c:pt>
                <c:pt idx="294">
                  <c:v>9.1666860190141382</c:v>
                </c:pt>
                <c:pt idx="295">
                  <c:v>9.0764422021134799</c:v>
                </c:pt>
                <c:pt idx="296">
                  <c:v>8.9870243270397463</c:v>
                </c:pt>
                <c:pt idx="297">
                  <c:v>8.8984197923561119</c:v>
                </c:pt>
                <c:pt idx="298">
                  <c:v>8.8106161586044411</c:v>
                </c:pt>
                <c:pt idx="299">
                  <c:v>8.7236011548502042</c:v>
                </c:pt>
                <c:pt idx="300">
                  <c:v>8.6373626840195286</c:v>
                </c:pt>
                <c:pt idx="301">
                  <c:v>8.5518888271666853</c:v>
                </c:pt>
                <c:pt idx="302">
                  <c:v>8.4671678467953093</c:v>
                </c:pt>
                <c:pt idx="303">
                  <c:v>8.3831881893434339</c:v>
                </c:pt>
                <c:pt idx="304">
                  <c:v>8.2999384869301771</c:v>
                </c:pt>
                <c:pt idx="305">
                  <c:v>8.2174075584516455</c:v>
                </c:pt>
                <c:pt idx="306">
                  <c:v>8.1355844101041068</c:v>
                </c:pt>
                <c:pt idx="307">
                  <c:v>8.0544582354038745</c:v>
                </c:pt>
                <c:pt idx="308">
                  <c:v>7.9740184147662205</c:v>
                </c:pt>
                <c:pt idx="309">
                  <c:v>7.8942545146985745</c:v>
                </c:pt>
                <c:pt idx="310">
                  <c:v>7.8151562866575288</c:v>
                </c:pt>
                <c:pt idx="311">
                  <c:v>7.7367136656138094</c:v>
                </c:pt>
                <c:pt idx="312">
                  <c:v>7.6589167683645041</c:v>
                </c:pt>
                <c:pt idx="313">
                  <c:v>7.5817558916277008</c:v>
                </c:pt>
                <c:pt idx="314">
                  <c:v>7.5052215099508448</c:v>
                </c:pt>
                <c:pt idx="315">
                  <c:v>7.429304273460704</c:v>
                </c:pt>
                <c:pt idx="316">
                  <c:v>7.3539950054797645</c:v>
                </c:pt>
                <c:pt idx="317">
                  <c:v>7.2792847000312921</c:v>
                </c:pt>
                <c:pt idx="318">
                  <c:v>7.2051645192525973</c:v>
                </c:pt>
                <c:pt idx="319">
                  <c:v>7.1316257907341782</c:v>
                </c:pt>
                <c:pt idx="320">
                  <c:v>7.0586600048001511</c:v>
                </c:pt>
                <c:pt idx="321">
                  <c:v>6.9862588117438627</c:v>
                </c:pt>
                <c:pt idx="322">
                  <c:v>6.9144140190308594</c:v>
                </c:pt>
                <c:pt idx="323">
                  <c:v>6.8431175884800419</c:v>
                </c:pt>
                <c:pt idx="324">
                  <c:v>6.7723616334325882</c:v>
                </c:pt>
                <c:pt idx="325">
                  <c:v>6.7021384159170623</c:v>
                </c:pt>
                <c:pt idx="326">
                  <c:v>6.632440343818109</c:v>
                </c:pt>
                <c:pt idx="327">
                  <c:v>6.5632599680552186</c:v>
                </c:pt>
                <c:pt idx="328">
                  <c:v>6.4945899797774054</c:v>
                </c:pt>
                <c:pt idx="329">
                  <c:v>6.4264232075785106</c:v>
                </c:pt>
                <c:pt idx="330">
                  <c:v>6.3587526147377229</c:v>
                </c:pt>
                <c:pt idx="331">
                  <c:v>6.2915712964888275</c:v>
                </c:pt>
                <c:pt idx="332">
                  <c:v>6.22487247732154</c:v>
                </c:pt>
                <c:pt idx="333">
                  <c:v>6.1586495083176036</c:v>
                </c:pt>
                <c:pt idx="334">
                  <c:v>6.0928958645239568</c:v>
                </c:pt>
                <c:pt idx="335">
                  <c:v>6.0276051423649992</c:v>
                </c:pt>
                <c:pt idx="336">
                  <c:v>5.9627710570954875</c:v>
                </c:pt>
                <c:pt idx="337">
                  <c:v>5.8983874402954504</c:v>
                </c:pt>
                <c:pt idx="338">
                  <c:v>5.8344482374081501</c:v>
                </c:pt>
                <c:pt idx="339">
                  <c:v>5.7709475053219084</c:v>
                </c:pt>
                <c:pt idx="340">
                  <c:v>5.7078794099964272</c:v>
                </c:pt>
                <c:pt idx="341">
                  <c:v>5.645238224134034</c:v>
                </c:pt>
                <c:pt idx="342">
                  <c:v>5.5830183248960594</c:v>
                </c:pt>
                <c:pt idx="343">
                  <c:v>5.5212141916645727</c:v>
                </c:pt>
                <c:pt idx="344">
                  <c:v>5.4598204038493385</c:v>
                </c:pt>
                <c:pt idx="345">
                  <c:v>5.3988316387399484</c:v>
                </c:pt>
                <c:pt idx="346">
                  <c:v>5.3382426694029093</c:v>
                </c:pt>
                <c:pt idx="347">
                  <c:v>5.2780483626232844</c:v>
                </c:pt>
                <c:pt idx="348">
                  <c:v>5.2182436768906415</c:v>
                </c:pt>
                <c:pt idx="349">
                  <c:v>5.1588236604287232</c:v>
                </c:pt>
                <c:pt idx="350">
                  <c:v>5.0997834492683891</c:v>
                </c:pt>
                <c:pt idx="351">
                  <c:v>5.0411182653633198</c:v>
                </c:pt>
                <c:pt idx="352">
                  <c:v>4.9828234147477426</c:v>
                </c:pt>
                <c:pt idx="353">
                  <c:v>4.9248942857357001</c:v>
                </c:pt>
                <c:pt idx="354">
                  <c:v>4.8673263471610877</c:v>
                </c:pt>
                <c:pt idx="355">
                  <c:v>4.81011514665785</c:v>
                </c:pt>
                <c:pt idx="356">
                  <c:v>4.7532563089795294</c:v>
                </c:pt>
                <c:pt idx="357">
                  <c:v>4.6967455343575519</c:v>
                </c:pt>
                <c:pt idx="358">
                  <c:v>4.6405785968974635</c:v>
                </c:pt>
                <c:pt idx="359">
                  <c:v>4.5847513430123312</c:v>
                </c:pt>
                <c:pt idx="360">
                  <c:v>4.5292596898926565</c:v>
                </c:pt>
                <c:pt idx="361">
                  <c:v>4.4740996240119699</c:v>
                </c:pt>
                <c:pt idx="362">
                  <c:v>4.4192671996674111</c:v>
                </c:pt>
                <c:pt idx="363">
                  <c:v>4.36475853755445</c:v>
                </c:pt>
                <c:pt idx="364">
                  <c:v>4.3105698233751726</c:v>
                </c:pt>
                <c:pt idx="365">
                  <c:v>4.256697306479154</c:v>
                </c:pt>
                <c:pt idx="366">
                  <c:v>4.2031372985364497</c:v>
                </c:pt>
                <c:pt idx="367">
                  <c:v>4.1498861722416933</c:v>
                </c:pt>
                <c:pt idx="368">
                  <c:v>4.0969403600488645</c:v>
                </c:pt>
                <c:pt idx="369">
                  <c:v>4.0442963529357652</c:v>
                </c:pt>
                <c:pt idx="370">
                  <c:v>3.9919506991976847</c:v>
                </c:pt>
                <c:pt idx="371">
                  <c:v>3.9399000032694307</c:v>
                </c:pt>
                <c:pt idx="372">
                  <c:v>3.8881409245751577</c:v>
                </c:pt>
                <c:pt idx="373">
                  <c:v>3.8366701764052493</c:v>
                </c:pt>
                <c:pt idx="374">
                  <c:v>3.785484524819613</c:v>
                </c:pt>
                <c:pt idx="375">
                  <c:v>3.734580787576772</c:v>
                </c:pt>
                <c:pt idx="376">
                  <c:v>3.6839558330881097</c:v>
                </c:pt>
                <c:pt idx="377">
                  <c:v>3.6336065793965826</c:v>
                </c:pt>
                <c:pt idx="378">
                  <c:v>3.58352999317944</c:v>
                </c:pt>
                <c:pt idx="379">
                  <c:v>3.5337230887742024</c:v>
                </c:pt>
                <c:pt idx="380">
                  <c:v>3.4841829272274332</c:v>
                </c:pt>
                <c:pt idx="381">
                  <c:v>3.4349066153656516</c:v>
                </c:pt>
                <c:pt idx="382">
                  <c:v>3.3858913048879047</c:v>
                </c:pt>
                <c:pt idx="383">
                  <c:v>3.3371341914793917</c:v>
                </c:pt>
                <c:pt idx="384">
                  <c:v>3.2886325139456685</c:v>
                </c:pt>
                <c:pt idx="385">
                  <c:v>3.2403835533668799</c:v>
                </c:pt>
                <c:pt idx="386">
                  <c:v>3.1923846322715121</c:v>
                </c:pt>
                <c:pt idx="387">
                  <c:v>3.1446331138291974</c:v>
                </c:pt>
                <c:pt idx="388">
                  <c:v>3.0971264010620776</c:v>
                </c:pt>
                <c:pt idx="389">
                  <c:v>3.049861936074258</c:v>
                </c:pt>
                <c:pt idx="390">
                  <c:v>3.002837199298888</c:v>
                </c:pt>
                <c:pt idx="391">
                  <c:v>2.9560497087624311</c:v>
                </c:pt>
                <c:pt idx="392">
                  <c:v>2.9094970193657099</c:v>
                </c:pt>
                <c:pt idx="393">
                  <c:v>2.863176722181247</c:v>
                </c:pt>
                <c:pt idx="394">
                  <c:v>2.8170864437665659</c:v>
                </c:pt>
                <c:pt idx="395">
                  <c:v>2.7712238454929636</c:v>
                </c:pt>
                <c:pt idx="396">
                  <c:v>2.7255866228894576</c:v>
                </c:pt>
                <c:pt idx="397">
                  <c:v>2.6801725050014302</c:v>
                </c:pt>
                <c:pt idx="398">
                  <c:v>2.6349792537636918</c:v>
                </c:pt>
                <c:pt idx="399">
                  <c:v>2.5900046633875187</c:v>
                </c:pt>
                <c:pt idx="400">
                  <c:v>2.54524655976138</c:v>
                </c:pt>
                <c:pt idx="401">
                  <c:v>2.5007027998649622</c:v>
                </c:pt>
                <c:pt idx="402">
                  <c:v>2.4563712711961769</c:v>
                </c:pt>
                <c:pt idx="403">
                  <c:v>2.4122498912108528</c:v>
                </c:pt>
                <c:pt idx="404">
                  <c:v>2.3683366067747404</c:v>
                </c:pt>
                <c:pt idx="405">
                  <c:v>2.3246293936275628</c:v>
                </c:pt>
                <c:pt idx="406">
                  <c:v>2.2811262558588075</c:v>
                </c:pt>
                <c:pt idx="407">
                  <c:v>2.2378252253949542</c:v>
                </c:pt>
                <c:pt idx="408">
                  <c:v>2.1947243614978564</c:v>
                </c:pt>
                <c:pt idx="409">
                  <c:v>2.1518217502740158</c:v>
                </c:pt>
                <c:pt idx="410">
                  <c:v>2.1091155041944658</c:v>
                </c:pt>
                <c:pt idx="411">
                  <c:v>2.0666037616250268</c:v>
                </c:pt>
                <c:pt idx="412">
                  <c:v>2.0242846863665886</c:v>
                </c:pt>
                <c:pt idx="413">
                  <c:v>1.9821564672053495</c:v>
                </c:pt>
                <c:pt idx="414">
                  <c:v>1.9402173174725681</c:v>
                </c:pt>
                <c:pt idx="415">
                  <c:v>1.8984654746137304</c:v>
                </c:pt>
                <c:pt idx="416">
                  <c:v>1.8568991997668616</c:v>
                </c:pt>
                <c:pt idx="417">
                  <c:v>1.8155167773497396</c:v>
                </c:pt>
                <c:pt idx="418">
                  <c:v>1.7743165146558315</c:v>
                </c:pt>
                <c:pt idx="419">
                  <c:v>1.7332967414587106</c:v>
                </c:pt>
                <c:pt idx="420">
                  <c:v>1.6924558096247528</c:v>
                </c:pt>
                <c:pt idx="421">
                  <c:v>1.651792092733958</c:v>
                </c:pt>
                <c:pt idx="422">
                  <c:v>1.6113039857086073</c:v>
                </c:pt>
                <c:pt idx="423">
                  <c:v>1.5709899044496789</c:v>
                </c:pt>
                <c:pt idx="424">
                  <c:v>1.5308482854807588</c:v>
                </c:pt>
                <c:pt idx="425">
                  <c:v>1.4908775855992584</c:v>
                </c:pt>
                <c:pt idx="426">
                  <c:v>1.4510762815348652</c:v>
                </c:pt>
                <c:pt idx="427">
                  <c:v>1.4114428696149295</c:v>
                </c:pt>
                <c:pt idx="428">
                  <c:v>1.371975865436722</c:v>
                </c:pt>
                <c:pt idx="429">
                  <c:v>1.3326738035463126</c:v>
                </c:pt>
                <c:pt idx="430">
                  <c:v>1.2935352371240123</c:v>
                </c:pt>
                <c:pt idx="431">
                  <c:v>1.2545587376761149</c:v>
                </c:pt>
                <c:pt idx="432">
                  <c:v>1.215742894732905</c:v>
                </c:pt>
                <c:pt idx="433">
                  <c:v>1.1770863155526718</c:v>
                </c:pt>
                <c:pt idx="434">
                  <c:v>1.1385876248317033</c:v>
                </c:pt>
                <c:pt idx="435">
                  <c:v>1.1002454644200106</c:v>
                </c:pt>
                <c:pt idx="436">
                  <c:v>1.062058493042737</c:v>
                </c:pt>
                <c:pt idx="437">
                  <c:v>1.0240253860270752</c:v>
                </c:pt>
                <c:pt idx="438">
                  <c:v>0.98614483503456463</c:v>
                </c:pt>
                <c:pt idx="439">
                  <c:v>0.94841554779869219</c:v>
                </c:pt>
                <c:pt idx="440">
                  <c:v>0.91083624786758444</c:v>
                </c:pt>
                <c:pt idx="441">
                  <c:v>0.87340567435178396</c:v>
                </c:pt>
                <c:pt idx="442">
                  <c:v>0.83612258167692288</c:v>
                </c:pt>
                <c:pt idx="443">
                  <c:v>0.79898573934116701</c:v>
                </c:pt>
                <c:pt idx="444">
                  <c:v>0.76199393167741325</c:v>
                </c:pt>
                <c:pt idx="445">
                  <c:v>0.72514595762003597</c:v>
                </c:pt>
                <c:pt idx="446">
                  <c:v>0.68844063047611104</c:v>
                </c:pt>
                <c:pt idx="447">
                  <c:v>0.65187677770105579</c:v>
                </c:pt>
                <c:pt idx="448">
                  <c:v>0.61545324067854568</c:v>
                </c:pt>
                <c:pt idx="449">
                  <c:v>0.57916887450459253</c:v>
                </c:pt>
                <c:pt idx="450">
                  <c:v>0.54302254777577452</c:v>
                </c:pt>
                <c:pt idx="451">
                  <c:v>0.50701314238139927</c:v>
                </c:pt>
                <c:pt idx="452">
                  <c:v>0.47113955329966789</c:v>
                </c:pt>
                <c:pt idx="453">
                  <c:v>0.43540068839760215</c:v>
                </c:pt>
                <c:pt idx="454">
                  <c:v>0.39979546823475232</c:v>
                </c:pt>
                <c:pt idx="455">
                  <c:v>0.36432282587055465</c:v>
                </c:pt>
                <c:pt idx="456">
                  <c:v>0.32898170667528959</c:v>
                </c:pt>
                <c:pt idx="457">
                  <c:v>0.29377106814453097</c:v>
                </c:pt>
                <c:pt idx="458">
                  <c:v>0.25868987971702562</c:v>
                </c:pt>
                <c:pt idx="459">
                  <c:v>0.22373712259594916</c:v>
                </c:pt>
                <c:pt idx="460">
                  <c:v>0.18891178957340427</c:v>
                </c:pt>
                <c:pt idx="461">
                  <c:v>0.15421288485818307</c:v>
                </c:pt>
                <c:pt idx="462">
                  <c:v>0.11963942390662842</c:v>
                </c:pt>
                <c:pt idx="463">
                  <c:v>8.5190433256588038E-2</c:v>
                </c:pt>
                <c:pt idx="464">
                  <c:v>5.0864950364390968E-2</c:v>
                </c:pt>
                <c:pt idx="465">
                  <c:v>1.6662023444753614E-2</c:v>
                </c:pt>
                <c:pt idx="466">
                  <c:v>-1.7419288686442481E-2</c:v>
                </c:pt>
                <c:pt idx="467">
                  <c:v>-5.1379916766506772E-2</c:v>
                </c:pt>
                <c:pt idx="468">
                  <c:v>-8.5220781237577647E-2</c:v>
                </c:pt>
                <c:pt idx="469">
                  <c:v>-0.11894279239553585</c:v>
                </c:pt>
                <c:pt idx="470">
                  <c:v>-0.15254685053626069</c:v>
                </c:pt>
                <c:pt idx="471">
                  <c:v>-0.18603384609932203</c:v>
                </c:pt>
                <c:pt idx="472">
                  <c:v>-0.21940465980911322</c:v>
                </c:pt>
                <c:pt idx="473">
                  <c:v>-0.25266016281348608</c:v>
                </c:pt>
                <c:pt idx="474">
                  <c:v>-0.2858012168199881</c:v>
                </c:pt>
                <c:pt idx="475">
                  <c:v>-0.31882867422967859</c:v>
                </c:pt>
                <c:pt idx="476">
                  <c:v>-0.35174337826864543</c:v>
                </c:pt>
                <c:pt idx="477">
                  <c:v>-0.38454616311719542</c:v>
                </c:pt>
                <c:pt idx="478">
                  <c:v>-0.41723785403683872</c:v>
                </c:pt>
                <c:pt idx="479">
                  <c:v>-0.44981926749506235</c:v>
                </c:pt>
                <c:pt idx="480">
                  <c:v>-0.48229121128795605</c:v>
                </c:pt>
                <c:pt idx="481">
                  <c:v>-0.51465448466074992</c:v>
                </c:pt>
                <c:pt idx="482">
                  <c:v>-0.54690987842624605</c:v>
                </c:pt>
                <c:pt idx="483">
                  <c:v>-0.57905817508127355</c:v>
                </c:pt>
                <c:pt idx="484">
                  <c:v>-0.61110014892114528</c:v>
                </c:pt>
                <c:pt idx="485">
                  <c:v>-0.64303656615217097</c:v>
                </c:pt>
                <c:pt idx="486">
                  <c:v>-0.67486818500226731</c:v>
                </c:pt>
                <c:pt idx="487">
                  <c:v>-0.70659575582970702</c:v>
                </c:pt>
                <c:pt idx="488">
                  <c:v>-0.73822002123005626</c:v>
                </c:pt>
                <c:pt idx="489">
                  <c:v>-0.76974171614127895</c:v>
                </c:pt>
                <c:pt idx="490">
                  <c:v>-0.80116156794713189</c:v>
                </c:pt>
                <c:pt idx="491">
                  <c:v>-0.83248029657882483</c:v>
                </c:pt>
                <c:pt idx="492">
                  <c:v>-0.86369861461496078</c:v>
                </c:pt>
                <c:pt idx="493">
                  <c:v>-0.89481722737988156</c:v>
                </c:pt>
                <c:pt idx="494">
                  <c:v>-0.92583683304034703</c:v>
                </c:pt>
                <c:pt idx="495">
                  <c:v>-0.95675812270062044</c:v>
                </c:pt>
                <c:pt idx="496">
                  <c:v>-0.98758178049604828</c:v>
                </c:pt>
                <c:pt idx="497">
                  <c:v>-1.018308483685042</c:v>
                </c:pt>
                <c:pt idx="498">
                  <c:v>-1.0489389027396108</c:v>
                </c:pt>
                <c:pt idx="499">
                  <c:v>-1.0794737014343929</c:v>
                </c:pt>
                <c:pt idx="500">
                  <c:v>-1.1099135369342796</c:v>
                </c:pt>
                <c:pt idx="501">
                  <c:v>-1.1402590598805815</c:v>
                </c:pt>
                <c:pt idx="502">
                  <c:v>-1.1705109144758403</c:v>
                </c:pt>
                <c:pt idx="503">
                  <c:v>-1.2006697385672533</c:v>
                </c:pt>
                <c:pt idx="504">
                  <c:v>-1.2307361637288097</c:v>
                </c:pt>
                <c:pt idx="505">
                  <c:v>-1.2607108153420521</c:v>
                </c:pt>
                <c:pt idx="506">
                  <c:v>-1.2905943126755846</c:v>
                </c:pt>
                <c:pt idx="507">
                  <c:v>-1.3203872689633611</c:v>
                </c:pt>
                <c:pt idx="508">
                  <c:v>-1.3500902914816468</c:v>
                </c:pt>
                <c:pt idx="509">
                  <c:v>-1.3797039816248429</c:v>
                </c:pt>
                <c:pt idx="510">
                  <c:v>-1.4092289349800819</c:v>
                </c:pt>
                <c:pt idx="511">
                  <c:v>-1.4386657414006701</c:v>
                </c:pt>
                <c:pt idx="512">
                  <c:v>-1.468014985078367</c:v>
                </c:pt>
                <c:pt idx="513">
                  <c:v>-1.4972772446145362</c:v>
                </c:pt>
                <c:pt idx="514">
                  <c:v>-1.5264530930902449</c:v>
                </c:pt>
                <c:pt idx="515">
                  <c:v>-1.5555430981351748</c:v>
                </c:pt>
                <c:pt idx="516">
                  <c:v>-1.5845478219955857</c:v>
                </c:pt>
                <c:pt idx="517">
                  <c:v>-1.6134678216011236</c:v>
                </c:pt>
                <c:pt idx="518">
                  <c:v>-1.6423036486306797</c:v>
                </c:pt>
                <c:pt idx="519">
                  <c:v>-1.6710558495772272</c:v>
                </c:pt>
                <c:pt idx="520">
                  <c:v>-1.69972496581162</c:v>
                </c:pt>
                <c:pt idx="521">
                  <c:v>-1.7283115336455031</c:v>
                </c:pt>
                <c:pt idx="522">
                  <c:v>-1.7568160843931746</c:v>
                </c:pt>
                <c:pt idx="523">
                  <c:v>-1.7852391444325801</c:v>
                </c:pt>
                <c:pt idx="524">
                  <c:v>-1.8135812352653804</c:v>
                </c:pt>
                <c:pt idx="525">
                  <c:v>-1.8418428735760537</c:v>
                </c:pt>
                <c:pt idx="526">
                  <c:v>-1.8700245712902106</c:v>
                </c:pt>
                <c:pt idx="527">
                  <c:v>-1.8981268356319503</c:v>
                </c:pt>
                <c:pt idx="528">
                  <c:v>-1.9261501691803853</c:v>
                </c:pt>
                <c:pt idx="529">
                  <c:v>-1.9540950699253588</c:v>
                </c:pt>
                <c:pt idx="530">
                  <c:v>-1.9819620313222865</c:v>
                </c:pt>
                <c:pt idx="531">
                  <c:v>-2.0097515423462258</c:v>
                </c:pt>
                <c:pt idx="532">
                  <c:v>-2.0374640875451204</c:v>
                </c:pt>
                <c:pt idx="533">
                  <c:v>-2.0651001470922701</c:v>
                </c:pt>
                <c:pt idx="534">
                  <c:v>-2.0926601968380441</c:v>
                </c:pt>
                <c:pt idx="535">
                  <c:v>-2.1201447083608165</c:v>
                </c:pt>
                <c:pt idx="536">
                  <c:v>-2.1475541490171675</c:v>
                </c:pt>
                <c:pt idx="537">
                  <c:v>-2.1748889819913755</c:v>
                </c:pt>
                <c:pt idx="538">
                  <c:v>-2.2021496663441202</c:v>
                </c:pt>
                <c:pt idx="539">
                  <c:v>-2.2293366570606006</c:v>
                </c:pt>
                <c:pt idx="540">
                  <c:v>-2.2564504050978282</c:v>
                </c:pt>
                <c:pt idx="541">
                  <c:v>-2.2834913574313367</c:v>
                </c:pt>
                <c:pt idx="542">
                  <c:v>-2.3104599571011795</c:v>
                </c:pt>
                <c:pt idx="543">
                  <c:v>-2.3373566432572477</c:v>
                </c:pt>
                <c:pt idx="544">
                  <c:v>-2.364181851204016</c:v>
                </c:pt>
                <c:pt idx="545">
                  <c:v>-2.3909360124445609</c:v>
                </c:pt>
                <c:pt idx="546">
                  <c:v>-2.417619554724022</c:v>
                </c:pt>
                <c:pt idx="547">
                  <c:v>-2.4442329020724194</c:v>
                </c:pt>
                <c:pt idx="548">
                  <c:v>-2.4707764748468626</c:v>
                </c:pt>
                <c:pt idx="549">
                  <c:v>-2.4972506897731757</c:v>
                </c:pt>
                <c:pt idx="550">
                  <c:v>-2.5236559599869461</c:v>
                </c:pt>
                <c:pt idx="551">
                  <c:v>-2.5499926950739722</c:v>
                </c:pt>
                <c:pt idx="552">
                  <c:v>-2.5762613011101685</c:v>
                </c:pt>
                <c:pt idx="553">
                  <c:v>-2.6024621807009165</c:v>
                </c:pt>
                <c:pt idx="554">
                  <c:v>-2.6285957330198411</c:v>
                </c:pt>
                <c:pt idx="555">
                  <c:v>-2.6546623538470904</c:v>
                </c:pt>
                <c:pt idx="556">
                  <c:v>-2.6806624356070547</c:v>
                </c:pt>
                <c:pt idx="557">
                  <c:v>-2.7065963674055658</c:v>
                </c:pt>
                <c:pt idx="558">
                  <c:v>-2.7324645350666241</c:v>
                </c:pt>
                <c:pt idx="559">
                  <c:v>-2.7582673211685602</c:v>
                </c:pt>
                <c:pt idx="560">
                  <c:v>-2.7840051050797681</c:v>
                </c:pt>
                <c:pt idx="561">
                  <c:v>-2.8096782629938799</c:v>
                </c:pt>
                <c:pt idx="562">
                  <c:v>-2.8352871679645562</c:v>
                </c:pt>
                <c:pt idx="563">
                  <c:v>-2.8608321899396829</c:v>
                </c:pt>
                <c:pt idx="564">
                  <c:v>-2.8863136957952209</c:v>
                </c:pt>
                <c:pt idx="565">
                  <c:v>-2.9117320493685317</c:v>
                </c:pt>
                <c:pt idx="566">
                  <c:v>-2.9370876114912745</c:v>
                </c:pt>
                <c:pt idx="567">
                  <c:v>-2.9623807400218545</c:v>
                </c:pt>
                <c:pt idx="568">
                  <c:v>-2.9876117898774535</c:v>
                </c:pt>
                <c:pt idx="569">
                  <c:v>-3.0127811130656079</c:v>
                </c:pt>
                <c:pt idx="570">
                  <c:v>-3.0378890587153951</c:v>
                </c:pt>
                <c:pt idx="571">
                  <c:v>-3.0629359731081611</c:v>
                </c:pt>
                <c:pt idx="572">
                  <c:v>-3.0879221997079114</c:v>
                </c:pt>
                <c:pt idx="573">
                  <c:v>-3.112848079191215</c:v>
                </c:pt>
                <c:pt idx="574">
                  <c:v>-3.1377139494767907</c:v>
                </c:pt>
                <c:pt idx="575">
                  <c:v>-3.1625201457546535</c:v>
                </c:pt>
                <c:pt idx="576">
                  <c:v>-3.1872670005148991</c:v>
                </c:pt>
                <c:pt idx="577">
                  <c:v>-3.2119548435761081</c:v>
                </c:pt>
                <c:pt idx="578">
                  <c:v>-3.2365840021133803</c:v>
                </c:pt>
                <c:pt idx="579">
                  <c:v>-3.2611548006860271</c:v>
                </c:pt>
                <c:pt idx="580">
                  <c:v>-3.2856675612648272</c:v>
                </c:pt>
                <c:pt idx="581">
                  <c:v>-3.3101226032590416</c:v>
                </c:pt>
                <c:pt idx="582">
                  <c:v>-3.3345202435429675</c:v>
                </c:pt>
                <c:pt idx="583">
                  <c:v>-3.3588607964822641</c:v>
                </c:pt>
                <c:pt idx="584">
                  <c:v>-3.3831445739598203</c:v>
                </c:pt>
                <c:pt idx="585">
                  <c:v>-3.4073718854013917</c:v>
                </c:pt>
                <c:pt idx="586">
                  <c:v>-3.431543037800846</c:v>
                </c:pt>
                <c:pt idx="587">
                  <c:v>-3.4556583357451069</c:v>
                </c:pt>
                <c:pt idx="588">
                  <c:v>-3.4797180814388118</c:v>
                </c:pt>
                <c:pt idx="589">
                  <c:v>-3.5037225747285774</c:v>
                </c:pt>
                <c:pt idx="590">
                  <c:v>-3.5276721131270521</c:v>
                </c:pt>
                <c:pt idx="591">
                  <c:v>-3.551566991836582</c:v>
                </c:pt>
                <c:pt idx="592">
                  <c:v>-3.5754075037726567</c:v>
                </c:pt>
                <c:pt idx="593">
                  <c:v>-3.5991939395869714</c:v>
                </c:pt>
                <c:pt idx="594">
                  <c:v>-3.6229265876902965</c:v>
                </c:pt>
                <c:pt idx="595">
                  <c:v>-3.646605734274972</c:v>
                </c:pt>
                <c:pt idx="596">
                  <c:v>-3.670231663337193</c:v>
                </c:pt>
                <c:pt idx="597">
                  <c:v>-3.6938046566989549</c:v>
                </c:pt>
                <c:pt idx="598">
                  <c:v>-3.7173249940297919</c:v>
                </c:pt>
                <c:pt idx="599">
                  <c:v>-3.7407929528681838</c:v>
                </c:pt>
                <c:pt idx="600">
                  <c:v>-3.7642088086427394</c:v>
                </c:pt>
                <c:pt idx="601">
                  <c:v>-3.7875728346931021</c:v>
                </c:pt>
                <c:pt idx="602">
                  <c:v>-3.8108853022906057</c:v>
                </c:pt>
                <c:pt idx="603">
                  <c:v>-3.8341464806586636</c:v>
                </c:pt>
                <c:pt idx="604">
                  <c:v>-3.857356636992924</c:v>
                </c:pt>
                <c:pt idx="605">
                  <c:v>-3.8805160364811764</c:v>
                </c:pt>
                <c:pt idx="606">
                  <c:v>-4.9791002911974678</c:v>
                </c:pt>
                <c:pt idx="607">
                  <c:v>-5.9782958680757856</c:v>
                </c:pt>
                <c:pt idx="608">
                  <c:v>-6.8979194887074797</c:v>
                </c:pt>
                <c:pt idx="609">
                  <c:v>-7.7525082042628481</c:v>
                </c:pt>
                <c:pt idx="610">
                  <c:v>-8.5530012473224453</c:v>
                </c:pt>
                <c:pt idx="611">
                  <c:v>-9.3078049398685483</c:v>
                </c:pt>
                <c:pt idx="612">
                  <c:v>-10.023493849174178</c:v>
                </c:pt>
                <c:pt idx="613">
                  <c:v>-10.705287864136777</c:v>
                </c:pt>
                <c:pt idx="614">
                  <c:v>-11.357385982881826</c:v>
                </c:pt>
                <c:pt idx="615">
                  <c:v>-11.98320547688763</c:v>
                </c:pt>
                <c:pt idx="616">
                  <c:v>-12.585556794285026</c:v>
                </c:pt>
                <c:pt idx="617">
                  <c:v>-13.166773739087493</c:v>
                </c:pt>
                <c:pt idx="618">
                  <c:v>-13.393006287648014</c:v>
                </c:pt>
                <c:pt idx="619">
                  <c:v>-13.616296264393903</c:v>
                </c:pt>
                <c:pt idx="620">
                  <c:v>-13.836748058996903</c:v>
                </c:pt>
                <c:pt idx="621">
                  <c:v>-14.054459460666731</c:v>
                </c:pt>
                <c:pt idx="622">
                  <c:v>-14.269522192428173</c:v>
                </c:pt>
                <c:pt idx="623">
                  <c:v>-14.48202239562562</c:v>
                </c:pt>
                <c:pt idx="624">
                  <c:v>-14.692041069922446</c:v>
                </c:pt>
                <c:pt idx="625">
                  <c:v>-14.899654473427354</c:v>
                </c:pt>
                <c:pt idx="626">
                  <c:v>-15.104934487031043</c:v>
                </c:pt>
                <c:pt idx="627">
                  <c:v>-15.307948946561794</c:v>
                </c:pt>
                <c:pt idx="628">
                  <c:v>-15.508761945956195</c:v>
                </c:pt>
                <c:pt idx="629">
                  <c:v>-15.70743411428241</c:v>
                </c:pt>
                <c:pt idx="630">
                  <c:v>-15.904022869140066</c:v>
                </c:pt>
                <c:pt idx="631">
                  <c:v>-16.09858264868658</c:v>
                </c:pt>
                <c:pt idx="632">
                  <c:v>-16.291165124299525</c:v>
                </c:pt>
                <c:pt idx="633">
                  <c:v>-16.481819395672868</c:v>
                </c:pt>
                <c:pt idx="634">
                  <c:v>-16.670592169958617</c:v>
                </c:pt>
                <c:pt idx="635">
                  <c:v>-16.85752792640082</c:v>
                </c:pt>
                <c:pt idx="636">
                  <c:v>-17.042669067763004</c:v>
                </c:pt>
                <c:pt idx="637">
                  <c:v>-17.226056059720928</c:v>
                </c:pt>
                <c:pt idx="638">
                  <c:v>-17.407727559277554</c:v>
                </c:pt>
                <c:pt idx="639">
                  <c:v>-17.587720533154751</c:v>
                </c:pt>
                <c:pt idx="640">
                  <c:v>-17.766070367025183</c:v>
                </c:pt>
                <c:pt idx="641">
                  <c:v>-17.94281096636589</c:v>
                </c:pt>
                <c:pt idx="642">
                  <c:v>-18.117974849642344</c:v>
                </c:pt>
                <c:pt idx="643">
                  <c:v>-18.291593234466063</c:v>
                </c:pt>
                <c:pt idx="644">
                  <c:v>-18.463696117310178</c:v>
                </c:pt>
                <c:pt idx="645">
                  <c:v>-18.634312347314438</c:v>
                </c:pt>
                <c:pt idx="646">
                  <c:v>-18.803469694663352</c:v>
                </c:pt>
                <c:pt idx="647">
                  <c:v>-18.971194913978518</c:v>
                </c:pt>
                <c:pt idx="648">
                  <c:v>-19.137513803127007</c:v>
                </c:pt>
                <c:pt idx="649">
                  <c:v>-19.302451257813015</c:v>
                </c:pt>
                <c:pt idx="650">
                  <c:v>-19.466031322287844</c:v>
                </c:pt>
                <c:pt idx="651">
                  <c:v>-19.628277236484895</c:v>
                </c:pt>
                <c:pt idx="652">
                  <c:v>-19.789211479859933</c:v>
                </c:pt>
                <c:pt idx="653">
                  <c:v>-19.948855812193457</c:v>
                </c:pt>
                <c:pt idx="654">
                  <c:v>-20.107231311590247</c:v>
                </c:pt>
                <c:pt idx="655">
                  <c:v>-20.264358409891798</c:v>
                </c:pt>
                <c:pt idx="656">
                  <c:v>-20.420256925699334</c:v>
                </c:pt>
                <c:pt idx="657">
                  <c:v>-20.574946095188935</c:v>
                </c:pt>
                <c:pt idx="658">
                  <c:v>-20.728444600885361</c:v>
                </c:pt>
                <c:pt idx="659">
                  <c:v>-20.880770598547983</c:v>
                </c:pt>
                <c:pt idx="660">
                  <c:v>-21.031941742309307</c:v>
                </c:pt>
                <c:pt idx="661">
                  <c:v>-21.181975208195809</c:v>
                </c:pt>
                <c:pt idx="662">
                  <c:v>-21.330887716150162</c:v>
                </c:pt>
                <c:pt idx="663">
                  <c:v>-21.478695550664625</c:v>
                </c:pt>
                <c:pt idx="664">
                  <c:v>-21.625414580126634</c:v>
                </c:pt>
                <c:pt idx="665">
                  <c:v>-21.77106027496972</c:v>
                </c:pt>
                <c:pt idx="666">
                  <c:v>-21.915647724715676</c:v>
                </c:pt>
                <c:pt idx="667">
                  <c:v>-22.059191653987028</c:v>
                </c:pt>
              </c:numCache>
            </c:numRef>
          </c:yVal>
          <c:smooth val="1"/>
          <c:extLst>
            <c:ext xmlns:c16="http://schemas.microsoft.com/office/drawing/2014/chart" uri="{C3380CC4-5D6E-409C-BE32-E72D297353CC}">
              <c16:uniqueId val="{00000000-2A10-41EA-A3AE-967165122F16}"/>
            </c:ext>
          </c:extLst>
        </c:ser>
        <c:ser>
          <c:idx val="0"/>
          <c:order val="2"/>
          <c:tx>
            <c:v>Measured Gain</c:v>
          </c:tx>
          <c:spPr>
            <a:ln w="12700">
              <a:solidFill>
                <a:srgbClr val="000080"/>
              </a:solidFill>
              <a:prstDash val="solid"/>
            </a:ln>
          </c:spPr>
          <c:marker>
            <c:symbol val="diamond"/>
            <c:size val="5"/>
            <c:spPr>
              <a:solidFill>
                <a:srgbClr val="000080"/>
              </a:solidFill>
              <a:ln>
                <a:solidFill>
                  <a:srgbClr val="000080"/>
                </a:solidFill>
                <a:prstDash val="solid"/>
              </a:ln>
            </c:spPr>
          </c:marker>
          <c:xVal>
            <c:numRef>
              <c:f>'Bode Plots Calculations'!$BT$10:$BT$409</c:f>
              <c:numCache>
                <c:formatCode>#0.0#</c:formatCode>
                <c:ptCount val="400"/>
                <c:pt idx="0">
                  <c:v>100</c:v>
                </c:pt>
                <c:pt idx="1">
                  <c:v>102.32899999999999</c:v>
                </c:pt>
                <c:pt idx="2">
                  <c:v>104.71299999999999</c:v>
                </c:pt>
                <c:pt idx="3">
                  <c:v>107.152</c:v>
                </c:pt>
                <c:pt idx="4">
                  <c:v>109.648</c:v>
                </c:pt>
                <c:pt idx="5">
                  <c:v>112.202</c:v>
                </c:pt>
                <c:pt idx="6">
                  <c:v>114.815</c:v>
                </c:pt>
                <c:pt idx="7">
                  <c:v>117.49</c:v>
                </c:pt>
                <c:pt idx="8">
                  <c:v>120.226</c:v>
                </c:pt>
                <c:pt idx="9">
                  <c:v>123.027</c:v>
                </c:pt>
                <c:pt idx="10">
                  <c:v>125.893</c:v>
                </c:pt>
                <c:pt idx="11">
                  <c:v>128.82499999999999</c:v>
                </c:pt>
                <c:pt idx="12">
                  <c:v>131.82599999999999</c:v>
                </c:pt>
                <c:pt idx="13">
                  <c:v>134.89599999999999</c:v>
                </c:pt>
                <c:pt idx="14">
                  <c:v>138.03800000000001</c:v>
                </c:pt>
                <c:pt idx="15">
                  <c:v>141.25399999999999</c:v>
                </c:pt>
                <c:pt idx="16">
                  <c:v>144.54400000000001</c:v>
                </c:pt>
                <c:pt idx="17">
                  <c:v>147.911</c:v>
                </c:pt>
                <c:pt idx="18">
                  <c:v>151.35599999999999</c:v>
                </c:pt>
                <c:pt idx="19">
                  <c:v>154.88200000000001</c:v>
                </c:pt>
                <c:pt idx="20">
                  <c:v>158.489</c:v>
                </c:pt>
                <c:pt idx="21">
                  <c:v>162.18100000000001</c:v>
                </c:pt>
                <c:pt idx="22">
                  <c:v>165.959</c:v>
                </c:pt>
                <c:pt idx="23">
                  <c:v>169.82400000000001</c:v>
                </c:pt>
                <c:pt idx="24">
                  <c:v>173.78</c:v>
                </c:pt>
                <c:pt idx="25">
                  <c:v>177.828</c:v>
                </c:pt>
                <c:pt idx="26">
                  <c:v>181.97</c:v>
                </c:pt>
                <c:pt idx="27">
                  <c:v>186.209</c:v>
                </c:pt>
                <c:pt idx="28">
                  <c:v>190.54599999999999</c:v>
                </c:pt>
                <c:pt idx="29">
                  <c:v>194.98400000000001</c:v>
                </c:pt>
                <c:pt idx="30">
                  <c:v>199.52600000000001</c:v>
                </c:pt>
                <c:pt idx="31">
                  <c:v>204.17400000000001</c:v>
                </c:pt>
                <c:pt idx="32">
                  <c:v>208.93</c:v>
                </c:pt>
                <c:pt idx="33">
                  <c:v>213.79599999999999</c:v>
                </c:pt>
                <c:pt idx="34">
                  <c:v>218.77600000000001</c:v>
                </c:pt>
                <c:pt idx="35">
                  <c:v>223.87200000000001</c:v>
                </c:pt>
                <c:pt idx="36">
                  <c:v>229.08699999999999</c:v>
                </c:pt>
                <c:pt idx="37">
                  <c:v>234.423</c:v>
                </c:pt>
                <c:pt idx="38">
                  <c:v>239.88300000000001</c:v>
                </c:pt>
                <c:pt idx="39">
                  <c:v>245.471</c:v>
                </c:pt>
                <c:pt idx="40">
                  <c:v>251.18899999999999</c:v>
                </c:pt>
                <c:pt idx="41">
                  <c:v>257.04000000000002</c:v>
                </c:pt>
                <c:pt idx="42">
                  <c:v>263.02699999999999</c:v>
                </c:pt>
                <c:pt idx="43">
                  <c:v>269.15300000000002</c:v>
                </c:pt>
                <c:pt idx="44">
                  <c:v>275.423</c:v>
                </c:pt>
                <c:pt idx="45">
                  <c:v>281.83800000000002</c:v>
                </c:pt>
                <c:pt idx="46">
                  <c:v>288.40300000000002</c:v>
                </c:pt>
                <c:pt idx="47">
                  <c:v>295.12099999999998</c:v>
                </c:pt>
                <c:pt idx="48">
                  <c:v>301.995</c:v>
                </c:pt>
                <c:pt idx="49">
                  <c:v>309.02999999999997</c:v>
                </c:pt>
                <c:pt idx="50">
                  <c:v>316.22800000000001</c:v>
                </c:pt>
                <c:pt idx="51">
                  <c:v>323.59399999999999</c:v>
                </c:pt>
                <c:pt idx="52">
                  <c:v>331.13099999999997</c:v>
                </c:pt>
                <c:pt idx="53">
                  <c:v>338.84399999999999</c:v>
                </c:pt>
                <c:pt idx="54">
                  <c:v>346.73700000000002</c:v>
                </c:pt>
                <c:pt idx="55">
                  <c:v>354.81299999999999</c:v>
                </c:pt>
                <c:pt idx="56">
                  <c:v>363.07799999999997</c:v>
                </c:pt>
                <c:pt idx="57">
                  <c:v>371.53500000000003</c:v>
                </c:pt>
                <c:pt idx="58">
                  <c:v>380.18900000000002</c:v>
                </c:pt>
                <c:pt idx="59">
                  <c:v>389.04500000000002</c:v>
                </c:pt>
                <c:pt idx="60">
                  <c:v>398.10700000000003</c:v>
                </c:pt>
                <c:pt idx="61">
                  <c:v>407.38</c:v>
                </c:pt>
                <c:pt idx="62">
                  <c:v>416.86900000000003</c:v>
                </c:pt>
                <c:pt idx="63">
                  <c:v>426.58</c:v>
                </c:pt>
                <c:pt idx="64">
                  <c:v>436.51600000000002</c:v>
                </c:pt>
                <c:pt idx="65">
                  <c:v>446.68400000000003</c:v>
                </c:pt>
                <c:pt idx="66">
                  <c:v>457.08800000000002</c:v>
                </c:pt>
                <c:pt idx="67">
                  <c:v>467.73500000000001</c:v>
                </c:pt>
                <c:pt idx="68">
                  <c:v>478.63</c:v>
                </c:pt>
                <c:pt idx="69">
                  <c:v>489.779</c:v>
                </c:pt>
                <c:pt idx="70">
                  <c:v>501.18700000000001</c:v>
                </c:pt>
                <c:pt idx="71">
                  <c:v>512.86099999999999</c:v>
                </c:pt>
                <c:pt idx="72">
                  <c:v>524.80700000000002</c:v>
                </c:pt>
                <c:pt idx="73">
                  <c:v>537.03200000000004</c:v>
                </c:pt>
                <c:pt idx="74">
                  <c:v>549.54100000000005</c:v>
                </c:pt>
                <c:pt idx="75">
                  <c:v>562.34100000000001</c:v>
                </c:pt>
                <c:pt idx="76">
                  <c:v>575.44000000000005</c:v>
                </c:pt>
                <c:pt idx="77">
                  <c:v>588.84400000000005</c:v>
                </c:pt>
                <c:pt idx="78">
                  <c:v>602.55999999999995</c:v>
                </c:pt>
                <c:pt idx="79">
                  <c:v>616.59500000000003</c:v>
                </c:pt>
                <c:pt idx="80">
                  <c:v>630.95699999999999</c:v>
                </c:pt>
                <c:pt idx="81">
                  <c:v>645.654</c:v>
                </c:pt>
                <c:pt idx="82">
                  <c:v>660.69299999999998</c:v>
                </c:pt>
                <c:pt idx="83">
                  <c:v>676.08299999999997</c:v>
                </c:pt>
                <c:pt idx="84">
                  <c:v>691.83100000000002</c:v>
                </c:pt>
                <c:pt idx="85">
                  <c:v>707.94600000000003</c:v>
                </c:pt>
                <c:pt idx="86">
                  <c:v>724.43600000000004</c:v>
                </c:pt>
                <c:pt idx="87">
                  <c:v>741.31</c:v>
                </c:pt>
                <c:pt idx="88">
                  <c:v>758.57799999999997</c:v>
                </c:pt>
                <c:pt idx="89">
                  <c:v>776.24699999999996</c:v>
                </c:pt>
                <c:pt idx="90">
                  <c:v>794.32799999999997</c:v>
                </c:pt>
                <c:pt idx="91">
                  <c:v>812.83100000000002</c:v>
                </c:pt>
                <c:pt idx="92">
                  <c:v>831.76400000000001</c:v>
                </c:pt>
                <c:pt idx="93">
                  <c:v>851.13800000000003</c:v>
                </c:pt>
                <c:pt idx="94">
                  <c:v>870.96400000000006</c:v>
                </c:pt>
                <c:pt idx="95">
                  <c:v>891.25099999999998</c:v>
                </c:pt>
                <c:pt idx="96">
                  <c:v>912.01099999999997</c:v>
                </c:pt>
                <c:pt idx="97">
                  <c:v>933.25400000000002</c:v>
                </c:pt>
                <c:pt idx="98">
                  <c:v>954.99300000000005</c:v>
                </c:pt>
                <c:pt idx="99">
                  <c:v>977.23699999999997</c:v>
                </c:pt>
                <c:pt idx="100">
                  <c:v>1000</c:v>
                </c:pt>
                <c:pt idx="101">
                  <c:v>1023.293</c:v>
                </c:pt>
                <c:pt idx="102">
                  <c:v>1047.1289999999999</c:v>
                </c:pt>
                <c:pt idx="103">
                  <c:v>1071.519</c:v>
                </c:pt>
                <c:pt idx="104">
                  <c:v>1096.4780000000001</c:v>
                </c:pt>
                <c:pt idx="105">
                  <c:v>1122.018</c:v>
                </c:pt>
                <c:pt idx="106">
                  <c:v>1148.154</c:v>
                </c:pt>
                <c:pt idx="107">
                  <c:v>1174.8979999999999</c:v>
                </c:pt>
                <c:pt idx="108">
                  <c:v>1202.2639999999999</c:v>
                </c:pt>
                <c:pt idx="109">
                  <c:v>1230.269</c:v>
                </c:pt>
                <c:pt idx="110">
                  <c:v>1258.925</c:v>
                </c:pt>
                <c:pt idx="111">
                  <c:v>1288.25</c:v>
                </c:pt>
                <c:pt idx="112">
                  <c:v>1318.2570000000001</c:v>
                </c:pt>
                <c:pt idx="113">
                  <c:v>1348.963</c:v>
                </c:pt>
                <c:pt idx="114">
                  <c:v>1380.384</c:v>
                </c:pt>
                <c:pt idx="115">
                  <c:v>1412.538</c:v>
                </c:pt>
                <c:pt idx="116">
                  <c:v>1445.44</c:v>
                </c:pt>
                <c:pt idx="117">
                  <c:v>1479.1079999999999</c:v>
                </c:pt>
                <c:pt idx="118">
                  <c:v>1513.5609999999999</c:v>
                </c:pt>
                <c:pt idx="119">
                  <c:v>1548.817</c:v>
                </c:pt>
                <c:pt idx="120">
                  <c:v>1584.893</c:v>
                </c:pt>
                <c:pt idx="121">
                  <c:v>1621.81</c:v>
                </c:pt>
                <c:pt idx="122">
                  <c:v>1659.587</c:v>
                </c:pt>
                <c:pt idx="123">
                  <c:v>1698.2439999999999</c:v>
                </c:pt>
                <c:pt idx="124">
                  <c:v>1737.8009999999999</c:v>
                </c:pt>
                <c:pt idx="125">
                  <c:v>1778.279</c:v>
                </c:pt>
                <c:pt idx="126">
                  <c:v>1819.701</c:v>
                </c:pt>
                <c:pt idx="127">
                  <c:v>1862.087</c:v>
                </c:pt>
                <c:pt idx="128">
                  <c:v>1905.461</c:v>
                </c:pt>
                <c:pt idx="129">
                  <c:v>1949.845</c:v>
                </c:pt>
                <c:pt idx="130">
                  <c:v>1995.2619999999999</c:v>
                </c:pt>
                <c:pt idx="131">
                  <c:v>2041.7380000000001</c:v>
                </c:pt>
                <c:pt idx="132">
                  <c:v>2089.2959999999998</c:v>
                </c:pt>
                <c:pt idx="133">
                  <c:v>2137.962</c:v>
                </c:pt>
                <c:pt idx="134">
                  <c:v>2187.7620000000002</c:v>
                </c:pt>
                <c:pt idx="135">
                  <c:v>2238.721</c:v>
                </c:pt>
                <c:pt idx="136">
                  <c:v>2290.8679999999999</c:v>
                </c:pt>
                <c:pt idx="137">
                  <c:v>2344.2289999999998</c:v>
                </c:pt>
                <c:pt idx="138">
                  <c:v>2398.8330000000001</c:v>
                </c:pt>
                <c:pt idx="139">
                  <c:v>2454.7089999999998</c:v>
                </c:pt>
                <c:pt idx="140">
                  <c:v>2511.886</c:v>
                </c:pt>
                <c:pt idx="141">
                  <c:v>2570.3960000000002</c:v>
                </c:pt>
                <c:pt idx="142">
                  <c:v>2630.268</c:v>
                </c:pt>
                <c:pt idx="143">
                  <c:v>2691.5349999999999</c:v>
                </c:pt>
                <c:pt idx="144">
                  <c:v>2754.2289999999998</c:v>
                </c:pt>
                <c:pt idx="145">
                  <c:v>2818.3829999999998</c:v>
                </c:pt>
                <c:pt idx="146">
                  <c:v>2884.0320000000002</c:v>
                </c:pt>
                <c:pt idx="147">
                  <c:v>2951.2089999999998</c:v>
                </c:pt>
                <c:pt idx="148">
                  <c:v>3019.9520000000002</c:v>
                </c:pt>
                <c:pt idx="149">
                  <c:v>3090.2950000000001</c:v>
                </c:pt>
                <c:pt idx="150">
                  <c:v>3162.2779999999998</c:v>
                </c:pt>
                <c:pt idx="151">
                  <c:v>3235.9369999999999</c:v>
                </c:pt>
                <c:pt idx="152">
                  <c:v>3311.3110000000001</c:v>
                </c:pt>
                <c:pt idx="153">
                  <c:v>3388.442</c:v>
                </c:pt>
                <c:pt idx="154">
                  <c:v>3467.3690000000001</c:v>
                </c:pt>
                <c:pt idx="155">
                  <c:v>3548.134</c:v>
                </c:pt>
                <c:pt idx="156">
                  <c:v>3630.7809999999999</c:v>
                </c:pt>
                <c:pt idx="157">
                  <c:v>3715.3519999999999</c:v>
                </c:pt>
                <c:pt idx="158">
                  <c:v>3801.8939999999998</c:v>
                </c:pt>
                <c:pt idx="159">
                  <c:v>3890.451</c:v>
                </c:pt>
                <c:pt idx="160">
                  <c:v>3981.0720000000001</c:v>
                </c:pt>
                <c:pt idx="161">
                  <c:v>4073.8029999999999</c:v>
                </c:pt>
                <c:pt idx="162">
                  <c:v>4168.6940000000004</c:v>
                </c:pt>
                <c:pt idx="163">
                  <c:v>4265.7950000000001</c:v>
                </c:pt>
                <c:pt idx="164">
                  <c:v>4365.1580000000004</c:v>
                </c:pt>
                <c:pt idx="165">
                  <c:v>4466.8360000000002</c:v>
                </c:pt>
                <c:pt idx="166">
                  <c:v>4570.8819999999996</c:v>
                </c:pt>
                <c:pt idx="167">
                  <c:v>4677.3509999999997</c:v>
                </c:pt>
                <c:pt idx="168">
                  <c:v>4786.3010000000004</c:v>
                </c:pt>
                <c:pt idx="169">
                  <c:v>4897.7879999999996</c:v>
                </c:pt>
                <c:pt idx="170">
                  <c:v>5011.8720000000003</c:v>
                </c:pt>
                <c:pt idx="171">
                  <c:v>5128.6139999999996</c:v>
                </c:pt>
                <c:pt idx="172">
                  <c:v>5248.0749999999998</c:v>
                </c:pt>
                <c:pt idx="173">
                  <c:v>5370.3180000000002</c:v>
                </c:pt>
                <c:pt idx="174">
                  <c:v>5495.4089999999997</c:v>
                </c:pt>
                <c:pt idx="175">
                  <c:v>5623.4129999999996</c:v>
                </c:pt>
                <c:pt idx="176">
                  <c:v>5754.3990000000003</c:v>
                </c:pt>
                <c:pt idx="177">
                  <c:v>5888.4369999999999</c:v>
                </c:pt>
                <c:pt idx="178">
                  <c:v>6025.5959999999995</c:v>
                </c:pt>
                <c:pt idx="179">
                  <c:v>6165.95</c:v>
                </c:pt>
                <c:pt idx="180">
                  <c:v>6309.5730000000003</c:v>
                </c:pt>
                <c:pt idx="181">
                  <c:v>6456.5420000000004</c:v>
                </c:pt>
                <c:pt idx="182">
                  <c:v>6606.9340000000002</c:v>
                </c:pt>
                <c:pt idx="183">
                  <c:v>6760.83</c:v>
                </c:pt>
                <c:pt idx="184">
                  <c:v>6918.31</c:v>
                </c:pt>
                <c:pt idx="185">
                  <c:v>7079.4579999999996</c:v>
                </c:pt>
                <c:pt idx="186">
                  <c:v>7244.36</c:v>
                </c:pt>
                <c:pt idx="187">
                  <c:v>7413.1019999999999</c:v>
                </c:pt>
                <c:pt idx="188">
                  <c:v>7585.7759999999998</c:v>
                </c:pt>
                <c:pt idx="189">
                  <c:v>7762.4709999999995</c:v>
                </c:pt>
                <c:pt idx="190">
                  <c:v>7943.2820000000002</c:v>
                </c:pt>
                <c:pt idx="191">
                  <c:v>8128.3050000000003</c:v>
                </c:pt>
                <c:pt idx="192">
                  <c:v>8317.6380000000008</c:v>
                </c:pt>
                <c:pt idx="193">
                  <c:v>8511.3799999999992</c:v>
                </c:pt>
                <c:pt idx="194">
                  <c:v>8709.6360000000004</c:v>
                </c:pt>
                <c:pt idx="195">
                  <c:v>8912.509</c:v>
                </c:pt>
                <c:pt idx="196">
                  <c:v>9120.1080000000002</c:v>
                </c:pt>
                <c:pt idx="197">
                  <c:v>9332.5429999999997</c:v>
                </c:pt>
                <c:pt idx="198">
                  <c:v>9549.9259999999995</c:v>
                </c:pt>
                <c:pt idx="199">
                  <c:v>9772.3719999999994</c:v>
                </c:pt>
                <c:pt idx="200">
                  <c:v>10000</c:v>
                </c:pt>
                <c:pt idx="201">
                  <c:v>10232.93</c:v>
                </c:pt>
                <c:pt idx="202">
                  <c:v>10471.285</c:v>
                </c:pt>
                <c:pt idx="203">
                  <c:v>10715.192999999999</c:v>
                </c:pt>
                <c:pt idx="204">
                  <c:v>10964.781999999999</c:v>
                </c:pt>
                <c:pt idx="205">
                  <c:v>11220.184999999999</c:v>
                </c:pt>
                <c:pt idx="206">
                  <c:v>11481.536</c:v>
                </c:pt>
                <c:pt idx="207">
                  <c:v>11748.976000000001</c:v>
                </c:pt>
                <c:pt idx="208">
                  <c:v>12022.644</c:v>
                </c:pt>
                <c:pt idx="209">
                  <c:v>12302.688</c:v>
                </c:pt>
                <c:pt idx="210">
                  <c:v>12589.254000000001</c:v>
                </c:pt>
                <c:pt idx="211">
                  <c:v>12882.495999999999</c:v>
                </c:pt>
                <c:pt idx="212">
                  <c:v>13182.566999999999</c:v>
                </c:pt>
                <c:pt idx="213">
                  <c:v>13489.629000000001</c:v>
                </c:pt>
                <c:pt idx="214">
                  <c:v>13803.843000000001</c:v>
                </c:pt>
                <c:pt idx="215">
                  <c:v>14125.375</c:v>
                </c:pt>
                <c:pt idx="216">
                  <c:v>14454.397999999999</c:v>
                </c:pt>
                <c:pt idx="217">
                  <c:v>14791.084000000001</c:v>
                </c:pt>
                <c:pt idx="218">
                  <c:v>15135.611999999999</c:v>
                </c:pt>
                <c:pt idx="219">
                  <c:v>15488.165999999999</c:v>
                </c:pt>
                <c:pt idx="220">
                  <c:v>15848.932000000001</c:v>
                </c:pt>
                <c:pt idx="221">
                  <c:v>16218.101000000001</c:v>
                </c:pt>
                <c:pt idx="222">
                  <c:v>16595.868999999999</c:v>
                </c:pt>
                <c:pt idx="223">
                  <c:v>16982.437000000002</c:v>
                </c:pt>
                <c:pt idx="224">
                  <c:v>17378.008000000002</c:v>
                </c:pt>
                <c:pt idx="225">
                  <c:v>17782.794000000002</c:v>
                </c:pt>
                <c:pt idx="226">
                  <c:v>18197.008999999998</c:v>
                </c:pt>
                <c:pt idx="227">
                  <c:v>18620.870999999999</c:v>
                </c:pt>
                <c:pt idx="228">
                  <c:v>19054.607</c:v>
                </c:pt>
                <c:pt idx="229">
                  <c:v>19498.446</c:v>
                </c:pt>
                <c:pt idx="230">
                  <c:v>19952.623</c:v>
                </c:pt>
                <c:pt idx="231">
                  <c:v>20417.379000000001</c:v>
                </c:pt>
                <c:pt idx="232">
                  <c:v>20892.960999999999</c:v>
                </c:pt>
                <c:pt idx="233">
                  <c:v>21379.620999999999</c:v>
                </c:pt>
                <c:pt idx="234">
                  <c:v>21877.616000000002</c:v>
                </c:pt>
                <c:pt idx="235">
                  <c:v>22387.210999999999</c:v>
                </c:pt>
                <c:pt idx="236">
                  <c:v>22908.677</c:v>
                </c:pt>
                <c:pt idx="237">
                  <c:v>23442.288</c:v>
                </c:pt>
                <c:pt idx="238">
                  <c:v>23988.329000000002</c:v>
                </c:pt>
                <c:pt idx="239">
                  <c:v>24547.089</c:v>
                </c:pt>
                <c:pt idx="240">
                  <c:v>25118.864000000001</c:v>
                </c:pt>
                <c:pt idx="241">
                  <c:v>25703.957999999999</c:v>
                </c:pt>
                <c:pt idx="242">
                  <c:v>26302.68</c:v>
                </c:pt>
                <c:pt idx="243">
                  <c:v>26915.348000000002</c:v>
                </c:pt>
                <c:pt idx="244">
                  <c:v>27542.287</c:v>
                </c:pt>
                <c:pt idx="245">
                  <c:v>28183.829000000002</c:v>
                </c:pt>
                <c:pt idx="246">
                  <c:v>28840.314999999999</c:v>
                </c:pt>
                <c:pt idx="247">
                  <c:v>29512.092000000001</c:v>
                </c:pt>
                <c:pt idx="248">
                  <c:v>30199.517</c:v>
                </c:pt>
                <c:pt idx="249">
                  <c:v>30902.954000000002</c:v>
                </c:pt>
                <c:pt idx="250">
                  <c:v>31622.776999999998</c:v>
                </c:pt>
                <c:pt idx="251">
                  <c:v>32359.366000000002</c:v>
                </c:pt>
                <c:pt idx="252">
                  <c:v>33113.112000000001</c:v>
                </c:pt>
                <c:pt idx="253">
                  <c:v>33884.415999999997</c:v>
                </c:pt>
                <c:pt idx="254">
                  <c:v>34673.684999999998</c:v>
                </c:pt>
                <c:pt idx="255">
                  <c:v>35481.339</c:v>
                </c:pt>
                <c:pt idx="256">
                  <c:v>36307.805</c:v>
                </c:pt>
                <c:pt idx="257">
                  <c:v>37153.523000000001</c:v>
                </c:pt>
                <c:pt idx="258">
                  <c:v>38018.94</c:v>
                </c:pt>
                <c:pt idx="259">
                  <c:v>38904.514000000003</c:v>
                </c:pt>
                <c:pt idx="260">
                  <c:v>39810.716999999997</c:v>
                </c:pt>
                <c:pt idx="261">
                  <c:v>40738.027999999998</c:v>
                </c:pt>
                <c:pt idx="262">
                  <c:v>41686.938000000002</c:v>
                </c:pt>
                <c:pt idx="263">
                  <c:v>42657.951999999997</c:v>
                </c:pt>
                <c:pt idx="264">
                  <c:v>43651.582999999999</c:v>
                </c:pt>
                <c:pt idx="265">
                  <c:v>44668.358999999997</c:v>
                </c:pt>
                <c:pt idx="266">
                  <c:v>45708.819000000003</c:v>
                </c:pt>
                <c:pt idx="267">
                  <c:v>46773.514000000003</c:v>
                </c:pt>
                <c:pt idx="268">
                  <c:v>47863.008999999998</c:v>
                </c:pt>
                <c:pt idx="269">
                  <c:v>48977.881999999998</c:v>
                </c:pt>
                <c:pt idx="270">
                  <c:v>50118.722999999998</c:v>
                </c:pt>
                <c:pt idx="271">
                  <c:v>51286.137999999999</c:v>
                </c:pt>
                <c:pt idx="272">
                  <c:v>52480.745999999999</c:v>
                </c:pt>
                <c:pt idx="273">
                  <c:v>53703.18</c:v>
                </c:pt>
                <c:pt idx="274">
                  <c:v>54954.087</c:v>
                </c:pt>
                <c:pt idx="275">
                  <c:v>56234.133000000002</c:v>
                </c:pt>
                <c:pt idx="276">
                  <c:v>57543.993999999999</c:v>
                </c:pt>
                <c:pt idx="277">
                  <c:v>58884.366000000002</c:v>
                </c:pt>
                <c:pt idx="278">
                  <c:v>60255.959000000003</c:v>
                </c:pt>
                <c:pt idx="279">
                  <c:v>61659.5</c:v>
                </c:pt>
                <c:pt idx="280">
                  <c:v>63095.733999999997</c:v>
                </c:pt>
                <c:pt idx="281">
                  <c:v>64565.423000000003</c:v>
                </c:pt>
                <c:pt idx="282">
                  <c:v>66069.345000000001</c:v>
                </c:pt>
                <c:pt idx="283">
                  <c:v>67608.297999999995</c:v>
                </c:pt>
                <c:pt idx="284">
                  <c:v>69183.096999999994</c:v>
                </c:pt>
                <c:pt idx="285">
                  <c:v>70794.577999999994</c:v>
                </c:pt>
                <c:pt idx="286">
                  <c:v>72443.596000000005</c:v>
                </c:pt>
                <c:pt idx="287">
                  <c:v>74131.024000000005</c:v>
                </c:pt>
                <c:pt idx="288">
                  <c:v>75857.758000000002</c:v>
                </c:pt>
                <c:pt idx="289">
                  <c:v>77624.712</c:v>
                </c:pt>
                <c:pt idx="290">
                  <c:v>79432.823000000004</c:v>
                </c:pt>
                <c:pt idx="291">
                  <c:v>81283.051999999996</c:v>
                </c:pt>
                <c:pt idx="292">
                  <c:v>83176.376999999993</c:v>
                </c:pt>
                <c:pt idx="293">
                  <c:v>85113.804000000004</c:v>
                </c:pt>
                <c:pt idx="294">
                  <c:v>87096.358999999997</c:v>
                </c:pt>
                <c:pt idx="295">
                  <c:v>89125.093999999997</c:v>
                </c:pt>
                <c:pt idx="296">
                  <c:v>91201.084000000003</c:v>
                </c:pt>
                <c:pt idx="297">
                  <c:v>93325.43</c:v>
                </c:pt>
                <c:pt idx="298">
                  <c:v>95499.259000000005</c:v>
                </c:pt>
                <c:pt idx="299">
                  <c:v>97723.721999999994</c:v>
                </c:pt>
                <c:pt idx="300">
                  <c:v>100000</c:v>
                </c:pt>
                <c:pt idx="301">
                  <c:v>102329.299</c:v>
                </c:pt>
                <c:pt idx="302">
                  <c:v>104712.855</c:v>
                </c:pt>
                <c:pt idx="303">
                  <c:v>107151.931</c:v>
                </c:pt>
                <c:pt idx="304">
                  <c:v>109647.82</c:v>
                </c:pt>
                <c:pt idx="305">
                  <c:v>112201.845</c:v>
                </c:pt>
                <c:pt idx="306">
                  <c:v>114815.36199999999</c:v>
                </c:pt>
                <c:pt idx="307">
                  <c:v>117489.755</c:v>
                </c:pt>
                <c:pt idx="308">
                  <c:v>120226.443</c:v>
                </c:pt>
                <c:pt idx="309">
                  <c:v>123026.87699999999</c:v>
                </c:pt>
                <c:pt idx="310">
                  <c:v>125892.541</c:v>
                </c:pt>
                <c:pt idx="311">
                  <c:v>128824.955</c:v>
                </c:pt>
                <c:pt idx="312">
                  <c:v>131825.674</c:v>
                </c:pt>
                <c:pt idx="313">
                  <c:v>134896.288</c:v>
                </c:pt>
                <c:pt idx="314">
                  <c:v>138038.42600000001</c:v>
                </c:pt>
                <c:pt idx="315">
                  <c:v>141253.75399999999</c:v>
                </c:pt>
                <c:pt idx="316">
                  <c:v>144543.97700000001</c:v>
                </c:pt>
                <c:pt idx="317">
                  <c:v>147910.83900000001</c:v>
                </c:pt>
                <c:pt idx="318">
                  <c:v>151356.125</c:v>
                </c:pt>
                <c:pt idx="319">
                  <c:v>154881.66200000001</c:v>
                </c:pt>
                <c:pt idx="320">
                  <c:v>158489.31899999999</c:v>
                </c:pt>
                <c:pt idx="321">
                  <c:v>162181.01</c:v>
                </c:pt>
                <c:pt idx="322">
                  <c:v>165958.69099999999</c:v>
                </c:pt>
                <c:pt idx="323">
                  <c:v>169824.36499999999</c:v>
                </c:pt>
                <c:pt idx="324">
                  <c:v>173780.08300000001</c:v>
                </c:pt>
                <c:pt idx="325">
                  <c:v>177827.94099999999</c:v>
                </c:pt>
                <c:pt idx="326">
                  <c:v>181970.08600000001</c:v>
                </c:pt>
                <c:pt idx="327">
                  <c:v>186208.71400000001</c:v>
                </c:pt>
                <c:pt idx="328">
                  <c:v>190546.07199999999</c:v>
                </c:pt>
                <c:pt idx="329">
                  <c:v>194984.46</c:v>
                </c:pt>
                <c:pt idx="330">
                  <c:v>199526.231</c:v>
                </c:pt>
                <c:pt idx="331">
                  <c:v>204173.79399999999</c:v>
                </c:pt>
                <c:pt idx="332">
                  <c:v>208929.61300000001</c:v>
                </c:pt>
                <c:pt idx="333">
                  <c:v>213796.209</c:v>
                </c:pt>
                <c:pt idx="334">
                  <c:v>218776.16200000001</c:v>
                </c:pt>
                <c:pt idx="335">
                  <c:v>223872.114</c:v>
                </c:pt>
                <c:pt idx="336">
                  <c:v>229086.76500000001</c:v>
                </c:pt>
                <c:pt idx="337">
                  <c:v>234422.88200000001</c:v>
                </c:pt>
                <c:pt idx="338">
                  <c:v>239883.29199999999</c:v>
                </c:pt>
                <c:pt idx="339">
                  <c:v>245470.89199999999</c:v>
                </c:pt>
                <c:pt idx="340">
                  <c:v>251188.64300000001</c:v>
                </c:pt>
                <c:pt idx="341">
                  <c:v>257039.57800000001</c:v>
                </c:pt>
                <c:pt idx="342">
                  <c:v>263026.799</c:v>
                </c:pt>
                <c:pt idx="343">
                  <c:v>269153.48</c:v>
                </c:pt>
                <c:pt idx="344">
                  <c:v>275422.87</c:v>
                </c:pt>
                <c:pt idx="345">
                  <c:v>281838.29300000001</c:v>
                </c:pt>
                <c:pt idx="346">
                  <c:v>288403.15000000002</c:v>
                </c:pt>
                <c:pt idx="347">
                  <c:v>295120.92300000001</c:v>
                </c:pt>
                <c:pt idx="348">
                  <c:v>301995.17200000002</c:v>
                </c:pt>
                <c:pt idx="349">
                  <c:v>309029.54300000001</c:v>
                </c:pt>
                <c:pt idx="350">
                  <c:v>316227.766</c:v>
                </c:pt>
                <c:pt idx="351">
                  <c:v>323593.65700000001</c:v>
                </c:pt>
                <c:pt idx="352">
                  <c:v>331131.12099999998</c:v>
                </c:pt>
                <c:pt idx="353">
                  <c:v>338844.15600000002</c:v>
                </c:pt>
                <c:pt idx="354">
                  <c:v>346736.85</c:v>
                </c:pt>
                <c:pt idx="355">
                  <c:v>354813.38900000002</c:v>
                </c:pt>
                <c:pt idx="356">
                  <c:v>363078.05499999999</c:v>
                </c:pt>
                <c:pt idx="357">
                  <c:v>371535.22899999999</c:v>
                </c:pt>
                <c:pt idx="358">
                  <c:v>380189.39600000001</c:v>
                </c:pt>
                <c:pt idx="359">
                  <c:v>389045.14500000002</c:v>
                </c:pt>
                <c:pt idx="360">
                  <c:v>398107.17099999997</c:v>
                </c:pt>
                <c:pt idx="361">
                  <c:v>407380.27799999999</c:v>
                </c:pt>
                <c:pt idx="362">
                  <c:v>416869.38299999997</c:v>
                </c:pt>
                <c:pt idx="363">
                  <c:v>426579.51899999997</c:v>
                </c:pt>
                <c:pt idx="364">
                  <c:v>436515.83199999999</c:v>
                </c:pt>
                <c:pt idx="365">
                  <c:v>446683.592</c:v>
                </c:pt>
                <c:pt idx="366">
                  <c:v>457088.19</c:v>
                </c:pt>
                <c:pt idx="367">
                  <c:v>467735.141</c:v>
                </c:pt>
                <c:pt idx="368">
                  <c:v>478630.092</c:v>
                </c:pt>
                <c:pt idx="369">
                  <c:v>489778.81900000002</c:v>
                </c:pt>
                <c:pt idx="370">
                  <c:v>501187.234</c:v>
                </c:pt>
                <c:pt idx="371">
                  <c:v>512861.38400000002</c:v>
                </c:pt>
                <c:pt idx="372">
                  <c:v>524807.46</c:v>
                </c:pt>
                <c:pt idx="373">
                  <c:v>537031.79599999997</c:v>
                </c:pt>
                <c:pt idx="374">
                  <c:v>549540.87399999995</c:v>
                </c:pt>
                <c:pt idx="375">
                  <c:v>562341.32499999995</c:v>
                </c:pt>
                <c:pt idx="376">
                  <c:v>575439.93700000003</c:v>
                </c:pt>
                <c:pt idx="377">
                  <c:v>588843.65500000003</c:v>
                </c:pt>
                <c:pt idx="378">
                  <c:v>602559.58600000001</c:v>
                </c:pt>
                <c:pt idx="379">
                  <c:v>616595.00199999998</c:v>
                </c:pt>
                <c:pt idx="380">
                  <c:v>630957.34400000004</c:v>
                </c:pt>
                <c:pt idx="381">
                  <c:v>645654.22900000005</c:v>
                </c:pt>
                <c:pt idx="382">
                  <c:v>660693.44799999997</c:v>
                </c:pt>
                <c:pt idx="383">
                  <c:v>676082.97499999998</c:v>
                </c:pt>
                <c:pt idx="384">
                  <c:v>691830.97100000002</c:v>
                </c:pt>
                <c:pt idx="385">
                  <c:v>707945.78399999999</c:v>
                </c:pt>
                <c:pt idx="386">
                  <c:v>724435.96</c:v>
                </c:pt>
                <c:pt idx="387">
                  <c:v>741310.24100000004</c:v>
                </c:pt>
                <c:pt idx="388">
                  <c:v>758577.57499999995</c:v>
                </c:pt>
                <c:pt idx="389">
                  <c:v>776247.11699999997</c:v>
                </c:pt>
                <c:pt idx="390">
                  <c:v>794328.23499999999</c:v>
                </c:pt>
                <c:pt idx="391">
                  <c:v>812830.51599999995</c:v>
                </c:pt>
                <c:pt idx="392">
                  <c:v>831763.77099999995</c:v>
                </c:pt>
                <c:pt idx="393">
                  <c:v>851138.03799999994</c:v>
                </c:pt>
                <c:pt idx="394">
                  <c:v>870963.59</c:v>
                </c:pt>
                <c:pt idx="395">
                  <c:v>891250.93799999997</c:v>
                </c:pt>
                <c:pt idx="396">
                  <c:v>912010.83900000004</c:v>
                </c:pt>
                <c:pt idx="397">
                  <c:v>933254.30099999998</c:v>
                </c:pt>
                <c:pt idx="398">
                  <c:v>954992.58600000001</c:v>
                </c:pt>
                <c:pt idx="399">
                  <c:v>977237.22100000002</c:v>
                </c:pt>
              </c:numCache>
            </c:numRef>
          </c:xVal>
          <c:yVal>
            <c:numRef>
              <c:f>'Bode Plots Calculations'!$BU$10:$BU$409</c:f>
              <c:numCache>
                <c:formatCode>#0.0#</c:formatCode>
                <c:ptCount val="400"/>
                <c:pt idx="0">
                  <c:v>35.359299999999998</c:v>
                </c:pt>
                <c:pt idx="1">
                  <c:v>34.936799999999998</c:v>
                </c:pt>
                <c:pt idx="2">
                  <c:v>34.190800000000003</c:v>
                </c:pt>
                <c:pt idx="3">
                  <c:v>34.477699999999999</c:v>
                </c:pt>
                <c:pt idx="4">
                  <c:v>34.114400000000003</c:v>
                </c:pt>
                <c:pt idx="5">
                  <c:v>34.297699999999999</c:v>
                </c:pt>
                <c:pt idx="6">
                  <c:v>33.346499999999999</c:v>
                </c:pt>
                <c:pt idx="7">
                  <c:v>33.0246</c:v>
                </c:pt>
                <c:pt idx="8">
                  <c:v>33.735999999999997</c:v>
                </c:pt>
                <c:pt idx="9">
                  <c:v>32.764899999999997</c:v>
                </c:pt>
                <c:pt idx="10">
                  <c:v>32.247199999999999</c:v>
                </c:pt>
                <c:pt idx="11">
                  <c:v>32.3142</c:v>
                </c:pt>
                <c:pt idx="12">
                  <c:v>32.155799999999999</c:v>
                </c:pt>
                <c:pt idx="13">
                  <c:v>32.875300000000003</c:v>
                </c:pt>
                <c:pt idx="14">
                  <c:v>32.538699999999999</c:v>
                </c:pt>
                <c:pt idx="15">
                  <c:v>32.377000000000002</c:v>
                </c:pt>
                <c:pt idx="16">
                  <c:v>31.499099999999999</c:v>
                </c:pt>
                <c:pt idx="17">
                  <c:v>31.4819</c:v>
                </c:pt>
                <c:pt idx="18">
                  <c:v>31.0519</c:v>
                </c:pt>
                <c:pt idx="19">
                  <c:v>31.248699999999999</c:v>
                </c:pt>
                <c:pt idx="20">
                  <c:v>31.003699999999998</c:v>
                </c:pt>
                <c:pt idx="21">
                  <c:v>30.429300000000001</c:v>
                </c:pt>
                <c:pt idx="22">
                  <c:v>29.9194</c:v>
                </c:pt>
                <c:pt idx="23">
                  <c:v>29.808900000000001</c:v>
                </c:pt>
                <c:pt idx="24">
                  <c:v>30.070900000000002</c:v>
                </c:pt>
                <c:pt idx="25">
                  <c:v>29.720099999999999</c:v>
                </c:pt>
                <c:pt idx="26">
                  <c:v>30.042100000000001</c:v>
                </c:pt>
                <c:pt idx="27">
                  <c:v>29.901800000000001</c:v>
                </c:pt>
                <c:pt idx="28">
                  <c:v>29.566700000000001</c:v>
                </c:pt>
                <c:pt idx="29">
                  <c:v>29.685600000000001</c:v>
                </c:pt>
                <c:pt idx="30">
                  <c:v>29.050999999999998</c:v>
                </c:pt>
                <c:pt idx="31">
                  <c:v>28.424299999999999</c:v>
                </c:pt>
                <c:pt idx="32">
                  <c:v>28.510899999999999</c:v>
                </c:pt>
                <c:pt idx="33">
                  <c:v>28.178999999999998</c:v>
                </c:pt>
                <c:pt idx="34">
                  <c:v>27.706399999999999</c:v>
                </c:pt>
                <c:pt idx="35">
                  <c:v>27.937100000000001</c:v>
                </c:pt>
                <c:pt idx="36">
                  <c:v>27.676300000000001</c:v>
                </c:pt>
                <c:pt idx="37">
                  <c:v>27.670300000000001</c:v>
                </c:pt>
                <c:pt idx="38">
                  <c:v>27.2761</c:v>
                </c:pt>
                <c:pt idx="39">
                  <c:v>27.075500000000002</c:v>
                </c:pt>
                <c:pt idx="40">
                  <c:v>27.043399999999998</c:v>
                </c:pt>
                <c:pt idx="41">
                  <c:v>26.677600000000002</c:v>
                </c:pt>
                <c:pt idx="42">
                  <c:v>26.270299999999999</c:v>
                </c:pt>
                <c:pt idx="43">
                  <c:v>26.235900000000001</c:v>
                </c:pt>
                <c:pt idx="44">
                  <c:v>25.845600000000001</c:v>
                </c:pt>
                <c:pt idx="45">
                  <c:v>26.1068</c:v>
                </c:pt>
                <c:pt idx="46">
                  <c:v>25.784400000000002</c:v>
                </c:pt>
                <c:pt idx="47">
                  <c:v>25.581099999999999</c:v>
                </c:pt>
                <c:pt idx="48">
                  <c:v>24.917000000000002</c:v>
                </c:pt>
                <c:pt idx="49">
                  <c:v>24.825199999999999</c:v>
                </c:pt>
                <c:pt idx="50">
                  <c:v>24.722000000000001</c:v>
                </c:pt>
                <c:pt idx="51">
                  <c:v>24.5962</c:v>
                </c:pt>
                <c:pt idx="52">
                  <c:v>24.386800000000001</c:v>
                </c:pt>
                <c:pt idx="53">
                  <c:v>24.136900000000001</c:v>
                </c:pt>
                <c:pt idx="54">
                  <c:v>24.040400000000002</c:v>
                </c:pt>
                <c:pt idx="55">
                  <c:v>23.629000000000001</c:v>
                </c:pt>
                <c:pt idx="56">
                  <c:v>23.6126</c:v>
                </c:pt>
                <c:pt idx="57">
                  <c:v>23.315999999999999</c:v>
                </c:pt>
                <c:pt idx="58">
                  <c:v>23.2133</c:v>
                </c:pt>
                <c:pt idx="59">
                  <c:v>22.955200000000001</c:v>
                </c:pt>
                <c:pt idx="60">
                  <c:v>22.738499999999998</c:v>
                </c:pt>
                <c:pt idx="61">
                  <c:v>22.7593</c:v>
                </c:pt>
                <c:pt idx="62">
                  <c:v>22.4206</c:v>
                </c:pt>
                <c:pt idx="63">
                  <c:v>22.373699999999999</c:v>
                </c:pt>
                <c:pt idx="64">
                  <c:v>22.074100000000001</c:v>
                </c:pt>
                <c:pt idx="65">
                  <c:v>21.761099999999999</c:v>
                </c:pt>
                <c:pt idx="66">
                  <c:v>21.6126</c:v>
                </c:pt>
                <c:pt idx="67">
                  <c:v>21.3672</c:v>
                </c:pt>
                <c:pt idx="68">
                  <c:v>21.195799999999998</c:v>
                </c:pt>
                <c:pt idx="69">
                  <c:v>20.944800000000001</c:v>
                </c:pt>
                <c:pt idx="70">
                  <c:v>20.7819</c:v>
                </c:pt>
                <c:pt idx="71">
                  <c:v>20.634799999999998</c:v>
                </c:pt>
                <c:pt idx="72">
                  <c:v>20.243600000000001</c:v>
                </c:pt>
                <c:pt idx="73">
                  <c:v>20.2926</c:v>
                </c:pt>
                <c:pt idx="74">
                  <c:v>19.992000000000001</c:v>
                </c:pt>
                <c:pt idx="75">
                  <c:v>19.682300000000001</c:v>
                </c:pt>
                <c:pt idx="76">
                  <c:v>19.596</c:v>
                </c:pt>
                <c:pt idx="77">
                  <c:v>19.373200000000001</c:v>
                </c:pt>
                <c:pt idx="78">
                  <c:v>19.198</c:v>
                </c:pt>
                <c:pt idx="79">
                  <c:v>18.983699999999999</c:v>
                </c:pt>
                <c:pt idx="80">
                  <c:v>18.802900000000001</c:v>
                </c:pt>
                <c:pt idx="81">
                  <c:v>18.598600000000001</c:v>
                </c:pt>
                <c:pt idx="82">
                  <c:v>18.468</c:v>
                </c:pt>
                <c:pt idx="83">
                  <c:v>18.2744</c:v>
                </c:pt>
                <c:pt idx="84">
                  <c:v>18.092600000000001</c:v>
                </c:pt>
                <c:pt idx="85">
                  <c:v>17.887</c:v>
                </c:pt>
                <c:pt idx="86">
                  <c:v>17.753599999999999</c:v>
                </c:pt>
                <c:pt idx="87">
                  <c:v>17.416399999999999</c:v>
                </c:pt>
                <c:pt idx="88">
                  <c:v>17.283200000000001</c:v>
                </c:pt>
                <c:pt idx="89">
                  <c:v>17.007100000000001</c:v>
                </c:pt>
                <c:pt idx="90">
                  <c:v>16.8354</c:v>
                </c:pt>
                <c:pt idx="91">
                  <c:v>16.6614</c:v>
                </c:pt>
                <c:pt idx="92">
                  <c:v>16.509799999999998</c:v>
                </c:pt>
                <c:pt idx="93">
                  <c:v>16.276800000000001</c:v>
                </c:pt>
                <c:pt idx="94">
                  <c:v>16.106100000000001</c:v>
                </c:pt>
                <c:pt idx="95">
                  <c:v>15.882400000000001</c:v>
                </c:pt>
                <c:pt idx="96">
                  <c:v>15.6715</c:v>
                </c:pt>
                <c:pt idx="97">
                  <c:v>15.471399999999999</c:v>
                </c:pt>
                <c:pt idx="98">
                  <c:v>15.352499999999999</c:v>
                </c:pt>
                <c:pt idx="99">
                  <c:v>15.0807</c:v>
                </c:pt>
                <c:pt idx="100">
                  <c:v>14.883800000000001</c:v>
                </c:pt>
                <c:pt idx="101">
                  <c:v>14.7437</c:v>
                </c:pt>
                <c:pt idx="102">
                  <c:v>14.586600000000001</c:v>
                </c:pt>
                <c:pt idx="103">
                  <c:v>14.3581</c:v>
                </c:pt>
                <c:pt idx="104">
                  <c:v>14.1501</c:v>
                </c:pt>
                <c:pt idx="105">
                  <c:v>13.9679</c:v>
                </c:pt>
                <c:pt idx="106">
                  <c:v>13.7508</c:v>
                </c:pt>
                <c:pt idx="107">
                  <c:v>13.6038</c:v>
                </c:pt>
                <c:pt idx="108">
                  <c:v>13.412800000000001</c:v>
                </c:pt>
                <c:pt idx="109">
                  <c:v>13.1837</c:v>
                </c:pt>
                <c:pt idx="110">
                  <c:v>13.0792</c:v>
                </c:pt>
                <c:pt idx="111">
                  <c:v>12.807</c:v>
                </c:pt>
                <c:pt idx="112">
                  <c:v>12.682600000000001</c:v>
                </c:pt>
                <c:pt idx="113">
                  <c:v>12.475899999999999</c:v>
                </c:pt>
                <c:pt idx="114">
                  <c:v>12.2584</c:v>
                </c:pt>
                <c:pt idx="115">
                  <c:v>12.0929</c:v>
                </c:pt>
                <c:pt idx="116">
                  <c:v>11.918900000000001</c:v>
                </c:pt>
                <c:pt idx="117">
                  <c:v>11.714700000000001</c:v>
                </c:pt>
                <c:pt idx="118">
                  <c:v>11.5252</c:v>
                </c:pt>
                <c:pt idx="119">
                  <c:v>11.3354</c:v>
                </c:pt>
                <c:pt idx="120">
                  <c:v>11.160399999999999</c:v>
                </c:pt>
                <c:pt idx="121">
                  <c:v>10.9787</c:v>
                </c:pt>
                <c:pt idx="122">
                  <c:v>10.7578</c:v>
                </c:pt>
                <c:pt idx="123">
                  <c:v>10.580500000000001</c:v>
                </c:pt>
                <c:pt idx="124">
                  <c:v>10.4643</c:v>
                </c:pt>
                <c:pt idx="125">
                  <c:v>10.213699999999999</c:v>
                </c:pt>
                <c:pt idx="126">
                  <c:v>10.045199999999999</c:v>
                </c:pt>
                <c:pt idx="127">
                  <c:v>9.8767200000000006</c:v>
                </c:pt>
                <c:pt idx="128">
                  <c:v>9.7134199999999993</c:v>
                </c:pt>
                <c:pt idx="129">
                  <c:v>9.5268499999999996</c:v>
                </c:pt>
                <c:pt idx="130">
                  <c:v>9.3349399999999996</c:v>
                </c:pt>
                <c:pt idx="131">
                  <c:v>9.0884699999999992</c:v>
                </c:pt>
                <c:pt idx="132">
                  <c:v>8.9698600000000006</c:v>
                </c:pt>
                <c:pt idx="133">
                  <c:v>8.68736</c:v>
                </c:pt>
                <c:pt idx="134">
                  <c:v>8.5308799999999998</c:v>
                </c:pt>
                <c:pt idx="135">
                  <c:v>8.3496900000000007</c:v>
                </c:pt>
                <c:pt idx="136">
                  <c:v>8.2818299999999994</c:v>
                </c:pt>
                <c:pt idx="137">
                  <c:v>8.0662299999999991</c:v>
                </c:pt>
                <c:pt idx="138">
                  <c:v>7.8140200000000002</c:v>
                </c:pt>
                <c:pt idx="139">
                  <c:v>7.6423899999999998</c:v>
                </c:pt>
                <c:pt idx="140">
                  <c:v>7.45716</c:v>
                </c:pt>
                <c:pt idx="141">
                  <c:v>7.31271</c:v>
                </c:pt>
                <c:pt idx="142">
                  <c:v>7.13504</c:v>
                </c:pt>
                <c:pt idx="143">
                  <c:v>6.8809300000000002</c:v>
                </c:pt>
                <c:pt idx="144">
                  <c:v>6.7009400000000001</c:v>
                </c:pt>
                <c:pt idx="145">
                  <c:v>6.5356199999999998</c:v>
                </c:pt>
                <c:pt idx="146">
                  <c:v>6.3265200000000004</c:v>
                </c:pt>
                <c:pt idx="147">
                  <c:v>6.1830800000000004</c:v>
                </c:pt>
                <c:pt idx="148">
                  <c:v>6.0130600000000003</c:v>
                </c:pt>
                <c:pt idx="149">
                  <c:v>5.8544900000000002</c:v>
                </c:pt>
                <c:pt idx="150">
                  <c:v>5.6099300000000003</c:v>
                </c:pt>
                <c:pt idx="151">
                  <c:v>5.4320899999999996</c:v>
                </c:pt>
                <c:pt idx="152">
                  <c:v>5.2356100000000003</c:v>
                </c:pt>
                <c:pt idx="153">
                  <c:v>5.0528199999999996</c:v>
                </c:pt>
                <c:pt idx="154">
                  <c:v>4.9028999999999998</c:v>
                </c:pt>
                <c:pt idx="155">
                  <c:v>4.6522600000000001</c:v>
                </c:pt>
                <c:pt idx="156">
                  <c:v>4.4950999999999999</c:v>
                </c:pt>
                <c:pt idx="157">
                  <c:v>4.3437000000000001</c:v>
                </c:pt>
                <c:pt idx="158">
                  <c:v>4.1437400000000002</c:v>
                </c:pt>
                <c:pt idx="159">
                  <c:v>3.9573</c:v>
                </c:pt>
                <c:pt idx="160">
                  <c:v>3.8980899999999998</c:v>
                </c:pt>
                <c:pt idx="161">
                  <c:v>3.5600999999999998</c:v>
                </c:pt>
                <c:pt idx="162">
                  <c:v>3.4098799999999998</c:v>
                </c:pt>
                <c:pt idx="163">
                  <c:v>3.2244999999999999</c:v>
                </c:pt>
                <c:pt idx="164">
                  <c:v>3.07782</c:v>
                </c:pt>
                <c:pt idx="165">
                  <c:v>2.9233199999999999</c:v>
                </c:pt>
                <c:pt idx="166">
                  <c:v>2.7266900000000001</c:v>
                </c:pt>
                <c:pt idx="167">
                  <c:v>2.54392</c:v>
                </c:pt>
                <c:pt idx="168">
                  <c:v>2.5307499999999998</c:v>
                </c:pt>
                <c:pt idx="169">
                  <c:v>2.1795599999999999</c:v>
                </c:pt>
                <c:pt idx="170">
                  <c:v>2.08934</c:v>
                </c:pt>
                <c:pt idx="171">
                  <c:v>1.7954699999999999</c:v>
                </c:pt>
                <c:pt idx="172">
                  <c:v>1.6024099999999999</c:v>
                </c:pt>
                <c:pt idx="173">
                  <c:v>1.48515</c:v>
                </c:pt>
                <c:pt idx="174">
                  <c:v>1.35836</c:v>
                </c:pt>
                <c:pt idx="175">
                  <c:v>1.07298</c:v>
                </c:pt>
                <c:pt idx="176">
                  <c:v>0.86915299999999995</c:v>
                </c:pt>
                <c:pt idx="177">
                  <c:v>0.80323599999999995</c:v>
                </c:pt>
                <c:pt idx="178">
                  <c:v>0.76992799999999995</c:v>
                </c:pt>
                <c:pt idx="179">
                  <c:v>0.46947800000000001</c:v>
                </c:pt>
                <c:pt idx="180">
                  <c:v>0.36985299999999999</c:v>
                </c:pt>
                <c:pt idx="181">
                  <c:v>0.12767600000000001</c:v>
                </c:pt>
                <c:pt idx="182">
                  <c:v>3.6938100000000001E-2</c:v>
                </c:pt>
                <c:pt idx="183">
                  <c:v>-4.9019100000000003E-2</c:v>
                </c:pt>
                <c:pt idx="184">
                  <c:v>-0.21798300000000001</c:v>
                </c:pt>
                <c:pt idx="185">
                  <c:v>-0.38401400000000002</c:v>
                </c:pt>
                <c:pt idx="186">
                  <c:v>-0.57486000000000004</c:v>
                </c:pt>
                <c:pt idx="187">
                  <c:v>-0.73329999999999995</c:v>
                </c:pt>
                <c:pt idx="188">
                  <c:v>-0.87090199999999995</c:v>
                </c:pt>
                <c:pt idx="189">
                  <c:v>-1.0348599999999999</c:v>
                </c:pt>
                <c:pt idx="190">
                  <c:v>-1.2307999999999999</c:v>
                </c:pt>
                <c:pt idx="191">
                  <c:v>-1.3526100000000001</c:v>
                </c:pt>
                <c:pt idx="192">
                  <c:v>-1.29555</c:v>
                </c:pt>
                <c:pt idx="193">
                  <c:v>-1.5137499999999999</c:v>
                </c:pt>
                <c:pt idx="194">
                  <c:v>-1.62094</c:v>
                </c:pt>
                <c:pt idx="195">
                  <c:v>-1.6954</c:v>
                </c:pt>
                <c:pt idx="196">
                  <c:v>-1.76502</c:v>
                </c:pt>
                <c:pt idx="197">
                  <c:v>-1.99203</c:v>
                </c:pt>
                <c:pt idx="198">
                  <c:v>-2.1278299999999999</c:v>
                </c:pt>
                <c:pt idx="199">
                  <c:v>-1.9944299999999999</c:v>
                </c:pt>
                <c:pt idx="200">
                  <c:v>-2.2209699999999999</c:v>
                </c:pt>
                <c:pt idx="201">
                  <c:v>-2.4867400000000002</c:v>
                </c:pt>
                <c:pt idx="202">
                  <c:v>-2.3517399999999999</c:v>
                </c:pt>
                <c:pt idx="203">
                  <c:v>-2.5136799999999999</c:v>
                </c:pt>
                <c:pt idx="204">
                  <c:v>-2.5043700000000002</c:v>
                </c:pt>
                <c:pt idx="205">
                  <c:v>-2.7486899999999999</c:v>
                </c:pt>
                <c:pt idx="206">
                  <c:v>-2.86917</c:v>
                </c:pt>
                <c:pt idx="207">
                  <c:v>-3.0396299999999998</c:v>
                </c:pt>
                <c:pt idx="208">
                  <c:v>-3.2097500000000001</c:v>
                </c:pt>
                <c:pt idx="209">
                  <c:v>-3.2360000000000002</c:v>
                </c:pt>
                <c:pt idx="210">
                  <c:v>-3.6465100000000001</c:v>
                </c:pt>
                <c:pt idx="211">
                  <c:v>-3.6234700000000002</c:v>
                </c:pt>
                <c:pt idx="212">
                  <c:v>-4.1132799999999996</c:v>
                </c:pt>
                <c:pt idx="213">
                  <c:v>-3.8779599999999999</c:v>
                </c:pt>
                <c:pt idx="214">
                  <c:v>-4.0306600000000001</c:v>
                </c:pt>
                <c:pt idx="215">
                  <c:v>-4.0179099999999996</c:v>
                </c:pt>
                <c:pt idx="216">
                  <c:v>-3.9652699999999999</c:v>
                </c:pt>
                <c:pt idx="217">
                  <c:v>-3.9583900000000001</c:v>
                </c:pt>
                <c:pt idx="218">
                  <c:v>-3.8792200000000001</c:v>
                </c:pt>
                <c:pt idx="219">
                  <c:v>-3.9822899999999999</c:v>
                </c:pt>
                <c:pt idx="220">
                  <c:v>-3.9450400000000001</c:v>
                </c:pt>
                <c:pt idx="221">
                  <c:v>-3.9639700000000002</c:v>
                </c:pt>
                <c:pt idx="222">
                  <c:v>-3.91065</c:v>
                </c:pt>
                <c:pt idx="223">
                  <c:v>-3.9488799999999999</c:v>
                </c:pt>
                <c:pt idx="224">
                  <c:v>-3.8028900000000001</c:v>
                </c:pt>
                <c:pt idx="225">
                  <c:v>-3.8474200000000001</c:v>
                </c:pt>
                <c:pt idx="226">
                  <c:v>-3.8303199999999999</c:v>
                </c:pt>
                <c:pt idx="227">
                  <c:v>-3.77474</c:v>
                </c:pt>
                <c:pt idx="228">
                  <c:v>-3.7312500000000002</c:v>
                </c:pt>
                <c:pt idx="229">
                  <c:v>-3.7243200000000001</c:v>
                </c:pt>
                <c:pt idx="230">
                  <c:v>-3.67421</c:v>
                </c:pt>
                <c:pt idx="231">
                  <c:v>-3.6440899999999998</c:v>
                </c:pt>
                <c:pt idx="232">
                  <c:v>-3.5620099999999999</c:v>
                </c:pt>
                <c:pt idx="233">
                  <c:v>-3.5589</c:v>
                </c:pt>
                <c:pt idx="234">
                  <c:v>-3.49654</c:v>
                </c:pt>
                <c:pt idx="235">
                  <c:v>-3.4356</c:v>
                </c:pt>
                <c:pt idx="236">
                  <c:v>-3.37297</c:v>
                </c:pt>
                <c:pt idx="237">
                  <c:v>-3.29522</c:v>
                </c:pt>
                <c:pt idx="238">
                  <c:v>-3.2437399999999998</c:v>
                </c:pt>
                <c:pt idx="239">
                  <c:v>-3.1709299999999998</c:v>
                </c:pt>
                <c:pt idx="240">
                  <c:v>-3.1069800000000001</c:v>
                </c:pt>
                <c:pt idx="241">
                  <c:v>-3.0172699999999999</c:v>
                </c:pt>
                <c:pt idx="242">
                  <c:v>-2.9494799999999999</c:v>
                </c:pt>
                <c:pt idx="243">
                  <c:v>-2.8411300000000002</c:v>
                </c:pt>
                <c:pt idx="244">
                  <c:v>-2.7366600000000001</c:v>
                </c:pt>
                <c:pt idx="245">
                  <c:v>-2.6523400000000001</c:v>
                </c:pt>
                <c:pt idx="246">
                  <c:v>-2.5506799999999998</c:v>
                </c:pt>
                <c:pt idx="247">
                  <c:v>-2.44991</c:v>
                </c:pt>
                <c:pt idx="248">
                  <c:v>-2.3553299999999999</c:v>
                </c:pt>
                <c:pt idx="249">
                  <c:v>-2.2543500000000001</c:v>
                </c:pt>
                <c:pt idx="250">
                  <c:v>-2.1282199999999998</c:v>
                </c:pt>
                <c:pt idx="251">
                  <c:v>-2.03586</c:v>
                </c:pt>
                <c:pt idx="252">
                  <c:v>-1.91717</c:v>
                </c:pt>
                <c:pt idx="253">
                  <c:v>-1.81593</c:v>
                </c:pt>
                <c:pt idx="254">
                  <c:v>-1.6807799999999999</c:v>
                </c:pt>
                <c:pt idx="255">
                  <c:v>-1.5620799999999999</c:v>
                </c:pt>
                <c:pt idx="256">
                  <c:v>-1.4274800000000001</c:v>
                </c:pt>
                <c:pt idx="257">
                  <c:v>-1.30297</c:v>
                </c:pt>
                <c:pt idx="258">
                  <c:v>-1.18652</c:v>
                </c:pt>
                <c:pt idx="259">
                  <c:v>-1.0515600000000001</c:v>
                </c:pt>
                <c:pt idx="260">
                  <c:v>-0.92721699999999996</c:v>
                </c:pt>
                <c:pt idx="261">
                  <c:v>-0.80365399999999998</c:v>
                </c:pt>
                <c:pt idx="262">
                  <c:v>-0.666377</c:v>
                </c:pt>
                <c:pt idx="263">
                  <c:v>-0.55182299999999995</c:v>
                </c:pt>
                <c:pt idx="264">
                  <c:v>-0.43071199999999998</c:v>
                </c:pt>
                <c:pt idx="265">
                  <c:v>-0.21105299999999999</c:v>
                </c:pt>
                <c:pt idx="266">
                  <c:v>0.52166999999999997</c:v>
                </c:pt>
                <c:pt idx="267">
                  <c:v>0.78233600000000003</c:v>
                </c:pt>
                <c:pt idx="268">
                  <c:v>0.81724300000000005</c:v>
                </c:pt>
                <c:pt idx="269">
                  <c:v>0.86195100000000002</c:v>
                </c:pt>
                <c:pt idx="270">
                  <c:v>0.950021</c:v>
                </c:pt>
                <c:pt idx="271">
                  <c:v>1.0492999999999999</c:v>
                </c:pt>
                <c:pt idx="272">
                  <c:v>1.1752400000000001</c:v>
                </c:pt>
                <c:pt idx="273">
                  <c:v>1.3152900000000001</c:v>
                </c:pt>
                <c:pt idx="274">
                  <c:v>1.4637500000000001</c:v>
                </c:pt>
                <c:pt idx="275">
                  <c:v>1.62296</c:v>
                </c:pt>
                <c:pt idx="276">
                  <c:v>1.78169</c:v>
                </c:pt>
                <c:pt idx="277">
                  <c:v>1.9421999999999999</c:v>
                </c:pt>
                <c:pt idx="278">
                  <c:v>2.1075200000000001</c:v>
                </c:pt>
                <c:pt idx="279">
                  <c:v>2.2781099999999999</c:v>
                </c:pt>
                <c:pt idx="280">
                  <c:v>2.4499300000000002</c:v>
                </c:pt>
                <c:pt idx="281">
                  <c:v>2.6258699999999999</c:v>
                </c:pt>
                <c:pt idx="282">
                  <c:v>2.7940900000000002</c:v>
                </c:pt>
                <c:pt idx="283">
                  <c:v>2.9581400000000002</c:v>
                </c:pt>
                <c:pt idx="284">
                  <c:v>3.15646</c:v>
                </c:pt>
                <c:pt idx="285">
                  <c:v>3.32565</c:v>
                </c:pt>
                <c:pt idx="286">
                  <c:v>3.4992100000000002</c:v>
                </c:pt>
                <c:pt idx="287">
                  <c:v>3.6540400000000002</c:v>
                </c:pt>
                <c:pt idx="288">
                  <c:v>3.8307899999999999</c:v>
                </c:pt>
                <c:pt idx="289">
                  <c:v>4.0309799999999996</c:v>
                </c:pt>
                <c:pt idx="290">
                  <c:v>4.23407</c:v>
                </c:pt>
                <c:pt idx="291">
                  <c:v>4.4202000000000004</c:v>
                </c:pt>
                <c:pt idx="292">
                  <c:v>4.5639399999999997</c:v>
                </c:pt>
                <c:pt idx="293">
                  <c:v>4.7605300000000002</c:v>
                </c:pt>
                <c:pt idx="294">
                  <c:v>4.9475499999999997</c:v>
                </c:pt>
                <c:pt idx="295">
                  <c:v>5.2143100000000002</c:v>
                </c:pt>
                <c:pt idx="296">
                  <c:v>5.4050900000000004</c:v>
                </c:pt>
                <c:pt idx="297">
                  <c:v>5.6014999999999997</c:v>
                </c:pt>
                <c:pt idx="298">
                  <c:v>5.7946099999999996</c:v>
                </c:pt>
                <c:pt idx="299">
                  <c:v>5.9855799999999997</c:v>
                </c:pt>
                <c:pt idx="300">
                  <c:v>6.1811499999999997</c:v>
                </c:pt>
                <c:pt idx="301">
                  <c:v>6.3762999999999996</c:v>
                </c:pt>
                <c:pt idx="302">
                  <c:v>6.5692300000000001</c:v>
                </c:pt>
                <c:pt idx="303">
                  <c:v>6.77081</c:v>
                </c:pt>
                <c:pt idx="304">
                  <c:v>6.9849899999999998</c:v>
                </c:pt>
                <c:pt idx="305">
                  <c:v>7.2120699999999998</c:v>
                </c:pt>
                <c:pt idx="306">
                  <c:v>7.47248</c:v>
                </c:pt>
                <c:pt idx="307">
                  <c:v>7.6753600000000004</c:v>
                </c:pt>
                <c:pt idx="308">
                  <c:v>7.9446199999999996</c:v>
                </c:pt>
                <c:pt idx="309">
                  <c:v>8.1865900000000007</c:v>
                </c:pt>
                <c:pt idx="310">
                  <c:v>8.4445800000000002</c:v>
                </c:pt>
                <c:pt idx="311">
                  <c:v>8.6780500000000007</c:v>
                </c:pt>
                <c:pt idx="312">
                  <c:v>8.8889499999999995</c:v>
                </c:pt>
                <c:pt idx="313">
                  <c:v>9.0986999999999991</c:v>
                </c:pt>
                <c:pt idx="314">
                  <c:v>9.3196600000000007</c:v>
                </c:pt>
                <c:pt idx="315">
                  <c:v>9.5290400000000002</c:v>
                </c:pt>
                <c:pt idx="316">
                  <c:v>9.7312899999999996</c:v>
                </c:pt>
                <c:pt idx="317">
                  <c:v>9.9010099999999994</c:v>
                </c:pt>
                <c:pt idx="318">
                  <c:v>10.0764</c:v>
                </c:pt>
                <c:pt idx="319">
                  <c:v>10.266</c:v>
                </c:pt>
                <c:pt idx="320">
                  <c:v>10.4788</c:v>
                </c:pt>
                <c:pt idx="321">
                  <c:v>10.741899999999999</c:v>
                </c:pt>
                <c:pt idx="322">
                  <c:v>11.0235</c:v>
                </c:pt>
                <c:pt idx="323">
                  <c:v>11.234299999999999</c:v>
                </c:pt>
                <c:pt idx="324">
                  <c:v>11.3918</c:v>
                </c:pt>
                <c:pt idx="325">
                  <c:v>11.612500000000001</c:v>
                </c:pt>
                <c:pt idx="326">
                  <c:v>11.8933</c:v>
                </c:pt>
                <c:pt idx="327">
                  <c:v>12.027799999999999</c:v>
                </c:pt>
                <c:pt idx="328">
                  <c:v>12.182600000000001</c:v>
                </c:pt>
                <c:pt idx="329">
                  <c:v>12.458399999999999</c:v>
                </c:pt>
                <c:pt idx="330">
                  <c:v>12.6511</c:v>
                </c:pt>
                <c:pt idx="331">
                  <c:v>12.903600000000001</c:v>
                </c:pt>
                <c:pt idx="332">
                  <c:v>13.1541</c:v>
                </c:pt>
                <c:pt idx="333">
                  <c:v>13.368399999999999</c:v>
                </c:pt>
                <c:pt idx="334">
                  <c:v>13.6015</c:v>
                </c:pt>
                <c:pt idx="335">
                  <c:v>13.8704</c:v>
                </c:pt>
                <c:pt idx="336">
                  <c:v>14.1297</c:v>
                </c:pt>
                <c:pt idx="337">
                  <c:v>14.451599999999999</c:v>
                </c:pt>
                <c:pt idx="338">
                  <c:v>14.4628</c:v>
                </c:pt>
                <c:pt idx="339">
                  <c:v>14.575900000000001</c:v>
                </c:pt>
                <c:pt idx="340">
                  <c:v>14.7446</c:v>
                </c:pt>
                <c:pt idx="341">
                  <c:v>14.891</c:v>
                </c:pt>
                <c:pt idx="342">
                  <c:v>14.9779</c:v>
                </c:pt>
                <c:pt idx="343">
                  <c:v>15.0854</c:v>
                </c:pt>
                <c:pt idx="344">
                  <c:v>15.1145</c:v>
                </c:pt>
                <c:pt idx="345">
                  <c:v>15.1486</c:v>
                </c:pt>
                <c:pt idx="346">
                  <c:v>14.961</c:v>
                </c:pt>
                <c:pt idx="347">
                  <c:v>14.946199999999999</c:v>
                </c:pt>
                <c:pt idx="348">
                  <c:v>15.1762</c:v>
                </c:pt>
                <c:pt idx="349">
                  <c:v>15.284700000000001</c:v>
                </c:pt>
                <c:pt idx="350">
                  <c:v>15.331799999999999</c:v>
                </c:pt>
                <c:pt idx="351">
                  <c:v>15.3347</c:v>
                </c:pt>
                <c:pt idx="352">
                  <c:v>15.331</c:v>
                </c:pt>
                <c:pt idx="353">
                  <c:v>15.2844</c:v>
                </c:pt>
                <c:pt idx="354">
                  <c:v>15.295400000000001</c:v>
                </c:pt>
                <c:pt idx="355">
                  <c:v>15.3028</c:v>
                </c:pt>
                <c:pt idx="356">
                  <c:v>15.049200000000001</c:v>
                </c:pt>
                <c:pt idx="357">
                  <c:v>14.9002</c:v>
                </c:pt>
                <c:pt idx="358">
                  <c:v>14.938000000000001</c:v>
                </c:pt>
                <c:pt idx="359">
                  <c:v>14.7561</c:v>
                </c:pt>
                <c:pt idx="360">
                  <c:v>14.525499999999999</c:v>
                </c:pt>
                <c:pt idx="361">
                  <c:v>14.4298</c:v>
                </c:pt>
                <c:pt idx="362">
                  <c:v>14.126799999999999</c:v>
                </c:pt>
                <c:pt idx="363">
                  <c:v>14.106299999999999</c:v>
                </c:pt>
                <c:pt idx="364">
                  <c:v>13.8226</c:v>
                </c:pt>
                <c:pt idx="365">
                  <c:v>13.599500000000001</c:v>
                </c:pt>
                <c:pt idx="366">
                  <c:v>13.3674</c:v>
                </c:pt>
                <c:pt idx="367">
                  <c:v>13.1959</c:v>
                </c:pt>
                <c:pt idx="368">
                  <c:v>13.0069</c:v>
                </c:pt>
                <c:pt idx="369">
                  <c:v>12.7394</c:v>
                </c:pt>
                <c:pt idx="370">
                  <c:v>12.4757</c:v>
                </c:pt>
                <c:pt idx="371">
                  <c:v>12.1639</c:v>
                </c:pt>
                <c:pt idx="372">
                  <c:v>11.9579</c:v>
                </c:pt>
                <c:pt idx="373">
                  <c:v>11.690200000000001</c:v>
                </c:pt>
                <c:pt idx="374">
                  <c:v>11.575799999999999</c:v>
                </c:pt>
                <c:pt idx="375">
                  <c:v>11.314</c:v>
                </c:pt>
                <c:pt idx="376">
                  <c:v>11.0791</c:v>
                </c:pt>
                <c:pt idx="377">
                  <c:v>10.8666</c:v>
                </c:pt>
                <c:pt idx="378">
                  <c:v>10.6013</c:v>
                </c:pt>
                <c:pt idx="379">
                  <c:v>10.4749</c:v>
                </c:pt>
                <c:pt idx="380">
                  <c:v>10.283799999999999</c:v>
                </c:pt>
                <c:pt idx="381">
                  <c:v>9.9821899999999992</c:v>
                </c:pt>
                <c:pt idx="382">
                  <c:v>9.7520900000000008</c:v>
                </c:pt>
                <c:pt idx="383">
                  <c:v>9.5117999999999991</c:v>
                </c:pt>
                <c:pt idx="384">
                  <c:v>9.28308</c:v>
                </c:pt>
                <c:pt idx="385">
                  <c:v>9.1002899999999993</c:v>
                </c:pt>
                <c:pt idx="386">
                  <c:v>8.7908299999999997</c:v>
                </c:pt>
                <c:pt idx="387">
                  <c:v>8.6150300000000009</c:v>
                </c:pt>
                <c:pt idx="388">
                  <c:v>8.3056699999999992</c:v>
                </c:pt>
                <c:pt idx="389">
                  <c:v>7.9999099999999999</c:v>
                </c:pt>
                <c:pt idx="390">
                  <c:v>7.7399399999999998</c:v>
                </c:pt>
                <c:pt idx="391">
                  <c:v>7.5259600000000004</c:v>
                </c:pt>
                <c:pt idx="392">
                  <c:v>7.3913599999999997</c:v>
                </c:pt>
                <c:pt idx="393">
                  <c:v>7.3125499999999999</c:v>
                </c:pt>
                <c:pt idx="394">
                  <c:v>7.1463099999999997</c:v>
                </c:pt>
                <c:pt idx="395">
                  <c:v>6.8612700000000002</c:v>
                </c:pt>
                <c:pt idx="396">
                  <c:v>6.4708399999999999</c:v>
                </c:pt>
                <c:pt idx="397">
                  <c:v>6.2453099999999999</c:v>
                </c:pt>
                <c:pt idx="398">
                  <c:v>6.1328699999999996</c:v>
                </c:pt>
                <c:pt idx="399">
                  <c:v>5.7547600000000001</c:v>
                </c:pt>
              </c:numCache>
            </c:numRef>
          </c:yVal>
          <c:smooth val="1"/>
          <c:extLst>
            <c:ext xmlns:c16="http://schemas.microsoft.com/office/drawing/2014/chart" uri="{C3380CC4-5D6E-409C-BE32-E72D297353CC}">
              <c16:uniqueId val="{00000001-2A10-41EA-A3AE-967165122F16}"/>
            </c:ext>
          </c:extLst>
        </c:ser>
        <c:dLbls>
          <c:showLegendKey val="0"/>
          <c:showVal val="0"/>
          <c:showCatName val="0"/>
          <c:showSerName val="0"/>
          <c:showPercent val="0"/>
          <c:showBubbleSize val="0"/>
        </c:dLbls>
        <c:axId val="176934912"/>
        <c:axId val="176937216"/>
      </c:scatterChart>
      <c:scatterChart>
        <c:scatterStyle val="lineMarker"/>
        <c:varyColors val="0"/>
        <c:ser>
          <c:idx val="3"/>
          <c:order val="1"/>
          <c:tx>
            <c:v>Theoretical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Calculations'!$BD$9:$BD$676</c:f>
              <c:numCache>
                <c:formatCode>General</c:formatCode>
                <c:ptCount val="668"/>
                <c:pt idx="0">
                  <c:v>-230.98155445240653</c:v>
                </c:pt>
                <c:pt idx="1">
                  <c:v>-247.90493933658016</c:v>
                </c:pt>
                <c:pt idx="2">
                  <c:v>-254.80896658624476</c:v>
                </c:pt>
                <c:pt idx="3">
                  <c:v>-258.43816350063361</c:v>
                </c:pt>
                <c:pt idx="4">
                  <c:v>-260.65182170474588</c:v>
                </c:pt>
                <c:pt idx="5">
                  <c:v>-262.13383703302918</c:v>
                </c:pt>
                <c:pt idx="6">
                  <c:v>-263.19046471341369</c:v>
                </c:pt>
                <c:pt idx="7">
                  <c:v>-263.97849576943349</c:v>
                </c:pt>
                <c:pt idx="8">
                  <c:v>-264.58628812925093</c:v>
                </c:pt>
                <c:pt idx="9">
                  <c:v>-265.06735202591517</c:v>
                </c:pt>
                <c:pt idx="10">
                  <c:v>-267.07238308351879</c:v>
                </c:pt>
                <c:pt idx="11">
                  <c:v>-267.53944956452528</c:v>
                </c:pt>
                <c:pt idx="12">
                  <c:v>-267.62072631077052</c:v>
                </c:pt>
                <c:pt idx="13">
                  <c:v>-267.54757074549752</c:v>
                </c:pt>
                <c:pt idx="14">
                  <c:v>-267.39718655619868</c:v>
                </c:pt>
                <c:pt idx="15">
                  <c:v>-267.20267878361165</c:v>
                </c:pt>
                <c:pt idx="16">
                  <c:v>-266.98060631079505</c:v>
                </c:pt>
                <c:pt idx="17">
                  <c:v>-266.74017195019769</c:v>
                </c:pt>
                <c:pt idx="18">
                  <c:v>-266.48689979774042</c:v>
                </c:pt>
                <c:pt idx="19">
                  <c:v>-263.67417365015558</c:v>
                </c:pt>
                <c:pt idx="20">
                  <c:v>-260.7162900356538</c:v>
                </c:pt>
                <c:pt idx="21">
                  <c:v>-257.73378995490793</c:v>
                </c:pt>
                <c:pt idx="22">
                  <c:v>-254.75434041152988</c:v>
                </c:pt>
                <c:pt idx="23">
                  <c:v>-251.78998590168896</c:v>
                </c:pt>
                <c:pt idx="24">
                  <c:v>-248.84815624523412</c:v>
                </c:pt>
                <c:pt idx="25">
                  <c:v>-245.93439728934797</c:v>
                </c:pt>
                <c:pt idx="26">
                  <c:v>-243.053265944511</c:v>
                </c:pt>
                <c:pt idx="27">
                  <c:v>-240.20867805427531</c:v>
                </c:pt>
                <c:pt idx="28">
                  <c:v>-226.64003117458685</c:v>
                </c:pt>
                <c:pt idx="29">
                  <c:v>-214.34372600039987</c:v>
                </c:pt>
                <c:pt idx="30">
                  <c:v>-203.42516965290656</c:v>
                </c:pt>
                <c:pt idx="31">
                  <c:v>-193.85870902391937</c:v>
                </c:pt>
                <c:pt idx="32">
                  <c:v>-185.54170409743134</c:v>
                </c:pt>
                <c:pt idx="33">
                  <c:v>-178.33700254414714</c:v>
                </c:pt>
                <c:pt idx="34">
                  <c:v>-172.10036895053611</c:v>
                </c:pt>
                <c:pt idx="35">
                  <c:v>-166.69545998751303</c:v>
                </c:pt>
                <c:pt idx="36">
                  <c:v>-162.00050145028217</c:v>
                </c:pt>
                <c:pt idx="37">
                  <c:v>-157.91016412506474</c:v>
                </c:pt>
                <c:pt idx="38">
                  <c:v>-154.33498421492277</c:v>
                </c:pt>
                <c:pt idx="39">
                  <c:v>-151.19971425807449</c:v>
                </c:pt>
                <c:pt idx="40">
                  <c:v>-148.44135044457525</c:v>
                </c:pt>
                <c:pt idx="41">
                  <c:v>-146.0072018710363</c:v>
                </c:pt>
                <c:pt idx="42">
                  <c:v>-143.85315785995326</c:v>
                </c:pt>
                <c:pt idx="43">
                  <c:v>-141.94220151072801</c:v>
                </c:pt>
                <c:pt idx="44">
                  <c:v>-140.24316612293003</c:v>
                </c:pt>
                <c:pt idx="45">
                  <c:v>-138.72970945662399</c:v>
                </c:pt>
                <c:pt idx="46">
                  <c:v>-137.37947412436228</c:v>
                </c:pt>
                <c:pt idx="47">
                  <c:v>-136.17340278146162</c:v>
                </c:pt>
                <c:pt idx="48">
                  <c:v>-135.0951800778829</c:v>
                </c:pt>
                <c:pt idx="49">
                  <c:v>-134.13077751768972</c:v>
                </c:pt>
                <c:pt idx="50">
                  <c:v>-133.26808149489071</c:v>
                </c:pt>
                <c:pt idx="51">
                  <c:v>-132.49658844945199</c:v>
                </c:pt>
                <c:pt idx="52">
                  <c:v>-131.80715419992453</c:v>
                </c:pt>
                <c:pt idx="53">
                  <c:v>-131.19178707076128</c:v>
                </c:pt>
                <c:pt idx="54">
                  <c:v>-130.64347650524994</c:v>
                </c:pt>
                <c:pt idx="55">
                  <c:v>-130.15605051578143</c:v>
                </c:pt>
                <c:pt idx="56">
                  <c:v>-129.72405664649651</c:v>
                </c:pt>
                <c:pt idx="57">
                  <c:v>-129.34266217498194</c:v>
                </c:pt>
                <c:pt idx="58">
                  <c:v>-129.00757011482111</c:v>
                </c:pt>
                <c:pt idx="59">
                  <c:v>-128.71494824443226</c:v>
                </c:pt>
                <c:pt idx="60">
                  <c:v>-128.46136891580457</c:v>
                </c:pt>
                <c:pt idx="61">
                  <c:v>-128.24375781805924</c:v>
                </c:pt>
                <c:pt idx="62">
                  <c:v>-128.05935020774217</c:v>
                </c:pt>
                <c:pt idx="63">
                  <c:v>-127.90565338810046</c:v>
                </c:pt>
                <c:pt idx="64">
                  <c:v>-127.78041443718064</c:v>
                </c:pt>
                <c:pt idx="65">
                  <c:v>-127.68159236030277</c:v>
                </c:pt>
                <c:pt idx="66">
                  <c:v>-127.60733398485981</c:v>
                </c:pt>
                <c:pt idx="67">
                  <c:v>-127.55595303118706</c:v>
                </c:pt>
                <c:pt idx="68">
                  <c:v>-127.52591188774338</c:v>
                </c:pt>
                <c:pt idx="69">
                  <c:v>-127.51580569622952</c:v>
                </c:pt>
                <c:pt idx="70">
                  <c:v>-127.52434841585865</c:v>
                </c:pt>
                <c:pt idx="71">
                  <c:v>-127.55036058842734</c:v>
                </c:pt>
                <c:pt idx="72">
                  <c:v>-127.59275856921272</c:v>
                </c:pt>
                <c:pt idx="73">
                  <c:v>-127.65054502472806</c:v>
                </c:pt>
                <c:pt idx="74">
                  <c:v>-127.7228005283504</c:v>
                </c:pt>
                <c:pt idx="75">
                  <c:v>-127.80867610987875</c:v>
                </c:pt>
                <c:pt idx="76">
                  <c:v>-127.90738663606771</c:v>
                </c:pt>
                <c:pt idx="77">
                  <c:v>-128.01820491681616</c:v>
                </c:pt>
                <c:pt idx="78">
                  <c:v>-128.1404564465569</c:v>
                </c:pt>
                <c:pt idx="79">
                  <c:v>-128.27351470295758</c:v>
                </c:pt>
                <c:pt idx="80">
                  <c:v>-128.41679693569347</c:v>
                </c:pt>
                <c:pt idx="81">
                  <c:v>-128.56976038710468</c:v>
                </c:pt>
                <c:pt idx="82">
                  <c:v>-128.73189889426402</c:v>
                </c:pt>
                <c:pt idx="83">
                  <c:v>-128.90273982856951</c:v>
                </c:pt>
                <c:pt idx="84">
                  <c:v>-129.08184133462223</c:v>
                </c:pt>
                <c:pt idx="85">
                  <c:v>-129.26878983499225</c:v>
                </c:pt>
                <c:pt idx="86">
                  <c:v>-129.46319777164669</c:v>
                </c:pt>
                <c:pt idx="87">
                  <c:v>-129.66470155840935</c:v>
                </c:pt>
                <c:pt idx="88">
                  <c:v>-129.8729597219301</c:v>
                </c:pt>
                <c:pt idx="89">
                  <c:v>-130.08765121133592</c:v>
                </c:pt>
                <c:pt idx="90">
                  <c:v>-130.30847385907191</c:v>
                </c:pt>
                <c:pt idx="91">
                  <c:v>-130.53514297747623</c:v>
                </c:pt>
                <c:pt idx="92">
                  <c:v>-130.76739007740488</c:v>
                </c:pt>
                <c:pt idx="93">
                  <c:v>-131.00496169677018</c:v>
                </c:pt>
                <c:pt idx="94">
                  <c:v>-131.24761832821315</c:v>
                </c:pt>
                <c:pt idx="95">
                  <c:v>-131.49513343631568</c:v>
                </c:pt>
                <c:pt idx="96">
                  <c:v>-131.74729255580411</c:v>
                </c:pt>
                <c:pt idx="97">
                  <c:v>-132.00389246311082</c:v>
                </c:pt>
                <c:pt idx="98">
                  <c:v>-132.26474041447159</c:v>
                </c:pt>
                <c:pt idx="99">
                  <c:v>-132.52965344444863</c:v>
                </c:pt>
                <c:pt idx="100">
                  <c:v>-132.79845771940236</c:v>
                </c:pt>
                <c:pt idx="101">
                  <c:v>-133.07098794099176</c:v>
                </c:pt>
                <c:pt idx="102">
                  <c:v>-133.34708679528168</c:v>
                </c:pt>
                <c:pt idx="103">
                  <c:v>-133.62660444347341</c:v>
                </c:pt>
                <c:pt idx="104">
                  <c:v>-133.9093980506691</c:v>
                </c:pt>
                <c:pt idx="105">
                  <c:v>-134.19533134942802</c:v>
                </c:pt>
                <c:pt idx="106">
                  <c:v>-134.48427423518496</c:v>
                </c:pt>
                <c:pt idx="107">
                  <c:v>-134.77610239087926</c:v>
                </c:pt>
                <c:pt idx="108">
                  <c:v>-135.07069693839219</c:v>
                </c:pt>
                <c:pt idx="109">
                  <c:v>-135.36794411461273</c:v>
                </c:pt>
                <c:pt idx="110">
                  <c:v>-135.66773497015276</c:v>
                </c:pt>
                <c:pt idx="111">
                  <c:v>-135.96996508891192</c:v>
                </c:pt>
                <c:pt idx="112">
                  <c:v>-136.27453432685294</c:v>
                </c:pt>
                <c:pt idx="113">
                  <c:v>-136.58134656849643</c:v>
                </c:pt>
                <c:pt idx="114">
                  <c:v>-136.89030949977149</c:v>
                </c:pt>
                <c:pt idx="115">
                  <c:v>-137.20133439598018</c:v>
                </c:pt>
                <c:pt idx="116">
                  <c:v>-137.51433592373843</c:v>
                </c:pt>
                <c:pt idx="117">
                  <c:v>-137.82923195585346</c:v>
                </c:pt>
                <c:pt idx="118">
                  <c:v>-138.14594339818603</c:v>
                </c:pt>
                <c:pt idx="119">
                  <c:v>-138.46439402762275</c:v>
                </c:pt>
                <c:pt idx="120">
                  <c:v>-138.78451034035902</c:v>
                </c:pt>
                <c:pt idx="121">
                  <c:v>-139.10622140975494</c:v>
                </c:pt>
                <c:pt idx="122">
                  <c:v>-139.42945875308902</c:v>
                </c:pt>
                <c:pt idx="123">
                  <c:v>-139.75415620658563</c:v>
                </c:pt>
                <c:pt idx="124">
                  <c:v>-140.08024980814449</c:v>
                </c:pt>
                <c:pt idx="125">
                  <c:v>-140.40767768724209</c:v>
                </c:pt>
                <c:pt idx="126">
                  <c:v>-140.73637996151862</c:v>
                </c:pt>
                <c:pt idx="127">
                  <c:v>-141.06629863959986</c:v>
                </c:pt>
                <c:pt idx="128">
                  <c:v>-141.39737752973753</c:v>
                </c:pt>
                <c:pt idx="129">
                  <c:v>-141.72956215388425</c:v>
                </c:pt>
                <c:pt idx="130">
                  <c:v>-142.0627996668461</c:v>
                </c:pt>
                <c:pt idx="131">
                  <c:v>-142.39703878018378</c:v>
                </c:pt>
                <c:pt idx="132">
                  <c:v>-142.73222969055576</c:v>
                </c:pt>
                <c:pt idx="133">
                  <c:v>-143.06832401221999</c:v>
                </c:pt>
                <c:pt idx="134">
                  <c:v>-143.40527471343128</c:v>
                </c:pt>
                <c:pt idx="135">
                  <c:v>-143.74303605648842</c:v>
                </c:pt>
                <c:pt idx="136">
                  <c:v>-144.08156354120464</c:v>
                </c:pt>
                <c:pt idx="137">
                  <c:v>-144.42081385158912</c:v>
                </c:pt>
                <c:pt idx="138">
                  <c:v>-144.76074480554209</c:v>
                </c:pt>
                <c:pt idx="139">
                  <c:v>-145.10131530738033</c:v>
                </c:pt>
                <c:pt idx="140">
                  <c:v>-145.44248530302116</c:v>
                </c:pt>
                <c:pt idx="141">
                  <c:v>-145.78421573766559</c:v>
                </c:pt>
                <c:pt idx="142">
                  <c:v>-146.12646851583082</c:v>
                </c:pt>
                <c:pt idx="143">
                  <c:v>-146.46920646359274</c:v>
                </c:pt>
                <c:pt idx="144">
                  <c:v>-146.81239329290821</c:v>
                </c:pt>
                <c:pt idx="145">
                  <c:v>-147.15599356789488</c:v>
                </c:pt>
                <c:pt idx="146">
                  <c:v>-147.49997267295393</c:v>
                </c:pt>
                <c:pt idx="147">
                  <c:v>-147.84429678262973</c:v>
                </c:pt>
                <c:pt idx="148">
                  <c:v>-148.18893283310464</c:v>
                </c:pt>
                <c:pt idx="149">
                  <c:v>-148.53384849523644</c:v>
                </c:pt>
                <c:pt idx="150">
                  <c:v>-148.87901214904835</c:v>
                </c:pt>
                <c:pt idx="151">
                  <c:v>-149.22439285959041</c:v>
                </c:pt>
                <c:pt idx="152">
                  <c:v>-149.56996035409293</c:v>
                </c:pt>
                <c:pt idx="153">
                  <c:v>-149.91568500033958</c:v>
                </c:pt>
                <c:pt idx="154">
                  <c:v>-150.26153778619079</c:v>
                </c:pt>
                <c:pt idx="155">
                  <c:v>-150.60749030019261</c:v>
                </c:pt>
                <c:pt idx="156">
                  <c:v>-150.95351471321061</c:v>
                </c:pt>
                <c:pt idx="157">
                  <c:v>-151.29958376103011</c:v>
                </c:pt>
                <c:pt idx="158">
                  <c:v>-151.64567072786966</c:v>
                </c:pt>
                <c:pt idx="159">
                  <c:v>-151.99174943075587</c:v>
                </c:pt>
                <c:pt idx="160">
                  <c:v>-152.33779420471188</c:v>
                </c:pt>
                <c:pt idx="161">
                  <c:v>-152.68377988871359</c:v>
                </c:pt>
                <c:pt idx="162">
                  <c:v>-153.02968181237068</c:v>
                </c:pt>
                <c:pt idx="163">
                  <c:v>-153.37547578329213</c:v>
                </c:pt>
                <c:pt idx="164">
                  <c:v>-153.72113807509754</c:v>
                </c:pt>
                <c:pt idx="165">
                  <c:v>-154.06664541603777</c:v>
                </c:pt>
                <c:pt idx="166">
                  <c:v>-154.41197497819178</c:v>
                </c:pt>
                <c:pt idx="167">
                  <c:v>-154.75710436720527</c:v>
                </c:pt>
                <c:pt idx="168">
                  <c:v>-155.10201161254241</c:v>
                </c:pt>
                <c:pt idx="169">
                  <c:v>-155.44667515822002</c:v>
                </c:pt>
                <c:pt idx="170">
                  <c:v>-155.79107385399791</c:v>
                </c:pt>
                <c:pt idx="171">
                  <c:v>-156.13518694699852</c:v>
                </c:pt>
                <c:pt idx="172">
                  <c:v>-156.47899407373143</c:v>
                </c:pt>
                <c:pt idx="173">
                  <c:v>-156.82247525249943</c:v>
                </c:pt>
                <c:pt idx="174">
                  <c:v>-157.1656108761641</c:v>
                </c:pt>
                <c:pt idx="175">
                  <c:v>-157.50838170524958</c:v>
                </c:pt>
                <c:pt idx="176">
                  <c:v>-157.85076886136503</c:v>
                </c:pt>
                <c:pt idx="177">
                  <c:v>-158.19275382092661</c:v>
                </c:pt>
                <c:pt idx="178">
                  <c:v>-158.5343184091613</c:v>
                </c:pt>
                <c:pt idx="179">
                  <c:v>-158.8754447943756</c:v>
                </c:pt>
                <c:pt idx="180">
                  <c:v>-159.21611548247296</c:v>
                </c:pt>
                <c:pt idx="181">
                  <c:v>-159.55631331170494</c:v>
                </c:pt>
                <c:pt idx="182">
                  <c:v>-159.89602144764163</c:v>
                </c:pt>
                <c:pt idx="183">
                  <c:v>-160.23522337834717</c:v>
                </c:pt>
                <c:pt idx="184">
                  <c:v>-160.57390290974834</c:v>
                </c:pt>
                <c:pt idx="185">
                  <c:v>-160.9120441611833</c:v>
                </c:pt>
                <c:pt idx="186">
                  <c:v>-161.24963156111889</c:v>
                </c:pt>
                <c:pt idx="187">
                  <c:v>-161.5866498430259</c:v>
                </c:pt>
                <c:pt idx="188">
                  <c:v>-161.92308404140141</c:v>
                </c:pt>
                <c:pt idx="189">
                  <c:v>-162.25891948792895</c:v>
                </c:pt>
                <c:pt idx="190">
                  <c:v>-162.59414180776639</c:v>
                </c:pt>
                <c:pt idx="191">
                  <c:v>-162.92873691595327</c:v>
                </c:pt>
                <c:pt idx="192">
                  <c:v>-163.26269101392941</c:v>
                </c:pt>
                <c:pt idx="193">
                  <c:v>-163.59599058615632</c:v>
                </c:pt>
                <c:pt idx="194">
                  <c:v>-163.92862239683456</c:v>
                </c:pt>
                <c:pt idx="195">
                  <c:v>-164.26057348670957</c:v>
                </c:pt>
                <c:pt idx="196">
                  <c:v>-164.5918311699601</c:v>
                </c:pt>
                <c:pt idx="197">
                  <c:v>-164.92238303116156</c:v>
                </c:pt>
                <c:pt idx="198">
                  <c:v>-165.25221692232054</c:v>
                </c:pt>
                <c:pt idx="199">
                  <c:v>-165.58132095997289</c:v>
                </c:pt>
                <c:pt idx="200">
                  <c:v>-165.90968352234154</c:v>
                </c:pt>
                <c:pt idx="201">
                  <c:v>-166.23729324654872</c:v>
                </c:pt>
                <c:pt idx="202">
                  <c:v>-166.56413902587789</c:v>
                </c:pt>
                <c:pt idx="203">
                  <c:v>-166.89021000708141</c:v>
                </c:pt>
                <c:pt idx="204">
                  <c:v>-167.21549558772961</c:v>
                </c:pt>
                <c:pt idx="205">
                  <c:v>-167.53998541359772</c:v>
                </c:pt>
                <c:pt idx="206">
                  <c:v>-167.8636693760873</c:v>
                </c:pt>
                <c:pt idx="207">
                  <c:v>-168.18653760967851</c:v>
                </c:pt>
                <c:pt idx="208">
                  <c:v>-168.50858048941063</c:v>
                </c:pt>
                <c:pt idx="209">
                  <c:v>-168.82978862838726</c:v>
                </c:pt>
                <c:pt idx="210">
                  <c:v>-169.15015287530497</c:v>
                </c:pt>
                <c:pt idx="211">
                  <c:v>-169.46966431200161</c:v>
                </c:pt>
                <c:pt idx="212">
                  <c:v>-169.78831425102211</c:v>
                </c:pt>
                <c:pt idx="213">
                  <c:v>-170.10609423320153</c:v>
                </c:pt>
                <c:pt idx="214">
                  <c:v>-170.42299602526057</c:v>
                </c:pt>
                <c:pt idx="215">
                  <c:v>-170.73901161741463</c:v>
                </c:pt>
                <c:pt idx="216">
                  <c:v>-171.05413322099295</c:v>
                </c:pt>
                <c:pt idx="217">
                  <c:v>-171.36835326606692</c:v>
                </c:pt>
                <c:pt idx="218">
                  <c:v>-171.68166439908711</c:v>
                </c:pt>
                <c:pt idx="219">
                  <c:v>-171.99405948052649</c:v>
                </c:pt>
                <c:pt idx="220">
                  <c:v>-172.30553158252965</c:v>
                </c:pt>
                <c:pt idx="221">
                  <c:v>-172.6160739865673</c:v>
                </c:pt>
                <c:pt idx="222">
                  <c:v>-172.92568018109418</c:v>
                </c:pt>
                <c:pt idx="223">
                  <c:v>-173.23434385921098</c:v>
                </c:pt>
                <c:pt idx="224">
                  <c:v>-173.5420589163289</c:v>
                </c:pt>
                <c:pt idx="225">
                  <c:v>-173.84881944783629</c:v>
                </c:pt>
                <c:pt idx="226">
                  <c:v>-176.8627651598481</c:v>
                </c:pt>
                <c:pt idx="227">
                  <c:v>-179.7761584616832</c:v>
                </c:pt>
                <c:pt idx="228">
                  <c:v>-182.58603014890829</c:v>
                </c:pt>
                <c:pt idx="229">
                  <c:v>-185.2909024464179</c:v>
                </c:pt>
                <c:pt idx="230">
                  <c:v>-187.89056547845058</c:v>
                </c:pt>
                <c:pt idx="231">
                  <c:v>-190.38586449676873</c:v>
                </c:pt>
                <c:pt idx="232">
                  <c:v>-192.77850218821186</c:v>
                </c:pt>
                <c:pt idx="233">
                  <c:v>-195.07085931445067</c:v>
                </c:pt>
                <c:pt idx="234">
                  <c:v>-197.26583561612995</c:v>
                </c:pt>
                <c:pt idx="235">
                  <c:v>-199.36671164832825</c:v>
                </c:pt>
                <c:pt idx="236">
                  <c:v>-201.37703116388647</c:v>
                </c:pt>
                <c:pt idx="237">
                  <c:v>-203.30050288391791</c:v>
                </c:pt>
                <c:pt idx="238">
                  <c:v>-205.14091998663693</c:v>
                </c:pt>
                <c:pt idx="239">
                  <c:v>-206.90209536945028</c:v>
                </c:pt>
                <c:pt idx="240">
                  <c:v>-208.58781064502324</c:v>
                </c:pt>
                <c:pt idx="241">
                  <c:v>-210.20177686914647</c:v>
                </c:pt>
                <c:pt idx="242">
                  <c:v>-211.74760512203051</c:v>
                </c:pt>
                <c:pt idx="243">
                  <c:v>-213.22878523912922</c:v>
                </c:pt>
                <c:pt idx="244">
                  <c:v>-214.64867118568009</c:v>
                </c:pt>
                <c:pt idx="245">
                  <c:v>-216.01047177179973</c:v>
                </c:pt>
                <c:pt idx="246">
                  <c:v>-217.31724559972207</c:v>
                </c:pt>
                <c:pt idx="247">
                  <c:v>-218.57189931417486</c:v>
                </c:pt>
                <c:pt idx="248">
                  <c:v>-219.77718838718999</c:v>
                </c:pt>
                <c:pt idx="249">
                  <c:v>-220.93571980856973</c:v>
                </c:pt>
                <c:pt idx="250">
                  <c:v>-222.04995617315541</c:v>
                </c:pt>
                <c:pt idx="251">
                  <c:v>-223.12222075730574</c:v>
                </c:pt>
                <c:pt idx="252">
                  <c:v>-224.1547032614364</c:v>
                </c:pt>
                <c:pt idx="253">
                  <c:v>-225.14946596515622</c:v>
                </c:pt>
                <c:pt idx="254">
                  <c:v>-226.10845009849757</c:v>
                </c:pt>
                <c:pt idx="255">
                  <c:v>-227.03348227892383</c:v>
                </c:pt>
                <c:pt idx="256">
                  <c:v>-227.92628090094234</c:v>
                </c:pt>
                <c:pt idx="257">
                  <c:v>-228.78846239481223</c:v>
                </c:pt>
                <c:pt idx="258">
                  <c:v>-229.62154729433763</c:v>
                </c:pt>
                <c:pt idx="259">
                  <c:v>-230.42696607221811</c:v>
                </c:pt>
                <c:pt idx="260">
                  <c:v>-231.20606471583557</c:v>
                </c:pt>
                <c:pt idx="261">
                  <c:v>-231.96011002748912</c:v>
                </c:pt>
                <c:pt idx="262">
                  <c:v>-232.69029464159127</c:v>
                </c:pt>
                <c:pt idx="263">
                  <c:v>-233.39774175775125</c:v>
                </c:pt>
                <c:pt idx="264">
                  <c:v>-234.08350959342431</c:v>
                </c:pt>
                <c:pt idx="265">
                  <c:v>-234.74859556325407</c:v>
                </c:pt>
                <c:pt idx="266">
                  <c:v>-235.39394019466164</c:v>
                </c:pt>
                <c:pt idx="267">
                  <c:v>-236.02043079086565</c:v>
                </c:pt>
                <c:pt idx="268">
                  <c:v>-236.6289048535366</c:v>
                </c:pt>
                <c:pt idx="269">
                  <c:v>-237.22015327783976</c:v>
                </c:pt>
                <c:pt idx="270">
                  <c:v>-237.79492333281638</c:v>
                </c:pt>
                <c:pt idx="271">
                  <c:v>-238.35392143998723</c:v>
                </c:pt>
                <c:pt idx="272">
                  <c:v>-238.89781576280308</c:v>
                </c:pt>
                <c:pt idx="273">
                  <c:v>-239.42723861917057</c:v>
                </c:pt>
                <c:pt idx="274">
                  <c:v>-239.94278872879235</c:v>
                </c:pt>
                <c:pt idx="275">
                  <c:v>-240.44503330650991</c:v>
                </c:pt>
                <c:pt idx="276">
                  <c:v>-240.93451001225074</c:v>
                </c:pt>
                <c:pt idx="277">
                  <c:v>-241.41172876758137</c:v>
                </c:pt>
                <c:pt idx="278">
                  <c:v>-241.87717344826197</c:v>
                </c:pt>
                <c:pt idx="279">
                  <c:v>-242.33130346160567</c:v>
                </c:pt>
                <c:pt idx="280">
                  <c:v>-242.77455521686571</c:v>
                </c:pt>
                <c:pt idx="281">
                  <c:v>-243.2073434963182</c:v>
                </c:pt>
                <c:pt idx="282">
                  <c:v>-243.63006273417633</c:v>
                </c:pt>
                <c:pt idx="283">
                  <c:v>-244.04308820996755</c:v>
                </c:pt>
                <c:pt idx="284">
                  <c:v>-244.44677716253057</c:v>
                </c:pt>
                <c:pt idx="285">
                  <c:v>-244.84146983034114</c:v>
                </c:pt>
                <c:pt idx="286">
                  <c:v>-245.22749042345782</c:v>
                </c:pt>
                <c:pt idx="287">
                  <c:v>-245.60514803198794</c:v>
                </c:pt>
                <c:pt idx="288">
                  <c:v>-245.97473747561006</c:v>
                </c:pt>
                <c:pt idx="289">
                  <c:v>-246.33654009835158</c:v>
                </c:pt>
                <c:pt idx="290">
                  <c:v>-246.69082451250551</c:v>
                </c:pt>
                <c:pt idx="291">
                  <c:v>-247.03784729528053</c:v>
                </c:pt>
                <c:pt idx="292">
                  <c:v>-247.3778536415079</c:v>
                </c:pt>
                <c:pt idx="293">
                  <c:v>-247.71107797548146</c:v>
                </c:pt>
                <c:pt idx="294">
                  <c:v>-248.03774452477489</c:v>
                </c:pt>
                <c:pt idx="295">
                  <c:v>-248.35806785867021</c:v>
                </c:pt>
                <c:pt idx="296">
                  <c:v>-248.67225339363262</c:v>
                </c:pt>
                <c:pt idx="297">
                  <c:v>-248.98049786808787</c:v>
                </c:pt>
                <c:pt idx="298">
                  <c:v>-249.28298978858953</c:v>
                </c:pt>
                <c:pt idx="299">
                  <c:v>-249.57990984931149</c:v>
                </c:pt>
                <c:pt idx="300">
                  <c:v>-249.87143132665534</c:v>
                </c:pt>
                <c:pt idx="301">
                  <c:v>-250.15772045063534</c:v>
                </c:pt>
                <c:pt idx="302">
                  <c:v>-250.43893675457906</c:v>
                </c:pt>
                <c:pt idx="303">
                  <c:v>-250.71523340457153</c:v>
                </c:pt>
                <c:pt idx="304">
                  <c:v>-250.98675750996856</c:v>
                </c:pt>
                <c:pt idx="305">
                  <c:v>-251.25365041620734</c:v>
                </c:pt>
                <c:pt idx="306">
                  <c:v>-251.51604798105751</c:v>
                </c:pt>
                <c:pt idx="307">
                  <c:v>-251.77408083537185</c:v>
                </c:pt>
                <c:pt idx="308">
                  <c:v>-252.02787462932383</c:v>
                </c:pt>
                <c:pt idx="309">
                  <c:v>-252.27755026504707</c:v>
                </c:pt>
                <c:pt idx="310">
                  <c:v>-252.52322411653006</c:v>
                </c:pt>
                <c:pt idx="311">
                  <c:v>-252.76500823755939</c:v>
                </c:pt>
                <c:pt idx="312">
                  <c:v>-253.00301055845</c:v>
                </c:pt>
                <c:pt idx="313">
                  <c:v>-253.2373350722502</c:v>
                </c:pt>
                <c:pt idx="314">
                  <c:v>-253.46808201106325</c:v>
                </c:pt>
                <c:pt idx="315">
                  <c:v>-253.69534801308259</c:v>
                </c:pt>
                <c:pt idx="316">
                  <c:v>-253.91922628089881</c:v>
                </c:pt>
                <c:pt idx="317">
                  <c:v>-254.13980673159847</c:v>
                </c:pt>
                <c:pt idx="318">
                  <c:v>-254.35717613914022</c:v>
                </c:pt>
                <c:pt idx="319">
                  <c:v>-254.57141826946247</c:v>
                </c:pt>
                <c:pt idx="320">
                  <c:v>-254.78261400874646</c:v>
                </c:pt>
                <c:pt idx="321">
                  <c:v>-254.99084148523087</c:v>
                </c:pt>
                <c:pt idx="322">
                  <c:v>-255.19617618494891</c:v>
                </c:pt>
                <c:pt idx="323">
                  <c:v>-255.39869106173518</c:v>
                </c:pt>
                <c:pt idx="324">
                  <c:v>-255.59845664182617</c:v>
                </c:pt>
                <c:pt idx="325">
                  <c:v>-255.79554112335967</c:v>
                </c:pt>
                <c:pt idx="326">
                  <c:v>-255.9900104710577</c:v>
                </c:pt>
                <c:pt idx="327">
                  <c:v>-256.1819285063599</c:v>
                </c:pt>
                <c:pt idx="328">
                  <c:v>-256.37135699325813</c:v>
                </c:pt>
                <c:pt idx="329">
                  <c:v>-256.55835572006822</c:v>
                </c:pt>
                <c:pt idx="330">
                  <c:v>-256.74298257735825</c:v>
                </c:pt>
                <c:pt idx="331">
                  <c:v>-256.92529363224139</c:v>
                </c:pt>
                <c:pt idx="332">
                  <c:v>-257.10534319922817</c:v>
                </c:pt>
                <c:pt idx="333">
                  <c:v>-257.28318390782078</c:v>
                </c:pt>
                <c:pt idx="334">
                  <c:v>-257.45886676702185</c:v>
                </c:pt>
                <c:pt idx="335">
                  <c:v>-257.6324412269189</c:v>
                </c:pt>
                <c:pt idx="336">
                  <c:v>-257.8039552374978</c:v>
                </c:pt>
                <c:pt idx="337">
                  <c:v>-257.97345530482795</c:v>
                </c:pt>
                <c:pt idx="338">
                  <c:v>-258.14098654475436</c:v>
                </c:pt>
                <c:pt idx="339">
                  <c:v>-258.30659273422395</c:v>
                </c:pt>
                <c:pt idx="340">
                  <c:v>-258.47031636036616</c:v>
                </c:pt>
                <c:pt idx="341">
                  <c:v>-258.63219866744032</c:v>
                </c:pt>
                <c:pt idx="342">
                  <c:v>-258.79227970175771</c:v>
                </c:pt>
                <c:pt idx="343">
                  <c:v>-258.95059835467782</c:v>
                </c:pt>
                <c:pt idx="344">
                  <c:v>-259.10719240377415</c:v>
                </c:pt>
                <c:pt idx="345">
                  <c:v>-259.26209855225966</c:v>
                </c:pt>
                <c:pt idx="346">
                  <c:v>-259.41535246675642</c:v>
                </c:pt>
                <c:pt idx="347">
                  <c:v>-259.56698881348944</c:v>
                </c:pt>
                <c:pt idx="348">
                  <c:v>-259.71704129298098</c:v>
                </c:pt>
                <c:pt idx="349">
                  <c:v>-259.8655426733161</c:v>
                </c:pt>
                <c:pt idx="350">
                  <c:v>-260.01252482204819</c:v>
                </c:pt>
                <c:pt idx="351">
                  <c:v>-260.158018736808</c:v>
                </c:pt>
                <c:pt idx="352">
                  <c:v>-260.30205457467753</c:v>
                </c:pt>
                <c:pt idx="353">
                  <c:v>-260.44466168038502</c:v>
                </c:pt>
                <c:pt idx="354">
                  <c:v>-260.5858686133779</c:v>
                </c:pt>
                <c:pt idx="355">
                  <c:v>-260.7257031738223</c:v>
                </c:pt>
                <c:pt idx="356">
                  <c:v>-260.86419242758086</c:v>
                </c:pt>
                <c:pt idx="357">
                  <c:v>-261.00136273021388</c:v>
                </c:pt>
                <c:pt idx="358">
                  <c:v>-261.1372397500478</c:v>
                </c:pt>
                <c:pt idx="359">
                  <c:v>-261.27184849035348</c:v>
                </c:pt>
                <c:pt idx="360">
                  <c:v>-261.40521331067362</c:v>
                </c:pt>
                <c:pt idx="361">
                  <c:v>-261.53735794733711</c:v>
                </c:pt>
                <c:pt idx="362">
                  <c:v>-261.66830553319585</c:v>
                </c:pt>
                <c:pt idx="363">
                  <c:v>-261.79807861661857</c:v>
                </c:pt>
                <c:pt idx="364">
                  <c:v>-261.92669917977349</c:v>
                </c:pt>
                <c:pt idx="365">
                  <c:v>-262.05418865623108</c:v>
                </c:pt>
                <c:pt idx="366">
                  <c:v>-262.18056794791534</c:v>
                </c:pt>
                <c:pt idx="367">
                  <c:v>-262.30585744143275</c:v>
                </c:pt>
                <c:pt idx="368">
                  <c:v>-262.43007702380396</c:v>
                </c:pt>
                <c:pt idx="369">
                  <c:v>-262.55324609762414</c:v>
                </c:pt>
                <c:pt idx="370">
                  <c:v>-262.67538359567607</c:v>
                </c:pt>
                <c:pt idx="371">
                  <c:v>-262.79650799501871</c:v>
                </c:pt>
                <c:pt idx="372">
                  <c:v>-262.91663733057277</c:v>
                </c:pt>
                <c:pt idx="373">
                  <c:v>-263.03578920822406</c:v>
                </c:pt>
                <c:pt idx="374">
                  <c:v>-263.1539808174652</c:v>
                </c:pt>
                <c:pt idx="375">
                  <c:v>-263.27122894359326</c:v>
                </c:pt>
                <c:pt idx="376">
                  <c:v>-263.38754997948263</c:v>
                </c:pt>
                <c:pt idx="377">
                  <c:v>-263.50295993694886</c:v>
                </c:pt>
                <c:pt idx="378">
                  <c:v>-263.61747445772141</c:v>
                </c:pt>
                <c:pt idx="379">
                  <c:v>-263.73110882404001</c:v>
                </c:pt>
                <c:pt idx="380">
                  <c:v>-263.84387796888922</c:v>
                </c:pt>
                <c:pt idx="381">
                  <c:v>-263.95579648588648</c:v>
                </c:pt>
                <c:pt idx="382">
                  <c:v>-264.06687863883656</c:v>
                </c:pt>
                <c:pt idx="383">
                  <c:v>-264.17713837096591</c:v>
                </c:pt>
                <c:pt idx="384">
                  <c:v>-264.28658931384837</c:v>
                </c:pt>
                <c:pt idx="385">
                  <c:v>-264.39524479603551</c:v>
                </c:pt>
                <c:pt idx="386">
                  <c:v>-264.5031178514019</c:v>
                </c:pt>
                <c:pt idx="387">
                  <c:v>-264.61022122721658</c:v>
                </c:pt>
                <c:pt idx="388">
                  <c:v>-264.7165673919514</c:v>
                </c:pt>
                <c:pt idx="389">
                  <c:v>-264.8221685428353</c:v>
                </c:pt>
                <c:pt idx="390">
                  <c:v>-264.92703661316551</c:v>
                </c:pt>
                <c:pt idx="391">
                  <c:v>-265.03118327938296</c:v>
                </c:pt>
                <c:pt idx="392">
                  <c:v>-265.13461996792267</c:v>
                </c:pt>
                <c:pt idx="393">
                  <c:v>-265.23735786184545</c:v>
                </c:pt>
                <c:pt idx="394">
                  <c:v>-265.33940790726047</c:v>
                </c:pt>
                <c:pt idx="395">
                  <c:v>-265.44078081954581</c:v>
                </c:pt>
                <c:pt idx="396">
                  <c:v>-265.54148708937419</c:v>
                </c:pt>
                <c:pt idx="397">
                  <c:v>-265.64153698855114</c:v>
                </c:pt>
                <c:pt idx="398">
                  <c:v>-265.74094057567243</c:v>
                </c:pt>
                <c:pt idx="399">
                  <c:v>-265.83970770160704</c:v>
                </c:pt>
                <c:pt idx="400">
                  <c:v>-265.9378480148124</c:v>
                </c:pt>
                <c:pt idx="401">
                  <c:v>-266.03537096648688</c:v>
                </c:pt>
                <c:pt idx="402">
                  <c:v>-266.13228581556632</c:v>
                </c:pt>
                <c:pt idx="403">
                  <c:v>-266.22860163356955</c:v>
                </c:pt>
                <c:pt idx="404">
                  <c:v>-266.32432730929838</c:v>
                </c:pt>
                <c:pt idx="405">
                  <c:v>-266.41947155339687</c:v>
                </c:pt>
                <c:pt idx="406">
                  <c:v>-266.5140429027752</c:v>
                </c:pt>
                <c:pt idx="407">
                  <c:v>-266.60804972490223</c:v>
                </c:pt>
                <c:pt idx="408">
                  <c:v>-266.70150022197151</c:v>
                </c:pt>
                <c:pt idx="409">
                  <c:v>-266.79440243494599</c:v>
                </c:pt>
                <c:pt idx="410">
                  <c:v>-266.88676424748337</c:v>
                </c:pt>
                <c:pt idx="411">
                  <c:v>-266.97859338974854</c:v>
                </c:pt>
                <c:pt idx="412">
                  <c:v>-267.06989744211512</c:v>
                </c:pt>
                <c:pt idx="413">
                  <c:v>-267.1606838387612</c:v>
                </c:pt>
                <c:pt idx="414">
                  <c:v>-267.25095987116134</c:v>
                </c:pt>
                <c:pt idx="415">
                  <c:v>-267.34073269147973</c:v>
                </c:pt>
                <c:pt idx="416">
                  <c:v>-267.43000931586681</c:v>
                </c:pt>
                <c:pt idx="417">
                  <c:v>-267.51879662766277</c:v>
                </c:pt>
                <c:pt idx="418">
                  <c:v>-267.60710138051127</c:v>
                </c:pt>
                <c:pt idx="419">
                  <c:v>-267.69493020138589</c:v>
                </c:pt>
                <c:pt idx="420">
                  <c:v>-267.78228959353225</c:v>
                </c:pt>
                <c:pt idx="421">
                  <c:v>-267.86918593932927</c:v>
                </c:pt>
                <c:pt idx="422">
                  <c:v>-267.95562550307011</c:v>
                </c:pt>
                <c:pt idx="423">
                  <c:v>-268.04161443366843</c:v>
                </c:pt>
                <c:pt idx="424">
                  <c:v>-268.12715876728919</c:v>
                </c:pt>
                <c:pt idx="425">
                  <c:v>-268.21226442990906</c:v>
                </c:pt>
                <c:pt idx="426">
                  <c:v>-268.29693723980654</c:v>
                </c:pt>
                <c:pt idx="427">
                  <c:v>-268.38118290998551</c:v>
                </c:pt>
                <c:pt idx="428">
                  <c:v>-268.46500705053342</c:v>
                </c:pt>
                <c:pt idx="429">
                  <c:v>-268.54841517091654</c:v>
                </c:pt>
                <c:pt idx="430">
                  <c:v>-268.6314126822142</c:v>
                </c:pt>
                <c:pt idx="431">
                  <c:v>-268.71400489929357</c:v>
                </c:pt>
                <c:pt idx="432">
                  <c:v>-268.79619704292753</c:v>
                </c:pt>
                <c:pt idx="433">
                  <c:v>-268.87799424185641</c:v>
                </c:pt>
                <c:pt idx="434">
                  <c:v>-268.95940153479614</c:v>
                </c:pt>
                <c:pt idx="435">
                  <c:v>-269.04042387239389</c:v>
                </c:pt>
                <c:pt idx="436">
                  <c:v>-269.12106611913333</c:v>
                </c:pt>
                <c:pt idx="437">
                  <c:v>-269.20133305519045</c:v>
                </c:pt>
                <c:pt idx="438">
                  <c:v>-269.28122937824145</c:v>
                </c:pt>
                <c:pt idx="439">
                  <c:v>-269.36075970522512</c:v>
                </c:pt>
                <c:pt idx="440">
                  <c:v>-269.43992857405942</c:v>
                </c:pt>
                <c:pt idx="441">
                  <c:v>-269.51874044531502</c:v>
                </c:pt>
                <c:pt idx="442">
                  <c:v>-269.59719970384651</c:v>
                </c:pt>
                <c:pt idx="443">
                  <c:v>-269.67531066038231</c:v>
                </c:pt>
                <c:pt idx="444">
                  <c:v>-269.75307755307477</c:v>
                </c:pt>
                <c:pt idx="445">
                  <c:v>-269.83050454901218</c:v>
                </c:pt>
                <c:pt idx="446">
                  <c:v>-269.90759574569194</c:v>
                </c:pt>
                <c:pt idx="447">
                  <c:v>-269.98435517245878</c:v>
                </c:pt>
                <c:pt idx="448">
                  <c:v>-270.06078679190625</c:v>
                </c:pt>
                <c:pt idx="449">
                  <c:v>-270.1368945012444</c:v>
                </c:pt>
                <c:pt idx="450">
                  <c:v>-270.21268213363425</c:v>
                </c:pt>
                <c:pt idx="451">
                  <c:v>-270.28815345948897</c:v>
                </c:pt>
                <c:pt idx="452">
                  <c:v>-270.36331218774421</c:v>
                </c:pt>
                <c:pt idx="453">
                  <c:v>-270.43816196709747</c:v>
                </c:pt>
                <c:pt idx="454">
                  <c:v>-270.5127063872178</c:v>
                </c:pt>
                <c:pt idx="455">
                  <c:v>-270.58694897992598</c:v>
                </c:pt>
                <c:pt idx="456">
                  <c:v>-270.66089322034736</c:v>
                </c:pt>
                <c:pt idx="457">
                  <c:v>-270.73454252803663</c:v>
                </c:pt>
                <c:pt idx="458">
                  <c:v>-270.8079002680762</c:v>
                </c:pt>
                <c:pt idx="459">
                  <c:v>-270.88096975214847</c:v>
                </c:pt>
                <c:pt idx="460">
                  <c:v>-270.95375423958353</c:v>
                </c:pt>
                <c:pt idx="461">
                  <c:v>-271.02625693838144</c:v>
                </c:pt>
                <c:pt idx="462">
                  <c:v>-271.09848100621116</c:v>
                </c:pt>
                <c:pt idx="463">
                  <c:v>-271.17042955138646</c:v>
                </c:pt>
                <c:pt idx="464">
                  <c:v>-271.24210563381888</c:v>
                </c:pt>
                <c:pt idx="465">
                  <c:v>-271.3135122659487</c:v>
                </c:pt>
                <c:pt idx="466">
                  <c:v>-271.38465241365498</c:v>
                </c:pt>
                <c:pt idx="467">
                  <c:v>-271.45552899714437</c:v>
                </c:pt>
                <c:pt idx="468">
                  <c:v>-271.52614489181968</c:v>
                </c:pt>
                <c:pt idx="469">
                  <c:v>-271.59650292912897</c:v>
                </c:pt>
                <c:pt idx="470">
                  <c:v>-271.66660589739541</c:v>
                </c:pt>
                <c:pt idx="471">
                  <c:v>-271.73645654262805</c:v>
                </c:pt>
                <c:pt idx="472">
                  <c:v>-271.80605756931493</c:v>
                </c:pt>
                <c:pt idx="473">
                  <c:v>-271.87541164119818</c:v>
                </c:pt>
                <c:pt idx="474">
                  <c:v>-271.94452138203172</c:v>
                </c:pt>
                <c:pt idx="475">
                  <c:v>-272.01338937632249</c:v>
                </c:pt>
                <c:pt idx="476">
                  <c:v>-272.08201817005494</c:v>
                </c:pt>
                <c:pt idx="477">
                  <c:v>-272.15041027139983</c:v>
                </c:pt>
                <c:pt idx="478">
                  <c:v>-272.21856815140723</c:v>
                </c:pt>
                <c:pt idx="479">
                  <c:v>-272.28649424468455</c:v>
                </c:pt>
                <c:pt idx="480">
                  <c:v>-272.35419095005966</c:v>
                </c:pt>
                <c:pt idx="481">
                  <c:v>-272.42166063122971</c:v>
                </c:pt>
                <c:pt idx="482">
                  <c:v>-272.48890561739591</c:v>
                </c:pt>
                <c:pt idx="483">
                  <c:v>-272.55592820388438</c:v>
                </c:pt>
                <c:pt idx="484">
                  <c:v>-272.62273065275417</c:v>
                </c:pt>
                <c:pt idx="485">
                  <c:v>-272.68931519339168</c:v>
                </c:pt>
                <c:pt idx="486">
                  <c:v>-272.75568402309261</c:v>
                </c:pt>
                <c:pt idx="487">
                  <c:v>-272.82183930763199</c:v>
                </c:pt>
                <c:pt idx="488">
                  <c:v>-272.88778318182142</c:v>
                </c:pt>
                <c:pt idx="489">
                  <c:v>-272.95351775005486</c:v>
                </c:pt>
                <c:pt idx="490">
                  <c:v>-273.01904508684328</c:v>
                </c:pt>
                <c:pt idx="491">
                  <c:v>-273.08436723733723</c:v>
                </c:pt>
                <c:pt idx="492">
                  <c:v>-273.14948621783958</c:v>
                </c:pt>
                <c:pt idx="493">
                  <c:v>-273.21440401630673</c:v>
                </c:pt>
                <c:pt idx="494">
                  <c:v>-273.27912259283988</c:v>
                </c:pt>
                <c:pt idx="495">
                  <c:v>-273.34364388016593</c:v>
                </c:pt>
                <c:pt idx="496">
                  <c:v>-273.40796978410856</c:v>
                </c:pt>
                <c:pt idx="497">
                  <c:v>-273.47210218404962</c:v>
                </c:pt>
                <c:pt idx="498">
                  <c:v>-273.53604293338117</c:v>
                </c:pt>
                <c:pt idx="499">
                  <c:v>-273.59979385994808</c:v>
                </c:pt>
                <c:pt idx="500">
                  <c:v>-273.66335676648185</c:v>
                </c:pt>
                <c:pt idx="501">
                  <c:v>-273.72673343102565</c:v>
                </c:pt>
                <c:pt idx="502">
                  <c:v>-273.78992560735043</c:v>
                </c:pt>
                <c:pt idx="503">
                  <c:v>-273.85293502536325</c:v>
                </c:pt>
                <c:pt idx="504">
                  <c:v>-273.91576339150686</c:v>
                </c:pt>
                <c:pt idx="505">
                  <c:v>-273.97841238915169</c:v>
                </c:pt>
                <c:pt idx="506">
                  <c:v>-274.04088367897964</c:v>
                </c:pt>
                <c:pt idx="507">
                  <c:v>-274.1031788993609</c:v>
                </c:pt>
                <c:pt idx="508">
                  <c:v>-274.16529966672238</c:v>
                </c:pt>
                <c:pt idx="509">
                  <c:v>-274.22724757590981</c:v>
                </c:pt>
                <c:pt idx="510">
                  <c:v>-274.28902420054214</c:v>
                </c:pt>
                <c:pt idx="511">
                  <c:v>-274.35063109335897</c:v>
                </c:pt>
                <c:pt idx="512">
                  <c:v>-274.41206978656191</c:v>
                </c:pt>
                <c:pt idx="513">
                  <c:v>-274.47334179214818</c:v>
                </c:pt>
                <c:pt idx="514">
                  <c:v>-274.53444860223863</c:v>
                </c:pt>
                <c:pt idx="515">
                  <c:v>-274.59539168939915</c:v>
                </c:pt>
                <c:pt idx="516">
                  <c:v>-274.65617250695573</c:v>
                </c:pt>
                <c:pt idx="517">
                  <c:v>-274.71679248930354</c:v>
                </c:pt>
                <c:pt idx="518">
                  <c:v>-274.7772530522102</c:v>
                </c:pt>
                <c:pt idx="519">
                  <c:v>-274.83755559311345</c:v>
                </c:pt>
                <c:pt idx="520">
                  <c:v>-274.89770149141225</c:v>
                </c:pt>
                <c:pt idx="521">
                  <c:v>-274.95769210875369</c:v>
                </c:pt>
                <c:pt idx="522">
                  <c:v>-275.0175287893133</c:v>
                </c:pt>
                <c:pt idx="523">
                  <c:v>-275.07721286007074</c:v>
                </c:pt>
                <c:pt idx="524">
                  <c:v>-275.13674563108032</c:v>
                </c:pt>
                <c:pt idx="525">
                  <c:v>-275.1961283957358</c:v>
                </c:pt>
                <c:pt idx="526">
                  <c:v>-275.25536243103102</c:v>
                </c:pt>
                <c:pt idx="527">
                  <c:v>-275.31444899781548</c:v>
                </c:pt>
                <c:pt idx="528">
                  <c:v>-275.37338934104463</c:v>
                </c:pt>
                <c:pt idx="529">
                  <c:v>-275.43218469002636</c:v>
                </c:pt>
                <c:pt idx="530">
                  <c:v>-275.49083625866217</c:v>
                </c:pt>
                <c:pt idx="531">
                  <c:v>-275.54934524568466</c:v>
                </c:pt>
                <c:pt idx="532">
                  <c:v>-275.60771283488998</c:v>
                </c:pt>
                <c:pt idx="533">
                  <c:v>-275.66594019536632</c:v>
                </c:pt>
                <c:pt idx="534">
                  <c:v>-275.72402848171845</c:v>
                </c:pt>
                <c:pt idx="535">
                  <c:v>-275.78197883428788</c:v>
                </c:pt>
                <c:pt idx="536">
                  <c:v>-275.83979237936893</c:v>
                </c:pt>
                <c:pt idx="537">
                  <c:v>-275.8974702294214</c:v>
                </c:pt>
                <c:pt idx="538">
                  <c:v>-275.95501348327883</c:v>
                </c:pt>
                <c:pt idx="539">
                  <c:v>-276.01242322635341</c:v>
                </c:pt>
                <c:pt idx="540">
                  <c:v>-276.06970053083717</c:v>
                </c:pt>
                <c:pt idx="541">
                  <c:v>-276.12684645589934</c:v>
                </c:pt>
                <c:pt idx="542">
                  <c:v>-276.1838620478805</c:v>
                </c:pt>
                <c:pt idx="543">
                  <c:v>-276.24074834048315</c:v>
                </c:pt>
                <c:pt idx="544">
                  <c:v>-276.29750635495873</c:v>
                </c:pt>
                <c:pt idx="545">
                  <c:v>-276.35413710029178</c:v>
                </c:pt>
                <c:pt idx="546">
                  <c:v>-276.41064157338059</c:v>
                </c:pt>
                <c:pt idx="547">
                  <c:v>-276.46702075921439</c:v>
                </c:pt>
                <c:pt idx="548">
                  <c:v>-276.52327563104814</c:v>
                </c:pt>
                <c:pt idx="549">
                  <c:v>-276.5794071505735</c:v>
                </c:pt>
                <c:pt idx="550">
                  <c:v>-276.63541626808774</c:v>
                </c:pt>
                <c:pt idx="551">
                  <c:v>-276.69130392265851</c:v>
                </c:pt>
                <c:pt idx="552">
                  <c:v>-276.74707104228708</c:v>
                </c:pt>
                <c:pt idx="553">
                  <c:v>-276.80271854406777</c:v>
                </c:pt>
                <c:pt idx="554">
                  <c:v>-276.85824733434509</c:v>
                </c:pt>
                <c:pt idx="555">
                  <c:v>-276.91365830886809</c:v>
                </c:pt>
                <c:pt idx="556">
                  <c:v>-276.96895235294221</c:v>
                </c:pt>
                <c:pt idx="557">
                  <c:v>-277.0241303415782</c:v>
                </c:pt>
                <c:pt idx="558">
                  <c:v>-277.0791931396389</c:v>
                </c:pt>
                <c:pt idx="559">
                  <c:v>-277.13414160198329</c:v>
                </c:pt>
                <c:pt idx="560">
                  <c:v>-277.18897657360816</c:v>
                </c:pt>
                <c:pt idx="561">
                  <c:v>-277.24369888978754</c:v>
                </c:pt>
                <c:pt idx="562">
                  <c:v>-277.29830937620943</c:v>
                </c:pt>
                <c:pt idx="563">
                  <c:v>-277.35280884911077</c:v>
                </c:pt>
                <c:pt idx="564">
                  <c:v>-277.40719811540959</c:v>
                </c:pt>
                <c:pt idx="565">
                  <c:v>-277.46147797283527</c:v>
                </c:pt>
                <c:pt idx="566">
                  <c:v>-277.51564921005678</c:v>
                </c:pt>
                <c:pt idx="567">
                  <c:v>-277.56971260680837</c:v>
                </c:pt>
                <c:pt idx="568">
                  <c:v>-277.62366893401349</c:v>
                </c:pt>
                <c:pt idx="569">
                  <c:v>-277.67751895390671</c:v>
                </c:pt>
                <c:pt idx="570">
                  <c:v>-277.73126342015343</c:v>
                </c:pt>
                <c:pt idx="571">
                  <c:v>-277.78490307796767</c:v>
                </c:pt>
                <c:pt idx="572">
                  <c:v>-277.83843866422808</c:v>
                </c:pt>
                <c:pt idx="573">
                  <c:v>-277.89187090759185</c:v>
                </c:pt>
                <c:pt idx="574">
                  <c:v>-277.94520052860707</c:v>
                </c:pt>
                <c:pt idx="575">
                  <c:v>-277.99842823982306</c:v>
                </c:pt>
                <c:pt idx="576">
                  <c:v>-278.05155474589861</c:v>
                </c:pt>
                <c:pt idx="577">
                  <c:v>-278.10458074370928</c:v>
                </c:pt>
                <c:pt idx="578">
                  <c:v>-278.15750692245217</c:v>
                </c:pt>
                <c:pt idx="579">
                  <c:v>-278.21033396374946</c:v>
                </c:pt>
                <c:pt idx="580">
                  <c:v>-278.26306254175017</c:v>
                </c:pt>
                <c:pt idx="581">
                  <c:v>-278.31569332323033</c:v>
                </c:pt>
                <c:pt idx="582">
                  <c:v>-278.36822696769138</c:v>
                </c:pt>
                <c:pt idx="583">
                  <c:v>-278.42066412745743</c:v>
                </c:pt>
                <c:pt idx="584">
                  <c:v>-278.47300544777039</c:v>
                </c:pt>
                <c:pt idx="585">
                  <c:v>-278.52525156688415</c:v>
                </c:pt>
                <c:pt idx="586">
                  <c:v>-278.57740311615692</c:v>
                </c:pt>
                <c:pt idx="587">
                  <c:v>-278.62946072014239</c:v>
                </c:pt>
                <c:pt idx="588">
                  <c:v>-278.68142499667903</c:v>
                </c:pt>
                <c:pt idx="589">
                  <c:v>-278.73329655697853</c:v>
                </c:pt>
                <c:pt idx="590">
                  <c:v>-278.78507600571271</c:v>
                </c:pt>
                <c:pt idx="591">
                  <c:v>-278.83676394109858</c:v>
                </c:pt>
                <c:pt idx="592">
                  <c:v>-278.88836095498283</c:v>
                </c:pt>
                <c:pt idx="593">
                  <c:v>-278.93986763292452</c:v>
                </c:pt>
                <c:pt idx="594">
                  <c:v>-278.99128455427683</c:v>
                </c:pt>
                <c:pt idx="595">
                  <c:v>-279.04261229226694</c:v>
                </c:pt>
                <c:pt idx="596">
                  <c:v>-279.09385141407563</c:v>
                </c:pt>
                <c:pt idx="597">
                  <c:v>-279.1450024809148</c:v>
                </c:pt>
                <c:pt idx="598">
                  <c:v>-279.19606604810434</c:v>
                </c:pt>
                <c:pt idx="599">
                  <c:v>-279.24704266514738</c:v>
                </c:pt>
                <c:pt idx="600">
                  <c:v>-279.29793287580492</c:v>
                </c:pt>
                <c:pt idx="601">
                  <c:v>-279.34873721816911</c:v>
                </c:pt>
                <c:pt idx="602">
                  <c:v>-279.39945622473499</c:v>
                </c:pt>
                <c:pt idx="603">
                  <c:v>-279.45009042247187</c:v>
                </c:pt>
                <c:pt idx="604">
                  <c:v>-279.5006403328934</c:v>
                </c:pt>
                <c:pt idx="605">
                  <c:v>-279.55110647212604</c:v>
                </c:pt>
                <c:pt idx="606">
                  <c:v>-281.97762548556443</c:v>
                </c:pt>
                <c:pt idx="607">
                  <c:v>-284.24448542726651</c:v>
                </c:pt>
                <c:pt idx="608">
                  <c:v>-286.38370371430392</c:v>
                </c:pt>
                <c:pt idx="609">
                  <c:v>-288.41621511653977</c:v>
                </c:pt>
                <c:pt idx="610">
                  <c:v>-290.35626446184483</c:v>
                </c:pt>
                <c:pt idx="611">
                  <c:v>-292.21390808709657</c:v>
                </c:pt>
                <c:pt idx="612">
                  <c:v>-293.99650490405509</c:v>
                </c:pt>
                <c:pt idx="613">
                  <c:v>-295.70963810847559</c:v>
                </c:pt>
                <c:pt idx="614">
                  <c:v>-297.35770151352546</c:v>
                </c:pt>
                <c:pt idx="615">
                  <c:v>-298.94428089567407</c:v>
                </c:pt>
                <c:pt idx="616">
                  <c:v>-300.47240614671125</c:v>
                </c:pt>
                <c:pt idx="617">
                  <c:v>-301.94471992927697</c:v>
                </c:pt>
                <c:pt idx="618">
                  <c:v>-302.55428375436816</c:v>
                </c:pt>
                <c:pt idx="619">
                  <c:v>-303.15426551757787</c:v>
                </c:pt>
                <c:pt idx="620">
                  <c:v>-303.74486763093012</c:v>
                </c:pt>
                <c:pt idx="621">
                  <c:v>-304.3262836434655</c:v>
                </c:pt>
                <c:pt idx="622">
                  <c:v>-304.89869913333058</c:v>
                </c:pt>
                <c:pt idx="623">
                  <c:v>-305.46229248635166</c:v>
                </c:pt>
                <c:pt idx="624">
                  <c:v>-306.01723557611285</c:v>
                </c:pt>
                <c:pt idx="625">
                  <c:v>-306.56369435847284</c:v>
                </c:pt>
                <c:pt idx="626">
                  <c:v>-307.10182939167794</c:v>
                </c:pt>
                <c:pt idx="627">
                  <c:v>-307.63179629172072</c:v>
                </c:pt>
                <c:pt idx="628">
                  <c:v>-308.15374613129848</c:v>
                </c:pt>
                <c:pt idx="629">
                  <c:v>-308.66782578961949</c:v>
                </c:pt>
                <c:pt idx="630">
                  <c:v>-309.17417825935377</c:v>
                </c:pt>
                <c:pt idx="631">
                  <c:v>-309.67294291620476</c:v>
                </c:pt>
                <c:pt idx="632">
                  <c:v>-310.16425575587243</c:v>
                </c:pt>
                <c:pt idx="633">
                  <c:v>-310.64824960256578</c:v>
                </c:pt>
                <c:pt idx="634">
                  <c:v>-311.12505429269271</c:v>
                </c:pt>
                <c:pt idx="635">
                  <c:v>-311.59479683689682</c:v>
                </c:pt>
                <c:pt idx="636">
                  <c:v>-312.05760156320838</c:v>
                </c:pt>
                <c:pt idx="637">
                  <c:v>-312.51359024373028</c:v>
                </c:pt>
                <c:pt idx="638">
                  <c:v>-312.96288220697562</c:v>
                </c:pt>
                <c:pt idx="639">
                  <c:v>-313.40559443770803</c:v>
                </c:pt>
                <c:pt idx="640">
                  <c:v>-313.84184166590524</c:v>
                </c:pt>
                <c:pt idx="641">
                  <c:v>-314.27173644626168</c:v>
                </c:pt>
                <c:pt idx="642">
                  <c:v>-314.69538922947117</c:v>
                </c:pt>
                <c:pt idx="643">
                  <c:v>-315.1129084263726</c:v>
                </c:pt>
                <c:pt idx="644">
                  <c:v>-315.52440046590709</c:v>
                </c:pt>
                <c:pt idx="645">
                  <c:v>-315.92996984771344</c:v>
                </c:pt>
                <c:pt idx="646">
                  <c:v>-316.32971919008645</c:v>
                </c:pt>
                <c:pt idx="647">
                  <c:v>-316.72374927392752</c:v>
                </c:pt>
                <c:pt idx="648">
                  <c:v>-317.112159083238</c:v>
                </c:pt>
                <c:pt idx="649">
                  <c:v>-317.49504584263406</c:v>
                </c:pt>
                <c:pt idx="650">
                  <c:v>-317.87250505229918</c:v>
                </c:pt>
                <c:pt idx="651">
                  <c:v>-318.24463052073571</c:v>
                </c:pt>
                <c:pt idx="652">
                  <c:v>-318.61151439562934</c:v>
                </c:pt>
                <c:pt idx="653">
                  <c:v>-318.97324719309705</c:v>
                </c:pt>
                <c:pt idx="654">
                  <c:v>-319.3299178255532</c:v>
                </c:pt>
                <c:pt idx="655">
                  <c:v>-319.68161362839567</c:v>
                </c:pt>
                <c:pt idx="656">
                  <c:v>-320.02842038568429</c:v>
                </c:pt>
                <c:pt idx="657">
                  <c:v>-320.37042235496159</c:v>
                </c:pt>
                <c:pt idx="658">
                  <c:v>-320.70770229134104</c:v>
                </c:pt>
                <c:pt idx="659">
                  <c:v>-321.04034147097178</c:v>
                </c:pt>
                <c:pt idx="660">
                  <c:v>-321.3684197139703</c:v>
                </c:pt>
                <c:pt idx="661">
                  <c:v>-321.69201540689596</c:v>
                </c:pt>
                <c:pt idx="662">
                  <c:v>-322.01120552483519</c:v>
                </c:pt>
                <c:pt idx="663">
                  <c:v>-322.32606565314666</c:v>
                </c:pt>
                <c:pt idx="664">
                  <c:v>-322.63667000891292</c:v>
                </c:pt>
                <c:pt idx="665">
                  <c:v>-322.94309146213322</c:v>
                </c:pt>
                <c:pt idx="666">
                  <c:v>-323.2454015566874</c:v>
                </c:pt>
                <c:pt idx="667">
                  <c:v>-323.54367053109223</c:v>
                </c:pt>
              </c:numCache>
            </c:numRef>
          </c:yVal>
          <c:smooth val="0"/>
          <c:extLst>
            <c:ext xmlns:c16="http://schemas.microsoft.com/office/drawing/2014/chart" uri="{C3380CC4-5D6E-409C-BE32-E72D297353CC}">
              <c16:uniqueId val="{00000002-2A10-41EA-A3AE-967165122F16}"/>
            </c:ext>
          </c:extLst>
        </c:ser>
        <c:ser>
          <c:idx val="1"/>
          <c:order val="3"/>
          <c:tx>
            <c:v>Measured Phase</c:v>
          </c:tx>
          <c:spPr>
            <a:ln w="12700">
              <a:solidFill>
                <a:srgbClr val="FF00FF"/>
              </a:solidFill>
              <a:prstDash val="solid"/>
            </a:ln>
          </c:spPr>
          <c:marker>
            <c:symbol val="square"/>
            <c:size val="5"/>
            <c:spPr>
              <a:solidFill>
                <a:srgbClr val="FF00FF"/>
              </a:solidFill>
              <a:ln>
                <a:solidFill>
                  <a:srgbClr val="FF00FF"/>
                </a:solidFill>
                <a:prstDash val="solid"/>
              </a:ln>
            </c:spPr>
          </c:marker>
          <c:xVal>
            <c:numRef>
              <c:f>'Bode Plots Calculations'!$BT$10:$BT$409</c:f>
              <c:numCache>
                <c:formatCode>#0.0#</c:formatCode>
                <c:ptCount val="400"/>
                <c:pt idx="0">
                  <c:v>100</c:v>
                </c:pt>
                <c:pt idx="1">
                  <c:v>102.32899999999999</c:v>
                </c:pt>
                <c:pt idx="2">
                  <c:v>104.71299999999999</c:v>
                </c:pt>
                <c:pt idx="3">
                  <c:v>107.152</c:v>
                </c:pt>
                <c:pt idx="4">
                  <c:v>109.648</c:v>
                </c:pt>
                <c:pt idx="5">
                  <c:v>112.202</c:v>
                </c:pt>
                <c:pt idx="6">
                  <c:v>114.815</c:v>
                </c:pt>
                <c:pt idx="7">
                  <c:v>117.49</c:v>
                </c:pt>
                <c:pt idx="8">
                  <c:v>120.226</c:v>
                </c:pt>
                <c:pt idx="9">
                  <c:v>123.027</c:v>
                </c:pt>
                <c:pt idx="10">
                  <c:v>125.893</c:v>
                </c:pt>
                <c:pt idx="11">
                  <c:v>128.82499999999999</c:v>
                </c:pt>
                <c:pt idx="12">
                  <c:v>131.82599999999999</c:v>
                </c:pt>
                <c:pt idx="13">
                  <c:v>134.89599999999999</c:v>
                </c:pt>
                <c:pt idx="14">
                  <c:v>138.03800000000001</c:v>
                </c:pt>
                <c:pt idx="15">
                  <c:v>141.25399999999999</c:v>
                </c:pt>
                <c:pt idx="16">
                  <c:v>144.54400000000001</c:v>
                </c:pt>
                <c:pt idx="17">
                  <c:v>147.911</c:v>
                </c:pt>
                <c:pt idx="18">
                  <c:v>151.35599999999999</c:v>
                </c:pt>
                <c:pt idx="19">
                  <c:v>154.88200000000001</c:v>
                </c:pt>
                <c:pt idx="20">
                  <c:v>158.489</c:v>
                </c:pt>
                <c:pt idx="21">
                  <c:v>162.18100000000001</c:v>
                </c:pt>
                <c:pt idx="22">
                  <c:v>165.959</c:v>
                </c:pt>
                <c:pt idx="23">
                  <c:v>169.82400000000001</c:v>
                </c:pt>
                <c:pt idx="24">
                  <c:v>173.78</c:v>
                </c:pt>
                <c:pt idx="25">
                  <c:v>177.828</c:v>
                </c:pt>
                <c:pt idx="26">
                  <c:v>181.97</c:v>
                </c:pt>
                <c:pt idx="27">
                  <c:v>186.209</c:v>
                </c:pt>
                <c:pt idx="28">
                  <c:v>190.54599999999999</c:v>
                </c:pt>
                <c:pt idx="29">
                  <c:v>194.98400000000001</c:v>
                </c:pt>
                <c:pt idx="30">
                  <c:v>199.52600000000001</c:v>
                </c:pt>
                <c:pt idx="31">
                  <c:v>204.17400000000001</c:v>
                </c:pt>
                <c:pt idx="32">
                  <c:v>208.93</c:v>
                </c:pt>
                <c:pt idx="33">
                  <c:v>213.79599999999999</c:v>
                </c:pt>
                <c:pt idx="34">
                  <c:v>218.77600000000001</c:v>
                </c:pt>
                <c:pt idx="35">
                  <c:v>223.87200000000001</c:v>
                </c:pt>
                <c:pt idx="36">
                  <c:v>229.08699999999999</c:v>
                </c:pt>
                <c:pt idx="37">
                  <c:v>234.423</c:v>
                </c:pt>
                <c:pt idx="38">
                  <c:v>239.88300000000001</c:v>
                </c:pt>
                <c:pt idx="39">
                  <c:v>245.471</c:v>
                </c:pt>
                <c:pt idx="40">
                  <c:v>251.18899999999999</c:v>
                </c:pt>
                <c:pt idx="41">
                  <c:v>257.04000000000002</c:v>
                </c:pt>
                <c:pt idx="42">
                  <c:v>263.02699999999999</c:v>
                </c:pt>
                <c:pt idx="43">
                  <c:v>269.15300000000002</c:v>
                </c:pt>
                <c:pt idx="44">
                  <c:v>275.423</c:v>
                </c:pt>
                <c:pt idx="45">
                  <c:v>281.83800000000002</c:v>
                </c:pt>
                <c:pt idx="46">
                  <c:v>288.40300000000002</c:v>
                </c:pt>
                <c:pt idx="47">
                  <c:v>295.12099999999998</c:v>
                </c:pt>
                <c:pt idx="48">
                  <c:v>301.995</c:v>
                </c:pt>
                <c:pt idx="49">
                  <c:v>309.02999999999997</c:v>
                </c:pt>
                <c:pt idx="50">
                  <c:v>316.22800000000001</c:v>
                </c:pt>
                <c:pt idx="51">
                  <c:v>323.59399999999999</c:v>
                </c:pt>
                <c:pt idx="52">
                  <c:v>331.13099999999997</c:v>
                </c:pt>
                <c:pt idx="53">
                  <c:v>338.84399999999999</c:v>
                </c:pt>
                <c:pt idx="54">
                  <c:v>346.73700000000002</c:v>
                </c:pt>
                <c:pt idx="55">
                  <c:v>354.81299999999999</c:v>
                </c:pt>
                <c:pt idx="56">
                  <c:v>363.07799999999997</c:v>
                </c:pt>
                <c:pt idx="57">
                  <c:v>371.53500000000003</c:v>
                </c:pt>
                <c:pt idx="58">
                  <c:v>380.18900000000002</c:v>
                </c:pt>
                <c:pt idx="59">
                  <c:v>389.04500000000002</c:v>
                </c:pt>
                <c:pt idx="60">
                  <c:v>398.10700000000003</c:v>
                </c:pt>
                <c:pt idx="61">
                  <c:v>407.38</c:v>
                </c:pt>
                <c:pt idx="62">
                  <c:v>416.86900000000003</c:v>
                </c:pt>
                <c:pt idx="63">
                  <c:v>426.58</c:v>
                </c:pt>
                <c:pt idx="64">
                  <c:v>436.51600000000002</c:v>
                </c:pt>
                <c:pt idx="65">
                  <c:v>446.68400000000003</c:v>
                </c:pt>
                <c:pt idx="66">
                  <c:v>457.08800000000002</c:v>
                </c:pt>
                <c:pt idx="67">
                  <c:v>467.73500000000001</c:v>
                </c:pt>
                <c:pt idx="68">
                  <c:v>478.63</c:v>
                </c:pt>
                <c:pt idx="69">
                  <c:v>489.779</c:v>
                </c:pt>
                <c:pt idx="70">
                  <c:v>501.18700000000001</c:v>
                </c:pt>
                <c:pt idx="71">
                  <c:v>512.86099999999999</c:v>
                </c:pt>
                <c:pt idx="72">
                  <c:v>524.80700000000002</c:v>
                </c:pt>
                <c:pt idx="73">
                  <c:v>537.03200000000004</c:v>
                </c:pt>
                <c:pt idx="74">
                  <c:v>549.54100000000005</c:v>
                </c:pt>
                <c:pt idx="75">
                  <c:v>562.34100000000001</c:v>
                </c:pt>
                <c:pt idx="76">
                  <c:v>575.44000000000005</c:v>
                </c:pt>
                <c:pt idx="77">
                  <c:v>588.84400000000005</c:v>
                </c:pt>
                <c:pt idx="78">
                  <c:v>602.55999999999995</c:v>
                </c:pt>
                <c:pt idx="79">
                  <c:v>616.59500000000003</c:v>
                </c:pt>
                <c:pt idx="80">
                  <c:v>630.95699999999999</c:v>
                </c:pt>
                <c:pt idx="81">
                  <c:v>645.654</c:v>
                </c:pt>
                <c:pt idx="82">
                  <c:v>660.69299999999998</c:v>
                </c:pt>
                <c:pt idx="83">
                  <c:v>676.08299999999997</c:v>
                </c:pt>
                <c:pt idx="84">
                  <c:v>691.83100000000002</c:v>
                </c:pt>
                <c:pt idx="85">
                  <c:v>707.94600000000003</c:v>
                </c:pt>
                <c:pt idx="86">
                  <c:v>724.43600000000004</c:v>
                </c:pt>
                <c:pt idx="87">
                  <c:v>741.31</c:v>
                </c:pt>
                <c:pt idx="88">
                  <c:v>758.57799999999997</c:v>
                </c:pt>
                <c:pt idx="89">
                  <c:v>776.24699999999996</c:v>
                </c:pt>
                <c:pt idx="90">
                  <c:v>794.32799999999997</c:v>
                </c:pt>
                <c:pt idx="91">
                  <c:v>812.83100000000002</c:v>
                </c:pt>
                <c:pt idx="92">
                  <c:v>831.76400000000001</c:v>
                </c:pt>
                <c:pt idx="93">
                  <c:v>851.13800000000003</c:v>
                </c:pt>
                <c:pt idx="94">
                  <c:v>870.96400000000006</c:v>
                </c:pt>
                <c:pt idx="95">
                  <c:v>891.25099999999998</c:v>
                </c:pt>
                <c:pt idx="96">
                  <c:v>912.01099999999997</c:v>
                </c:pt>
                <c:pt idx="97">
                  <c:v>933.25400000000002</c:v>
                </c:pt>
                <c:pt idx="98">
                  <c:v>954.99300000000005</c:v>
                </c:pt>
                <c:pt idx="99">
                  <c:v>977.23699999999997</c:v>
                </c:pt>
                <c:pt idx="100">
                  <c:v>1000</c:v>
                </c:pt>
                <c:pt idx="101">
                  <c:v>1023.293</c:v>
                </c:pt>
                <c:pt idx="102">
                  <c:v>1047.1289999999999</c:v>
                </c:pt>
                <c:pt idx="103">
                  <c:v>1071.519</c:v>
                </c:pt>
                <c:pt idx="104">
                  <c:v>1096.4780000000001</c:v>
                </c:pt>
                <c:pt idx="105">
                  <c:v>1122.018</c:v>
                </c:pt>
                <c:pt idx="106">
                  <c:v>1148.154</c:v>
                </c:pt>
                <c:pt idx="107">
                  <c:v>1174.8979999999999</c:v>
                </c:pt>
                <c:pt idx="108">
                  <c:v>1202.2639999999999</c:v>
                </c:pt>
                <c:pt idx="109">
                  <c:v>1230.269</c:v>
                </c:pt>
                <c:pt idx="110">
                  <c:v>1258.925</c:v>
                </c:pt>
                <c:pt idx="111">
                  <c:v>1288.25</c:v>
                </c:pt>
                <c:pt idx="112">
                  <c:v>1318.2570000000001</c:v>
                </c:pt>
                <c:pt idx="113">
                  <c:v>1348.963</c:v>
                </c:pt>
                <c:pt idx="114">
                  <c:v>1380.384</c:v>
                </c:pt>
                <c:pt idx="115">
                  <c:v>1412.538</c:v>
                </c:pt>
                <c:pt idx="116">
                  <c:v>1445.44</c:v>
                </c:pt>
                <c:pt idx="117">
                  <c:v>1479.1079999999999</c:v>
                </c:pt>
                <c:pt idx="118">
                  <c:v>1513.5609999999999</c:v>
                </c:pt>
                <c:pt idx="119">
                  <c:v>1548.817</c:v>
                </c:pt>
                <c:pt idx="120">
                  <c:v>1584.893</c:v>
                </c:pt>
                <c:pt idx="121">
                  <c:v>1621.81</c:v>
                </c:pt>
                <c:pt idx="122">
                  <c:v>1659.587</c:v>
                </c:pt>
                <c:pt idx="123">
                  <c:v>1698.2439999999999</c:v>
                </c:pt>
                <c:pt idx="124">
                  <c:v>1737.8009999999999</c:v>
                </c:pt>
                <c:pt idx="125">
                  <c:v>1778.279</c:v>
                </c:pt>
                <c:pt idx="126">
                  <c:v>1819.701</c:v>
                </c:pt>
                <c:pt idx="127">
                  <c:v>1862.087</c:v>
                </c:pt>
                <c:pt idx="128">
                  <c:v>1905.461</c:v>
                </c:pt>
                <c:pt idx="129">
                  <c:v>1949.845</c:v>
                </c:pt>
                <c:pt idx="130">
                  <c:v>1995.2619999999999</c:v>
                </c:pt>
                <c:pt idx="131">
                  <c:v>2041.7380000000001</c:v>
                </c:pt>
                <c:pt idx="132">
                  <c:v>2089.2959999999998</c:v>
                </c:pt>
                <c:pt idx="133">
                  <c:v>2137.962</c:v>
                </c:pt>
                <c:pt idx="134">
                  <c:v>2187.7620000000002</c:v>
                </c:pt>
                <c:pt idx="135">
                  <c:v>2238.721</c:v>
                </c:pt>
                <c:pt idx="136">
                  <c:v>2290.8679999999999</c:v>
                </c:pt>
                <c:pt idx="137">
                  <c:v>2344.2289999999998</c:v>
                </c:pt>
                <c:pt idx="138">
                  <c:v>2398.8330000000001</c:v>
                </c:pt>
                <c:pt idx="139">
                  <c:v>2454.7089999999998</c:v>
                </c:pt>
                <c:pt idx="140">
                  <c:v>2511.886</c:v>
                </c:pt>
                <c:pt idx="141">
                  <c:v>2570.3960000000002</c:v>
                </c:pt>
                <c:pt idx="142">
                  <c:v>2630.268</c:v>
                </c:pt>
                <c:pt idx="143">
                  <c:v>2691.5349999999999</c:v>
                </c:pt>
                <c:pt idx="144">
                  <c:v>2754.2289999999998</c:v>
                </c:pt>
                <c:pt idx="145">
                  <c:v>2818.3829999999998</c:v>
                </c:pt>
                <c:pt idx="146">
                  <c:v>2884.0320000000002</c:v>
                </c:pt>
                <c:pt idx="147">
                  <c:v>2951.2089999999998</c:v>
                </c:pt>
                <c:pt idx="148">
                  <c:v>3019.9520000000002</c:v>
                </c:pt>
                <c:pt idx="149">
                  <c:v>3090.2950000000001</c:v>
                </c:pt>
                <c:pt idx="150">
                  <c:v>3162.2779999999998</c:v>
                </c:pt>
                <c:pt idx="151">
                  <c:v>3235.9369999999999</c:v>
                </c:pt>
                <c:pt idx="152">
                  <c:v>3311.3110000000001</c:v>
                </c:pt>
                <c:pt idx="153">
                  <c:v>3388.442</c:v>
                </c:pt>
                <c:pt idx="154">
                  <c:v>3467.3690000000001</c:v>
                </c:pt>
                <c:pt idx="155">
                  <c:v>3548.134</c:v>
                </c:pt>
                <c:pt idx="156">
                  <c:v>3630.7809999999999</c:v>
                </c:pt>
                <c:pt idx="157">
                  <c:v>3715.3519999999999</c:v>
                </c:pt>
                <c:pt idx="158">
                  <c:v>3801.8939999999998</c:v>
                </c:pt>
                <c:pt idx="159">
                  <c:v>3890.451</c:v>
                </c:pt>
                <c:pt idx="160">
                  <c:v>3981.0720000000001</c:v>
                </c:pt>
                <c:pt idx="161">
                  <c:v>4073.8029999999999</c:v>
                </c:pt>
                <c:pt idx="162">
                  <c:v>4168.6940000000004</c:v>
                </c:pt>
                <c:pt idx="163">
                  <c:v>4265.7950000000001</c:v>
                </c:pt>
                <c:pt idx="164">
                  <c:v>4365.1580000000004</c:v>
                </c:pt>
                <c:pt idx="165">
                  <c:v>4466.8360000000002</c:v>
                </c:pt>
                <c:pt idx="166">
                  <c:v>4570.8819999999996</c:v>
                </c:pt>
                <c:pt idx="167">
                  <c:v>4677.3509999999997</c:v>
                </c:pt>
                <c:pt idx="168">
                  <c:v>4786.3010000000004</c:v>
                </c:pt>
                <c:pt idx="169">
                  <c:v>4897.7879999999996</c:v>
                </c:pt>
                <c:pt idx="170">
                  <c:v>5011.8720000000003</c:v>
                </c:pt>
                <c:pt idx="171">
                  <c:v>5128.6139999999996</c:v>
                </c:pt>
                <c:pt idx="172">
                  <c:v>5248.0749999999998</c:v>
                </c:pt>
                <c:pt idx="173">
                  <c:v>5370.3180000000002</c:v>
                </c:pt>
                <c:pt idx="174">
                  <c:v>5495.4089999999997</c:v>
                </c:pt>
                <c:pt idx="175">
                  <c:v>5623.4129999999996</c:v>
                </c:pt>
                <c:pt idx="176">
                  <c:v>5754.3990000000003</c:v>
                </c:pt>
                <c:pt idx="177">
                  <c:v>5888.4369999999999</c:v>
                </c:pt>
                <c:pt idx="178">
                  <c:v>6025.5959999999995</c:v>
                </c:pt>
                <c:pt idx="179">
                  <c:v>6165.95</c:v>
                </c:pt>
                <c:pt idx="180">
                  <c:v>6309.5730000000003</c:v>
                </c:pt>
                <c:pt idx="181">
                  <c:v>6456.5420000000004</c:v>
                </c:pt>
                <c:pt idx="182">
                  <c:v>6606.9340000000002</c:v>
                </c:pt>
                <c:pt idx="183">
                  <c:v>6760.83</c:v>
                </c:pt>
                <c:pt idx="184">
                  <c:v>6918.31</c:v>
                </c:pt>
                <c:pt idx="185">
                  <c:v>7079.4579999999996</c:v>
                </c:pt>
                <c:pt idx="186">
                  <c:v>7244.36</c:v>
                </c:pt>
                <c:pt idx="187">
                  <c:v>7413.1019999999999</c:v>
                </c:pt>
                <c:pt idx="188">
                  <c:v>7585.7759999999998</c:v>
                </c:pt>
                <c:pt idx="189">
                  <c:v>7762.4709999999995</c:v>
                </c:pt>
                <c:pt idx="190">
                  <c:v>7943.2820000000002</c:v>
                </c:pt>
                <c:pt idx="191">
                  <c:v>8128.3050000000003</c:v>
                </c:pt>
                <c:pt idx="192">
                  <c:v>8317.6380000000008</c:v>
                </c:pt>
                <c:pt idx="193">
                  <c:v>8511.3799999999992</c:v>
                </c:pt>
                <c:pt idx="194">
                  <c:v>8709.6360000000004</c:v>
                </c:pt>
                <c:pt idx="195">
                  <c:v>8912.509</c:v>
                </c:pt>
                <c:pt idx="196">
                  <c:v>9120.1080000000002</c:v>
                </c:pt>
                <c:pt idx="197">
                  <c:v>9332.5429999999997</c:v>
                </c:pt>
                <c:pt idx="198">
                  <c:v>9549.9259999999995</c:v>
                </c:pt>
                <c:pt idx="199">
                  <c:v>9772.3719999999994</c:v>
                </c:pt>
                <c:pt idx="200">
                  <c:v>10000</c:v>
                </c:pt>
                <c:pt idx="201">
                  <c:v>10232.93</c:v>
                </c:pt>
                <c:pt idx="202">
                  <c:v>10471.285</c:v>
                </c:pt>
                <c:pt idx="203">
                  <c:v>10715.192999999999</c:v>
                </c:pt>
                <c:pt idx="204">
                  <c:v>10964.781999999999</c:v>
                </c:pt>
                <c:pt idx="205">
                  <c:v>11220.184999999999</c:v>
                </c:pt>
                <c:pt idx="206">
                  <c:v>11481.536</c:v>
                </c:pt>
                <c:pt idx="207">
                  <c:v>11748.976000000001</c:v>
                </c:pt>
                <c:pt idx="208">
                  <c:v>12022.644</c:v>
                </c:pt>
                <c:pt idx="209">
                  <c:v>12302.688</c:v>
                </c:pt>
                <c:pt idx="210">
                  <c:v>12589.254000000001</c:v>
                </c:pt>
                <c:pt idx="211">
                  <c:v>12882.495999999999</c:v>
                </c:pt>
                <c:pt idx="212">
                  <c:v>13182.566999999999</c:v>
                </c:pt>
                <c:pt idx="213">
                  <c:v>13489.629000000001</c:v>
                </c:pt>
                <c:pt idx="214">
                  <c:v>13803.843000000001</c:v>
                </c:pt>
                <c:pt idx="215">
                  <c:v>14125.375</c:v>
                </c:pt>
                <c:pt idx="216">
                  <c:v>14454.397999999999</c:v>
                </c:pt>
                <c:pt idx="217">
                  <c:v>14791.084000000001</c:v>
                </c:pt>
                <c:pt idx="218">
                  <c:v>15135.611999999999</c:v>
                </c:pt>
                <c:pt idx="219">
                  <c:v>15488.165999999999</c:v>
                </c:pt>
                <c:pt idx="220">
                  <c:v>15848.932000000001</c:v>
                </c:pt>
                <c:pt idx="221">
                  <c:v>16218.101000000001</c:v>
                </c:pt>
                <c:pt idx="222">
                  <c:v>16595.868999999999</c:v>
                </c:pt>
                <c:pt idx="223">
                  <c:v>16982.437000000002</c:v>
                </c:pt>
                <c:pt idx="224">
                  <c:v>17378.008000000002</c:v>
                </c:pt>
                <c:pt idx="225">
                  <c:v>17782.794000000002</c:v>
                </c:pt>
                <c:pt idx="226">
                  <c:v>18197.008999999998</c:v>
                </c:pt>
                <c:pt idx="227">
                  <c:v>18620.870999999999</c:v>
                </c:pt>
                <c:pt idx="228">
                  <c:v>19054.607</c:v>
                </c:pt>
                <c:pt idx="229">
                  <c:v>19498.446</c:v>
                </c:pt>
                <c:pt idx="230">
                  <c:v>19952.623</c:v>
                </c:pt>
                <c:pt idx="231">
                  <c:v>20417.379000000001</c:v>
                </c:pt>
                <c:pt idx="232">
                  <c:v>20892.960999999999</c:v>
                </c:pt>
                <c:pt idx="233">
                  <c:v>21379.620999999999</c:v>
                </c:pt>
                <c:pt idx="234">
                  <c:v>21877.616000000002</c:v>
                </c:pt>
                <c:pt idx="235">
                  <c:v>22387.210999999999</c:v>
                </c:pt>
                <c:pt idx="236">
                  <c:v>22908.677</c:v>
                </c:pt>
                <c:pt idx="237">
                  <c:v>23442.288</c:v>
                </c:pt>
                <c:pt idx="238">
                  <c:v>23988.329000000002</c:v>
                </c:pt>
                <c:pt idx="239">
                  <c:v>24547.089</c:v>
                </c:pt>
                <c:pt idx="240">
                  <c:v>25118.864000000001</c:v>
                </c:pt>
                <c:pt idx="241">
                  <c:v>25703.957999999999</c:v>
                </c:pt>
                <c:pt idx="242">
                  <c:v>26302.68</c:v>
                </c:pt>
                <c:pt idx="243">
                  <c:v>26915.348000000002</c:v>
                </c:pt>
                <c:pt idx="244">
                  <c:v>27542.287</c:v>
                </c:pt>
                <c:pt idx="245">
                  <c:v>28183.829000000002</c:v>
                </c:pt>
                <c:pt idx="246">
                  <c:v>28840.314999999999</c:v>
                </c:pt>
                <c:pt idx="247">
                  <c:v>29512.092000000001</c:v>
                </c:pt>
                <c:pt idx="248">
                  <c:v>30199.517</c:v>
                </c:pt>
                <c:pt idx="249">
                  <c:v>30902.954000000002</c:v>
                </c:pt>
                <c:pt idx="250">
                  <c:v>31622.776999999998</c:v>
                </c:pt>
                <c:pt idx="251">
                  <c:v>32359.366000000002</c:v>
                </c:pt>
                <c:pt idx="252">
                  <c:v>33113.112000000001</c:v>
                </c:pt>
                <c:pt idx="253">
                  <c:v>33884.415999999997</c:v>
                </c:pt>
                <c:pt idx="254">
                  <c:v>34673.684999999998</c:v>
                </c:pt>
                <c:pt idx="255">
                  <c:v>35481.339</c:v>
                </c:pt>
                <c:pt idx="256">
                  <c:v>36307.805</c:v>
                </c:pt>
                <c:pt idx="257">
                  <c:v>37153.523000000001</c:v>
                </c:pt>
                <c:pt idx="258">
                  <c:v>38018.94</c:v>
                </c:pt>
                <c:pt idx="259">
                  <c:v>38904.514000000003</c:v>
                </c:pt>
                <c:pt idx="260">
                  <c:v>39810.716999999997</c:v>
                </c:pt>
                <c:pt idx="261">
                  <c:v>40738.027999999998</c:v>
                </c:pt>
                <c:pt idx="262">
                  <c:v>41686.938000000002</c:v>
                </c:pt>
                <c:pt idx="263">
                  <c:v>42657.951999999997</c:v>
                </c:pt>
                <c:pt idx="264">
                  <c:v>43651.582999999999</c:v>
                </c:pt>
                <c:pt idx="265">
                  <c:v>44668.358999999997</c:v>
                </c:pt>
                <c:pt idx="266">
                  <c:v>45708.819000000003</c:v>
                </c:pt>
                <c:pt idx="267">
                  <c:v>46773.514000000003</c:v>
                </c:pt>
                <c:pt idx="268">
                  <c:v>47863.008999999998</c:v>
                </c:pt>
                <c:pt idx="269">
                  <c:v>48977.881999999998</c:v>
                </c:pt>
                <c:pt idx="270">
                  <c:v>50118.722999999998</c:v>
                </c:pt>
                <c:pt idx="271">
                  <c:v>51286.137999999999</c:v>
                </c:pt>
                <c:pt idx="272">
                  <c:v>52480.745999999999</c:v>
                </c:pt>
                <c:pt idx="273">
                  <c:v>53703.18</c:v>
                </c:pt>
                <c:pt idx="274">
                  <c:v>54954.087</c:v>
                </c:pt>
                <c:pt idx="275">
                  <c:v>56234.133000000002</c:v>
                </c:pt>
                <c:pt idx="276">
                  <c:v>57543.993999999999</c:v>
                </c:pt>
                <c:pt idx="277">
                  <c:v>58884.366000000002</c:v>
                </c:pt>
                <c:pt idx="278">
                  <c:v>60255.959000000003</c:v>
                </c:pt>
                <c:pt idx="279">
                  <c:v>61659.5</c:v>
                </c:pt>
                <c:pt idx="280">
                  <c:v>63095.733999999997</c:v>
                </c:pt>
                <c:pt idx="281">
                  <c:v>64565.423000000003</c:v>
                </c:pt>
                <c:pt idx="282">
                  <c:v>66069.345000000001</c:v>
                </c:pt>
                <c:pt idx="283">
                  <c:v>67608.297999999995</c:v>
                </c:pt>
                <c:pt idx="284">
                  <c:v>69183.096999999994</c:v>
                </c:pt>
                <c:pt idx="285">
                  <c:v>70794.577999999994</c:v>
                </c:pt>
                <c:pt idx="286">
                  <c:v>72443.596000000005</c:v>
                </c:pt>
                <c:pt idx="287">
                  <c:v>74131.024000000005</c:v>
                </c:pt>
                <c:pt idx="288">
                  <c:v>75857.758000000002</c:v>
                </c:pt>
                <c:pt idx="289">
                  <c:v>77624.712</c:v>
                </c:pt>
                <c:pt idx="290">
                  <c:v>79432.823000000004</c:v>
                </c:pt>
                <c:pt idx="291">
                  <c:v>81283.051999999996</c:v>
                </c:pt>
                <c:pt idx="292">
                  <c:v>83176.376999999993</c:v>
                </c:pt>
                <c:pt idx="293">
                  <c:v>85113.804000000004</c:v>
                </c:pt>
                <c:pt idx="294">
                  <c:v>87096.358999999997</c:v>
                </c:pt>
                <c:pt idx="295">
                  <c:v>89125.093999999997</c:v>
                </c:pt>
                <c:pt idx="296">
                  <c:v>91201.084000000003</c:v>
                </c:pt>
                <c:pt idx="297">
                  <c:v>93325.43</c:v>
                </c:pt>
                <c:pt idx="298">
                  <c:v>95499.259000000005</c:v>
                </c:pt>
                <c:pt idx="299">
                  <c:v>97723.721999999994</c:v>
                </c:pt>
                <c:pt idx="300">
                  <c:v>100000</c:v>
                </c:pt>
                <c:pt idx="301">
                  <c:v>102329.299</c:v>
                </c:pt>
                <c:pt idx="302">
                  <c:v>104712.855</c:v>
                </c:pt>
                <c:pt idx="303">
                  <c:v>107151.931</c:v>
                </c:pt>
                <c:pt idx="304">
                  <c:v>109647.82</c:v>
                </c:pt>
                <c:pt idx="305">
                  <c:v>112201.845</c:v>
                </c:pt>
                <c:pt idx="306">
                  <c:v>114815.36199999999</c:v>
                </c:pt>
                <c:pt idx="307">
                  <c:v>117489.755</c:v>
                </c:pt>
                <c:pt idx="308">
                  <c:v>120226.443</c:v>
                </c:pt>
                <c:pt idx="309">
                  <c:v>123026.87699999999</c:v>
                </c:pt>
                <c:pt idx="310">
                  <c:v>125892.541</c:v>
                </c:pt>
                <c:pt idx="311">
                  <c:v>128824.955</c:v>
                </c:pt>
                <c:pt idx="312">
                  <c:v>131825.674</c:v>
                </c:pt>
                <c:pt idx="313">
                  <c:v>134896.288</c:v>
                </c:pt>
                <c:pt idx="314">
                  <c:v>138038.42600000001</c:v>
                </c:pt>
                <c:pt idx="315">
                  <c:v>141253.75399999999</c:v>
                </c:pt>
                <c:pt idx="316">
                  <c:v>144543.97700000001</c:v>
                </c:pt>
                <c:pt idx="317">
                  <c:v>147910.83900000001</c:v>
                </c:pt>
                <c:pt idx="318">
                  <c:v>151356.125</c:v>
                </c:pt>
                <c:pt idx="319">
                  <c:v>154881.66200000001</c:v>
                </c:pt>
                <c:pt idx="320">
                  <c:v>158489.31899999999</c:v>
                </c:pt>
                <c:pt idx="321">
                  <c:v>162181.01</c:v>
                </c:pt>
                <c:pt idx="322">
                  <c:v>165958.69099999999</c:v>
                </c:pt>
                <c:pt idx="323">
                  <c:v>169824.36499999999</c:v>
                </c:pt>
                <c:pt idx="324">
                  <c:v>173780.08300000001</c:v>
                </c:pt>
                <c:pt idx="325">
                  <c:v>177827.94099999999</c:v>
                </c:pt>
                <c:pt idx="326">
                  <c:v>181970.08600000001</c:v>
                </c:pt>
                <c:pt idx="327">
                  <c:v>186208.71400000001</c:v>
                </c:pt>
                <c:pt idx="328">
                  <c:v>190546.07199999999</c:v>
                </c:pt>
                <c:pt idx="329">
                  <c:v>194984.46</c:v>
                </c:pt>
                <c:pt idx="330">
                  <c:v>199526.231</c:v>
                </c:pt>
                <c:pt idx="331">
                  <c:v>204173.79399999999</c:v>
                </c:pt>
                <c:pt idx="332">
                  <c:v>208929.61300000001</c:v>
                </c:pt>
                <c:pt idx="333">
                  <c:v>213796.209</c:v>
                </c:pt>
                <c:pt idx="334">
                  <c:v>218776.16200000001</c:v>
                </c:pt>
                <c:pt idx="335">
                  <c:v>223872.114</c:v>
                </c:pt>
                <c:pt idx="336">
                  <c:v>229086.76500000001</c:v>
                </c:pt>
                <c:pt idx="337">
                  <c:v>234422.88200000001</c:v>
                </c:pt>
                <c:pt idx="338">
                  <c:v>239883.29199999999</c:v>
                </c:pt>
                <c:pt idx="339">
                  <c:v>245470.89199999999</c:v>
                </c:pt>
                <c:pt idx="340">
                  <c:v>251188.64300000001</c:v>
                </c:pt>
                <c:pt idx="341">
                  <c:v>257039.57800000001</c:v>
                </c:pt>
                <c:pt idx="342">
                  <c:v>263026.799</c:v>
                </c:pt>
                <c:pt idx="343">
                  <c:v>269153.48</c:v>
                </c:pt>
                <c:pt idx="344">
                  <c:v>275422.87</c:v>
                </c:pt>
                <c:pt idx="345">
                  <c:v>281838.29300000001</c:v>
                </c:pt>
                <c:pt idx="346">
                  <c:v>288403.15000000002</c:v>
                </c:pt>
                <c:pt idx="347">
                  <c:v>295120.92300000001</c:v>
                </c:pt>
                <c:pt idx="348">
                  <c:v>301995.17200000002</c:v>
                </c:pt>
                <c:pt idx="349">
                  <c:v>309029.54300000001</c:v>
                </c:pt>
                <c:pt idx="350">
                  <c:v>316227.766</c:v>
                </c:pt>
                <c:pt idx="351">
                  <c:v>323593.65700000001</c:v>
                </c:pt>
                <c:pt idx="352">
                  <c:v>331131.12099999998</c:v>
                </c:pt>
                <c:pt idx="353">
                  <c:v>338844.15600000002</c:v>
                </c:pt>
                <c:pt idx="354">
                  <c:v>346736.85</c:v>
                </c:pt>
                <c:pt idx="355">
                  <c:v>354813.38900000002</c:v>
                </c:pt>
                <c:pt idx="356">
                  <c:v>363078.05499999999</c:v>
                </c:pt>
                <c:pt idx="357">
                  <c:v>371535.22899999999</c:v>
                </c:pt>
                <c:pt idx="358">
                  <c:v>380189.39600000001</c:v>
                </c:pt>
                <c:pt idx="359">
                  <c:v>389045.14500000002</c:v>
                </c:pt>
                <c:pt idx="360">
                  <c:v>398107.17099999997</c:v>
                </c:pt>
                <c:pt idx="361">
                  <c:v>407380.27799999999</c:v>
                </c:pt>
                <c:pt idx="362">
                  <c:v>416869.38299999997</c:v>
                </c:pt>
                <c:pt idx="363">
                  <c:v>426579.51899999997</c:v>
                </c:pt>
                <c:pt idx="364">
                  <c:v>436515.83199999999</c:v>
                </c:pt>
                <c:pt idx="365">
                  <c:v>446683.592</c:v>
                </c:pt>
                <c:pt idx="366">
                  <c:v>457088.19</c:v>
                </c:pt>
                <c:pt idx="367">
                  <c:v>467735.141</c:v>
                </c:pt>
                <c:pt idx="368">
                  <c:v>478630.092</c:v>
                </c:pt>
                <c:pt idx="369">
                  <c:v>489778.81900000002</c:v>
                </c:pt>
                <c:pt idx="370">
                  <c:v>501187.234</c:v>
                </c:pt>
                <c:pt idx="371">
                  <c:v>512861.38400000002</c:v>
                </c:pt>
                <c:pt idx="372">
                  <c:v>524807.46</c:v>
                </c:pt>
                <c:pt idx="373">
                  <c:v>537031.79599999997</c:v>
                </c:pt>
                <c:pt idx="374">
                  <c:v>549540.87399999995</c:v>
                </c:pt>
                <c:pt idx="375">
                  <c:v>562341.32499999995</c:v>
                </c:pt>
                <c:pt idx="376">
                  <c:v>575439.93700000003</c:v>
                </c:pt>
                <c:pt idx="377">
                  <c:v>588843.65500000003</c:v>
                </c:pt>
                <c:pt idx="378">
                  <c:v>602559.58600000001</c:v>
                </c:pt>
                <c:pt idx="379">
                  <c:v>616595.00199999998</c:v>
                </c:pt>
                <c:pt idx="380">
                  <c:v>630957.34400000004</c:v>
                </c:pt>
                <c:pt idx="381">
                  <c:v>645654.22900000005</c:v>
                </c:pt>
                <c:pt idx="382">
                  <c:v>660693.44799999997</c:v>
                </c:pt>
                <c:pt idx="383">
                  <c:v>676082.97499999998</c:v>
                </c:pt>
                <c:pt idx="384">
                  <c:v>691830.97100000002</c:v>
                </c:pt>
                <c:pt idx="385">
                  <c:v>707945.78399999999</c:v>
                </c:pt>
                <c:pt idx="386">
                  <c:v>724435.96</c:v>
                </c:pt>
                <c:pt idx="387">
                  <c:v>741310.24100000004</c:v>
                </c:pt>
                <c:pt idx="388">
                  <c:v>758577.57499999995</c:v>
                </c:pt>
                <c:pt idx="389">
                  <c:v>776247.11699999997</c:v>
                </c:pt>
                <c:pt idx="390">
                  <c:v>794328.23499999999</c:v>
                </c:pt>
                <c:pt idx="391">
                  <c:v>812830.51599999995</c:v>
                </c:pt>
                <c:pt idx="392">
                  <c:v>831763.77099999995</c:v>
                </c:pt>
                <c:pt idx="393">
                  <c:v>851138.03799999994</c:v>
                </c:pt>
                <c:pt idx="394">
                  <c:v>870963.59</c:v>
                </c:pt>
                <c:pt idx="395">
                  <c:v>891250.93799999997</c:v>
                </c:pt>
                <c:pt idx="396">
                  <c:v>912010.83900000004</c:v>
                </c:pt>
                <c:pt idx="397">
                  <c:v>933254.30099999998</c:v>
                </c:pt>
                <c:pt idx="398">
                  <c:v>954992.58600000001</c:v>
                </c:pt>
                <c:pt idx="399">
                  <c:v>977237.22100000002</c:v>
                </c:pt>
              </c:numCache>
            </c:numRef>
          </c:xVal>
          <c:yVal>
            <c:numRef>
              <c:f>'Bode Plots Calculations'!$BV$10:$BV$409</c:f>
              <c:numCache>
                <c:formatCode>#0.0#</c:formatCode>
                <c:ptCount val="400"/>
                <c:pt idx="0">
                  <c:v>-267.66769999999997</c:v>
                </c:pt>
                <c:pt idx="1">
                  <c:v>-265.91489999999999</c:v>
                </c:pt>
                <c:pt idx="2">
                  <c:v>-264.93219999999997</c:v>
                </c:pt>
                <c:pt idx="3">
                  <c:v>-262.3057</c:v>
                </c:pt>
                <c:pt idx="4">
                  <c:v>-262.76620000000003</c:v>
                </c:pt>
                <c:pt idx="5">
                  <c:v>-267.01279999999997</c:v>
                </c:pt>
                <c:pt idx="6">
                  <c:v>-266.20479999999998</c:v>
                </c:pt>
                <c:pt idx="7">
                  <c:v>-264.9049</c:v>
                </c:pt>
                <c:pt idx="8">
                  <c:v>-269.98079999999999</c:v>
                </c:pt>
                <c:pt idx="9">
                  <c:v>-265.73410000000001</c:v>
                </c:pt>
                <c:pt idx="10">
                  <c:v>-266.37110000000001</c:v>
                </c:pt>
                <c:pt idx="11">
                  <c:v>-268.05959999999999</c:v>
                </c:pt>
                <c:pt idx="12">
                  <c:v>-263.3605</c:v>
                </c:pt>
                <c:pt idx="13">
                  <c:v>-269.46539999999999</c:v>
                </c:pt>
                <c:pt idx="14">
                  <c:v>-267.95069999999998</c:v>
                </c:pt>
                <c:pt idx="15">
                  <c:v>-263.11430000000001</c:v>
                </c:pt>
                <c:pt idx="16">
                  <c:v>-266.2885</c:v>
                </c:pt>
                <c:pt idx="17">
                  <c:v>-266.34629999999999</c:v>
                </c:pt>
                <c:pt idx="18">
                  <c:v>-267.0283</c:v>
                </c:pt>
                <c:pt idx="19">
                  <c:v>-260.69729999999998</c:v>
                </c:pt>
                <c:pt idx="20">
                  <c:v>-259.86900000000003</c:v>
                </c:pt>
                <c:pt idx="21">
                  <c:v>-262.39859999999999</c:v>
                </c:pt>
                <c:pt idx="22">
                  <c:v>-264.8295</c:v>
                </c:pt>
                <c:pt idx="23">
                  <c:v>-267.72770000000003</c:v>
                </c:pt>
                <c:pt idx="24">
                  <c:v>-269.952</c:v>
                </c:pt>
                <c:pt idx="25">
                  <c:v>-271.56010000000003</c:v>
                </c:pt>
                <c:pt idx="26">
                  <c:v>-268.84590000000003</c:v>
                </c:pt>
                <c:pt idx="27">
                  <c:v>-265.37959999999998</c:v>
                </c:pt>
                <c:pt idx="28">
                  <c:v>-265.89449999999999</c:v>
                </c:pt>
                <c:pt idx="29">
                  <c:v>-265.6327</c:v>
                </c:pt>
                <c:pt idx="30">
                  <c:v>-267.80150000000003</c:v>
                </c:pt>
                <c:pt idx="31">
                  <c:v>-264.16840000000002</c:v>
                </c:pt>
                <c:pt idx="32">
                  <c:v>-267.69110000000001</c:v>
                </c:pt>
                <c:pt idx="33">
                  <c:v>-266.9667</c:v>
                </c:pt>
                <c:pt idx="34">
                  <c:v>-263.5369</c:v>
                </c:pt>
                <c:pt idx="35">
                  <c:v>-265.19450000000001</c:v>
                </c:pt>
                <c:pt idx="36">
                  <c:v>-266.75440000000003</c:v>
                </c:pt>
                <c:pt idx="37">
                  <c:v>-266.76120000000003</c:v>
                </c:pt>
                <c:pt idx="38">
                  <c:v>-267.59569999999997</c:v>
                </c:pt>
                <c:pt idx="39">
                  <c:v>-266.80959999999999</c:v>
                </c:pt>
                <c:pt idx="40">
                  <c:v>-265.9205</c:v>
                </c:pt>
                <c:pt idx="41">
                  <c:v>-267.60309999999998</c:v>
                </c:pt>
                <c:pt idx="42">
                  <c:v>-267.3229</c:v>
                </c:pt>
                <c:pt idx="43">
                  <c:v>-265.67700000000002</c:v>
                </c:pt>
                <c:pt idx="44">
                  <c:v>-266.46569999999997</c:v>
                </c:pt>
                <c:pt idx="45">
                  <c:v>-266.67570000000001</c:v>
                </c:pt>
                <c:pt idx="46">
                  <c:v>-268.05989999999997</c:v>
                </c:pt>
                <c:pt idx="47">
                  <c:v>-265.88</c:v>
                </c:pt>
                <c:pt idx="48">
                  <c:v>-267.13580000000002</c:v>
                </c:pt>
                <c:pt idx="49">
                  <c:v>-265.03610000000003</c:v>
                </c:pt>
                <c:pt idx="50">
                  <c:v>-265.21839999999997</c:v>
                </c:pt>
                <c:pt idx="51">
                  <c:v>-266.99490000000003</c:v>
                </c:pt>
                <c:pt idx="52">
                  <c:v>-265.09339999999997</c:v>
                </c:pt>
                <c:pt idx="53">
                  <c:v>-266.42009999999999</c:v>
                </c:pt>
                <c:pt idx="54">
                  <c:v>-265.87940000000003</c:v>
                </c:pt>
                <c:pt idx="55">
                  <c:v>-265.95490000000001</c:v>
                </c:pt>
                <c:pt idx="56">
                  <c:v>-265.39159999999998</c:v>
                </c:pt>
                <c:pt idx="57">
                  <c:v>-265.2439</c:v>
                </c:pt>
                <c:pt idx="58">
                  <c:v>-265.49869999999999</c:v>
                </c:pt>
                <c:pt idx="59">
                  <c:v>-266.06720000000001</c:v>
                </c:pt>
                <c:pt idx="60">
                  <c:v>-265.2319</c:v>
                </c:pt>
                <c:pt idx="61">
                  <c:v>-265.7319</c:v>
                </c:pt>
                <c:pt idx="62">
                  <c:v>-265.24939999999998</c:v>
                </c:pt>
                <c:pt idx="63">
                  <c:v>-265.14060000000001</c:v>
                </c:pt>
                <c:pt idx="64">
                  <c:v>-264.9151</c:v>
                </c:pt>
                <c:pt idx="65">
                  <c:v>-265.3082</c:v>
                </c:pt>
                <c:pt idx="66">
                  <c:v>-265.65139999999997</c:v>
                </c:pt>
                <c:pt idx="67">
                  <c:v>-265.05009999999999</c:v>
                </c:pt>
                <c:pt idx="68">
                  <c:v>-264.35129999999998</c:v>
                </c:pt>
                <c:pt idx="69">
                  <c:v>-263.91079999999999</c:v>
                </c:pt>
                <c:pt idx="70">
                  <c:v>-264.7826</c:v>
                </c:pt>
                <c:pt idx="71">
                  <c:v>-265.04300000000001</c:v>
                </c:pt>
                <c:pt idx="72">
                  <c:v>-263.95569999999998</c:v>
                </c:pt>
                <c:pt idx="73">
                  <c:v>-264.56819999999999</c:v>
                </c:pt>
                <c:pt idx="74">
                  <c:v>-264.47620000000001</c:v>
                </c:pt>
                <c:pt idx="75">
                  <c:v>-264.60399999999998</c:v>
                </c:pt>
                <c:pt idx="76">
                  <c:v>-264.9076</c:v>
                </c:pt>
                <c:pt idx="77">
                  <c:v>-263.88170000000002</c:v>
                </c:pt>
                <c:pt idx="78">
                  <c:v>-264.00260000000003</c:v>
                </c:pt>
                <c:pt idx="79">
                  <c:v>-264.13310000000001</c:v>
                </c:pt>
                <c:pt idx="80">
                  <c:v>-263.74850000000004</c:v>
                </c:pt>
                <c:pt idx="81">
                  <c:v>-263.7636</c:v>
                </c:pt>
                <c:pt idx="82">
                  <c:v>-263.60980000000001</c:v>
                </c:pt>
                <c:pt idx="83">
                  <c:v>-263.3252</c:v>
                </c:pt>
                <c:pt idx="84">
                  <c:v>-263.57819999999998</c:v>
                </c:pt>
                <c:pt idx="85">
                  <c:v>-262.84989999999999</c:v>
                </c:pt>
                <c:pt idx="86">
                  <c:v>-262.81690000000003</c:v>
                </c:pt>
                <c:pt idx="87">
                  <c:v>-262.19720000000001</c:v>
                </c:pt>
                <c:pt idx="88">
                  <c:v>-262.56690000000003</c:v>
                </c:pt>
                <c:pt idx="89">
                  <c:v>-262.71769999999998</c:v>
                </c:pt>
                <c:pt idx="90">
                  <c:v>-262.79380000000003</c:v>
                </c:pt>
                <c:pt idx="91">
                  <c:v>-262.23689999999999</c:v>
                </c:pt>
                <c:pt idx="92">
                  <c:v>-262.34320000000002</c:v>
                </c:pt>
                <c:pt idx="93">
                  <c:v>-262.197</c:v>
                </c:pt>
                <c:pt idx="94">
                  <c:v>-261.76800000000003</c:v>
                </c:pt>
                <c:pt idx="95">
                  <c:v>-261.38310000000001</c:v>
                </c:pt>
                <c:pt idx="96">
                  <c:v>-261.74869999999999</c:v>
                </c:pt>
                <c:pt idx="97">
                  <c:v>-261.20730000000003</c:v>
                </c:pt>
                <c:pt idx="98">
                  <c:v>-261.26609999999999</c:v>
                </c:pt>
                <c:pt idx="99">
                  <c:v>-260.93240000000003</c:v>
                </c:pt>
                <c:pt idx="100">
                  <c:v>-260.5154</c:v>
                </c:pt>
                <c:pt idx="101">
                  <c:v>-261.12389999999999</c:v>
                </c:pt>
                <c:pt idx="102">
                  <c:v>-260.40769999999998</c:v>
                </c:pt>
                <c:pt idx="103">
                  <c:v>-260.5301</c:v>
                </c:pt>
                <c:pt idx="104">
                  <c:v>-260.5471</c:v>
                </c:pt>
                <c:pt idx="105">
                  <c:v>-259.93099999999998</c:v>
                </c:pt>
                <c:pt idx="106">
                  <c:v>-259.94799999999998</c:v>
                </c:pt>
                <c:pt idx="107">
                  <c:v>-260.19870000000003</c:v>
                </c:pt>
                <c:pt idx="108">
                  <c:v>-259.34100000000001</c:v>
                </c:pt>
                <c:pt idx="109">
                  <c:v>-259.55099999999999</c:v>
                </c:pt>
                <c:pt idx="110">
                  <c:v>-259.27199999999999</c:v>
                </c:pt>
                <c:pt idx="111">
                  <c:v>-258.86099999999999</c:v>
                </c:pt>
                <c:pt idx="112">
                  <c:v>-258.68299999999999</c:v>
                </c:pt>
                <c:pt idx="113">
                  <c:v>-258.79700000000003</c:v>
                </c:pt>
                <c:pt idx="114">
                  <c:v>-258.41000000000003</c:v>
                </c:pt>
                <c:pt idx="115">
                  <c:v>-258.13599999999997</c:v>
                </c:pt>
                <c:pt idx="116">
                  <c:v>-257.92899999999997</c:v>
                </c:pt>
                <c:pt idx="117">
                  <c:v>-257.745</c:v>
                </c:pt>
                <c:pt idx="118">
                  <c:v>-257.61</c:v>
                </c:pt>
                <c:pt idx="119">
                  <c:v>-257.471</c:v>
                </c:pt>
                <c:pt idx="120">
                  <c:v>-256.94200000000001</c:v>
                </c:pt>
                <c:pt idx="121">
                  <c:v>-256.75299999999999</c:v>
                </c:pt>
                <c:pt idx="122">
                  <c:v>-256.85699999999997</c:v>
                </c:pt>
                <c:pt idx="123">
                  <c:v>-256.31299999999999</c:v>
                </c:pt>
                <c:pt idx="124">
                  <c:v>-256.37900000000002</c:v>
                </c:pt>
                <c:pt idx="125">
                  <c:v>-256.01499999999999</c:v>
                </c:pt>
                <c:pt idx="126">
                  <c:v>-255.833</c:v>
                </c:pt>
                <c:pt idx="127">
                  <c:v>-255.47</c:v>
                </c:pt>
                <c:pt idx="128">
                  <c:v>-255.059</c:v>
                </c:pt>
                <c:pt idx="129">
                  <c:v>-254.971</c:v>
                </c:pt>
                <c:pt idx="130">
                  <c:v>-254.804</c:v>
                </c:pt>
                <c:pt idx="131">
                  <c:v>-254.411</c:v>
                </c:pt>
                <c:pt idx="132">
                  <c:v>-254.113</c:v>
                </c:pt>
                <c:pt idx="133">
                  <c:v>-254.34</c:v>
                </c:pt>
                <c:pt idx="134">
                  <c:v>-253.785</c:v>
                </c:pt>
                <c:pt idx="135">
                  <c:v>-253.78300000000002</c:v>
                </c:pt>
                <c:pt idx="136">
                  <c:v>-253.62</c:v>
                </c:pt>
                <c:pt idx="137">
                  <c:v>-253.17099999999999</c:v>
                </c:pt>
                <c:pt idx="138">
                  <c:v>-252.65800000000002</c:v>
                </c:pt>
                <c:pt idx="139">
                  <c:v>-251.97399999999999</c:v>
                </c:pt>
                <c:pt idx="140">
                  <c:v>-252.25200000000001</c:v>
                </c:pt>
                <c:pt idx="141">
                  <c:v>-251.702</c:v>
                </c:pt>
                <c:pt idx="142">
                  <c:v>-251.40100000000001</c:v>
                </c:pt>
                <c:pt idx="143">
                  <c:v>-251.244</c:v>
                </c:pt>
                <c:pt idx="144">
                  <c:v>-251.05099999999999</c:v>
                </c:pt>
                <c:pt idx="145">
                  <c:v>-250.48</c:v>
                </c:pt>
                <c:pt idx="146">
                  <c:v>-250.202</c:v>
                </c:pt>
                <c:pt idx="147">
                  <c:v>-249.92599999999999</c:v>
                </c:pt>
                <c:pt idx="148">
                  <c:v>-249.65100000000001</c:v>
                </c:pt>
                <c:pt idx="149">
                  <c:v>-248.41800000000001</c:v>
                </c:pt>
                <c:pt idx="150">
                  <c:v>-248.626</c:v>
                </c:pt>
                <c:pt idx="151">
                  <c:v>-248.57499999999999</c:v>
                </c:pt>
                <c:pt idx="152">
                  <c:v>-247.75799999999998</c:v>
                </c:pt>
                <c:pt idx="153">
                  <c:v>-247.756</c:v>
                </c:pt>
                <c:pt idx="154">
                  <c:v>-247.51300000000001</c:v>
                </c:pt>
                <c:pt idx="155">
                  <c:v>-246.726</c:v>
                </c:pt>
                <c:pt idx="156">
                  <c:v>-246.21199999999999</c:v>
                </c:pt>
                <c:pt idx="157">
                  <c:v>-245.97</c:v>
                </c:pt>
                <c:pt idx="158">
                  <c:v>-245.16899999999998</c:v>
                </c:pt>
                <c:pt idx="159">
                  <c:v>-244.768</c:v>
                </c:pt>
                <c:pt idx="160">
                  <c:v>-244.315</c:v>
                </c:pt>
                <c:pt idx="161">
                  <c:v>-244.142</c:v>
                </c:pt>
                <c:pt idx="162">
                  <c:v>-243.709</c:v>
                </c:pt>
                <c:pt idx="163">
                  <c:v>-243.32400000000001</c:v>
                </c:pt>
                <c:pt idx="164">
                  <c:v>-242.172</c:v>
                </c:pt>
                <c:pt idx="165">
                  <c:v>-240.90300000000002</c:v>
                </c:pt>
                <c:pt idx="166">
                  <c:v>-241.25200000000001</c:v>
                </c:pt>
                <c:pt idx="167">
                  <c:v>-240.63800000000001</c:v>
                </c:pt>
                <c:pt idx="168">
                  <c:v>-240.03100000000001</c:v>
                </c:pt>
                <c:pt idx="169">
                  <c:v>-239.48099999999999</c:v>
                </c:pt>
                <c:pt idx="170">
                  <c:v>-238.50700000000001</c:v>
                </c:pt>
                <c:pt idx="171">
                  <c:v>-237.881</c:v>
                </c:pt>
                <c:pt idx="172">
                  <c:v>-238.28</c:v>
                </c:pt>
                <c:pt idx="173">
                  <c:v>-237.34699999999998</c:v>
                </c:pt>
                <c:pt idx="174">
                  <c:v>-235.61199999999999</c:v>
                </c:pt>
                <c:pt idx="175">
                  <c:v>-235.13800000000001</c:v>
                </c:pt>
                <c:pt idx="176">
                  <c:v>-234.68899999999999</c:v>
                </c:pt>
                <c:pt idx="177">
                  <c:v>-233.95400000000001</c:v>
                </c:pt>
                <c:pt idx="178">
                  <c:v>-234.14699999999999</c:v>
                </c:pt>
                <c:pt idx="179">
                  <c:v>-232.05599999999998</c:v>
                </c:pt>
                <c:pt idx="180">
                  <c:v>-231.369</c:v>
                </c:pt>
                <c:pt idx="181">
                  <c:v>-230.779</c:v>
                </c:pt>
                <c:pt idx="182">
                  <c:v>-229.60900000000001</c:v>
                </c:pt>
                <c:pt idx="183">
                  <c:v>-229.1</c:v>
                </c:pt>
                <c:pt idx="184">
                  <c:v>-228.376</c:v>
                </c:pt>
                <c:pt idx="185">
                  <c:v>-227.04400000000001</c:v>
                </c:pt>
                <c:pt idx="186">
                  <c:v>-226.239</c:v>
                </c:pt>
                <c:pt idx="187">
                  <c:v>-225.834</c:v>
                </c:pt>
                <c:pt idx="188">
                  <c:v>-224.429</c:v>
                </c:pt>
                <c:pt idx="189">
                  <c:v>-223.255</c:v>
                </c:pt>
                <c:pt idx="190">
                  <c:v>-223.13499999999999</c:v>
                </c:pt>
                <c:pt idx="191">
                  <c:v>-221.982</c:v>
                </c:pt>
                <c:pt idx="192">
                  <c:v>-220.93199999999999</c:v>
                </c:pt>
                <c:pt idx="193">
                  <c:v>-219.99600000000001</c:v>
                </c:pt>
                <c:pt idx="194">
                  <c:v>-218.72200000000001</c:v>
                </c:pt>
                <c:pt idx="195">
                  <c:v>-217.619</c:v>
                </c:pt>
                <c:pt idx="196">
                  <c:v>-216.501</c:v>
                </c:pt>
                <c:pt idx="197">
                  <c:v>-215.83600000000001</c:v>
                </c:pt>
                <c:pt idx="198">
                  <c:v>-215.499</c:v>
                </c:pt>
                <c:pt idx="199">
                  <c:v>-212.98699999999999</c:v>
                </c:pt>
                <c:pt idx="200">
                  <c:v>-213.047</c:v>
                </c:pt>
                <c:pt idx="201">
                  <c:v>-211.715</c:v>
                </c:pt>
                <c:pt idx="202">
                  <c:v>-211.89099999999999</c:v>
                </c:pt>
                <c:pt idx="203">
                  <c:v>-209.68</c:v>
                </c:pt>
                <c:pt idx="204">
                  <c:v>-209.52500000000001</c:v>
                </c:pt>
                <c:pt idx="205">
                  <c:v>-207.815</c:v>
                </c:pt>
                <c:pt idx="206">
                  <c:v>-207.916</c:v>
                </c:pt>
                <c:pt idx="207">
                  <c:v>-206.25700000000001</c:v>
                </c:pt>
                <c:pt idx="208">
                  <c:v>-205.79599999999999</c:v>
                </c:pt>
                <c:pt idx="209">
                  <c:v>-205.58</c:v>
                </c:pt>
                <c:pt idx="210">
                  <c:v>-203.78</c:v>
                </c:pt>
                <c:pt idx="211">
                  <c:v>-201.71899999999999</c:v>
                </c:pt>
                <c:pt idx="212">
                  <c:v>-198.27600000000001</c:v>
                </c:pt>
                <c:pt idx="213">
                  <c:v>-197.578</c:v>
                </c:pt>
                <c:pt idx="214">
                  <c:v>-195.64599999999999</c:v>
                </c:pt>
                <c:pt idx="215">
                  <c:v>-192.58199999999999</c:v>
                </c:pt>
                <c:pt idx="216">
                  <c:v>-192.25399999999999</c:v>
                </c:pt>
                <c:pt idx="217">
                  <c:v>-191.02600000000001</c:v>
                </c:pt>
                <c:pt idx="218">
                  <c:v>-189.453</c:v>
                </c:pt>
                <c:pt idx="219">
                  <c:v>-188.48099999999999</c:v>
                </c:pt>
                <c:pt idx="220">
                  <c:v>-186.14400000000001</c:v>
                </c:pt>
                <c:pt idx="221">
                  <c:v>-185.626</c:v>
                </c:pt>
                <c:pt idx="222">
                  <c:v>-184.43100000000001</c:v>
                </c:pt>
                <c:pt idx="223">
                  <c:v>-182.72200000000001</c:v>
                </c:pt>
                <c:pt idx="224">
                  <c:v>-181.726</c:v>
                </c:pt>
                <c:pt idx="225">
                  <c:v>-180.351</c:v>
                </c:pt>
                <c:pt idx="226">
                  <c:v>-179.43</c:v>
                </c:pt>
                <c:pt idx="227">
                  <c:v>-178.09100000000001</c:v>
                </c:pt>
                <c:pt idx="228">
                  <c:v>-176.916</c:v>
                </c:pt>
                <c:pt idx="229">
                  <c:v>-175.511</c:v>
                </c:pt>
                <c:pt idx="230">
                  <c:v>-174.244</c:v>
                </c:pt>
                <c:pt idx="231">
                  <c:v>-173.369</c:v>
                </c:pt>
                <c:pt idx="232">
                  <c:v>-172.084</c:v>
                </c:pt>
                <c:pt idx="233">
                  <c:v>-170.62899999999999</c:v>
                </c:pt>
                <c:pt idx="234">
                  <c:v>-169.465</c:v>
                </c:pt>
                <c:pt idx="235">
                  <c:v>-168.34299999999999</c:v>
                </c:pt>
                <c:pt idx="236">
                  <c:v>-167.03899999999999</c:v>
                </c:pt>
                <c:pt idx="237">
                  <c:v>-165.876</c:v>
                </c:pt>
                <c:pt idx="238">
                  <c:v>-164.703</c:v>
                </c:pt>
                <c:pt idx="239">
                  <c:v>-163.65100000000001</c:v>
                </c:pt>
                <c:pt idx="240">
                  <c:v>-162.52199999999999</c:v>
                </c:pt>
                <c:pt idx="241">
                  <c:v>-161.32599999999999</c:v>
                </c:pt>
                <c:pt idx="242">
                  <c:v>-160.22999999999999</c:v>
                </c:pt>
                <c:pt idx="243">
                  <c:v>-159.27600000000001</c:v>
                </c:pt>
                <c:pt idx="244">
                  <c:v>-158.108</c:v>
                </c:pt>
                <c:pt idx="245">
                  <c:v>-157.06299999999999</c:v>
                </c:pt>
                <c:pt idx="246">
                  <c:v>-156.01</c:v>
                </c:pt>
                <c:pt idx="247">
                  <c:v>-155.03200000000001</c:v>
                </c:pt>
                <c:pt idx="248">
                  <c:v>-154.00200000000001</c:v>
                </c:pt>
                <c:pt idx="249">
                  <c:v>-152.994</c:v>
                </c:pt>
                <c:pt idx="250">
                  <c:v>-152.041</c:v>
                </c:pt>
                <c:pt idx="251">
                  <c:v>-151.05000000000001</c:v>
                </c:pt>
                <c:pt idx="252">
                  <c:v>-150.17400000000001</c:v>
                </c:pt>
                <c:pt idx="253">
                  <c:v>-149.483</c:v>
                </c:pt>
                <c:pt idx="254">
                  <c:v>-148.328</c:v>
                </c:pt>
                <c:pt idx="255">
                  <c:v>-147.47</c:v>
                </c:pt>
                <c:pt idx="256">
                  <c:v>-146.52500000000001</c:v>
                </c:pt>
                <c:pt idx="257">
                  <c:v>-145.744</c:v>
                </c:pt>
                <c:pt idx="258">
                  <c:v>-144.86799999999999</c:v>
                </c:pt>
                <c:pt idx="259">
                  <c:v>-144.06</c:v>
                </c:pt>
                <c:pt idx="260">
                  <c:v>-143.22999999999999</c:v>
                </c:pt>
                <c:pt idx="261">
                  <c:v>-142.31399999999999</c:v>
                </c:pt>
                <c:pt idx="262">
                  <c:v>-141.465</c:v>
                </c:pt>
                <c:pt idx="263">
                  <c:v>-140.39099999999999</c:v>
                </c:pt>
                <c:pt idx="264">
                  <c:v>-139.065</c:v>
                </c:pt>
                <c:pt idx="265">
                  <c:v>-136.58699999999999</c:v>
                </c:pt>
                <c:pt idx="266">
                  <c:v>-135.751</c:v>
                </c:pt>
                <c:pt idx="267">
                  <c:v>-137.57599999999999</c:v>
                </c:pt>
                <c:pt idx="268">
                  <c:v>-138.25</c:v>
                </c:pt>
                <c:pt idx="269">
                  <c:v>-138.07900000000001</c:v>
                </c:pt>
                <c:pt idx="270">
                  <c:v>-137.59100000000001</c:v>
                </c:pt>
                <c:pt idx="271">
                  <c:v>-137.08699999999999</c:v>
                </c:pt>
                <c:pt idx="272">
                  <c:v>-136.553</c:v>
                </c:pt>
                <c:pt idx="273">
                  <c:v>-136.001</c:v>
                </c:pt>
                <c:pt idx="274">
                  <c:v>-135.524</c:v>
                </c:pt>
                <c:pt idx="275">
                  <c:v>-134.983</c:v>
                </c:pt>
                <c:pt idx="276">
                  <c:v>-134.52199999999999</c:v>
                </c:pt>
                <c:pt idx="277">
                  <c:v>-134.059</c:v>
                </c:pt>
                <c:pt idx="278">
                  <c:v>-133.65100000000001</c:v>
                </c:pt>
                <c:pt idx="279">
                  <c:v>-133.24799999999999</c:v>
                </c:pt>
                <c:pt idx="280">
                  <c:v>-132.86600000000001</c:v>
                </c:pt>
                <c:pt idx="281">
                  <c:v>-132.49799999999999</c:v>
                </c:pt>
                <c:pt idx="282">
                  <c:v>-132.279</c:v>
                </c:pt>
                <c:pt idx="283">
                  <c:v>-132.03399999999999</c:v>
                </c:pt>
                <c:pt idx="284">
                  <c:v>-131.40799999999999</c:v>
                </c:pt>
                <c:pt idx="285">
                  <c:v>-131.172</c:v>
                </c:pt>
                <c:pt idx="286">
                  <c:v>-130.929</c:v>
                </c:pt>
                <c:pt idx="287">
                  <c:v>-130.88900000000001</c:v>
                </c:pt>
                <c:pt idx="288">
                  <c:v>-130.62200000000001</c:v>
                </c:pt>
                <c:pt idx="289">
                  <c:v>-130.36099999999999</c:v>
                </c:pt>
                <c:pt idx="290">
                  <c:v>-130.17400000000001</c:v>
                </c:pt>
                <c:pt idx="291">
                  <c:v>-130.05699999999999</c:v>
                </c:pt>
                <c:pt idx="292">
                  <c:v>-130.11600000000001</c:v>
                </c:pt>
                <c:pt idx="293">
                  <c:v>-129.97300000000001</c:v>
                </c:pt>
                <c:pt idx="294">
                  <c:v>-129.96199999999999</c:v>
                </c:pt>
                <c:pt idx="295">
                  <c:v>-129.73099999999999</c:v>
                </c:pt>
                <c:pt idx="296">
                  <c:v>-129.68299999999999</c:v>
                </c:pt>
                <c:pt idx="297">
                  <c:v>-129.64400000000001</c:v>
                </c:pt>
                <c:pt idx="298">
                  <c:v>-129.63</c:v>
                </c:pt>
                <c:pt idx="299">
                  <c:v>-129.62100000000001</c:v>
                </c:pt>
                <c:pt idx="300">
                  <c:v>-129.59</c:v>
                </c:pt>
                <c:pt idx="301">
                  <c:v>-129.61099999999999</c:v>
                </c:pt>
                <c:pt idx="302">
                  <c:v>-129.61699999999999</c:v>
                </c:pt>
                <c:pt idx="303">
                  <c:v>-129.57599999999999</c:v>
                </c:pt>
                <c:pt idx="304">
                  <c:v>-129.52799999999999</c:v>
                </c:pt>
                <c:pt idx="305">
                  <c:v>-129.44300000000001</c:v>
                </c:pt>
                <c:pt idx="306">
                  <c:v>-129.58500000000001</c:v>
                </c:pt>
                <c:pt idx="307">
                  <c:v>-129.61699999999999</c:v>
                </c:pt>
                <c:pt idx="308">
                  <c:v>-129.863</c:v>
                </c:pt>
                <c:pt idx="309">
                  <c:v>-130.31299999999999</c:v>
                </c:pt>
                <c:pt idx="310">
                  <c:v>-130.77099999999999</c:v>
                </c:pt>
                <c:pt idx="311">
                  <c:v>-131.42599999999999</c:v>
                </c:pt>
                <c:pt idx="312">
                  <c:v>-132.06399999999999</c:v>
                </c:pt>
                <c:pt idx="313">
                  <c:v>-132.62899999999999</c:v>
                </c:pt>
                <c:pt idx="314">
                  <c:v>-133.267</c:v>
                </c:pt>
                <c:pt idx="315">
                  <c:v>-133.959</c:v>
                </c:pt>
                <c:pt idx="316">
                  <c:v>-134.75200000000001</c:v>
                </c:pt>
                <c:pt idx="317">
                  <c:v>-135.72399999999999</c:v>
                </c:pt>
                <c:pt idx="318">
                  <c:v>-136.34200000000001</c:v>
                </c:pt>
                <c:pt idx="319">
                  <c:v>-136.816</c:v>
                </c:pt>
                <c:pt idx="320">
                  <c:v>-137.47</c:v>
                </c:pt>
                <c:pt idx="321">
                  <c:v>-137.46899999999999</c:v>
                </c:pt>
                <c:pt idx="322">
                  <c:v>-138.31200000000001</c:v>
                </c:pt>
                <c:pt idx="323">
                  <c:v>-140.114</c:v>
                </c:pt>
                <c:pt idx="324">
                  <c:v>-141.173</c:v>
                </c:pt>
                <c:pt idx="325">
                  <c:v>-141.86199999999999</c:v>
                </c:pt>
                <c:pt idx="326">
                  <c:v>-143.41399999999999</c:v>
                </c:pt>
                <c:pt idx="327">
                  <c:v>-144.279</c:v>
                </c:pt>
                <c:pt idx="328">
                  <c:v>-145.40799999999999</c:v>
                </c:pt>
                <c:pt idx="329">
                  <c:v>-146.886</c:v>
                </c:pt>
                <c:pt idx="330">
                  <c:v>-147.23699999999999</c:v>
                </c:pt>
                <c:pt idx="331">
                  <c:v>-148.923</c:v>
                </c:pt>
                <c:pt idx="332">
                  <c:v>-149.92099999999999</c:v>
                </c:pt>
                <c:pt idx="333">
                  <c:v>-151.101</c:v>
                </c:pt>
                <c:pt idx="334">
                  <c:v>-153.08699999999999</c:v>
                </c:pt>
                <c:pt idx="335">
                  <c:v>-154.70699999999999</c:v>
                </c:pt>
                <c:pt idx="336">
                  <c:v>-156.46</c:v>
                </c:pt>
                <c:pt idx="337">
                  <c:v>-158.77500000000001</c:v>
                </c:pt>
                <c:pt idx="338">
                  <c:v>-161.529</c:v>
                </c:pt>
                <c:pt idx="339">
                  <c:v>-163.59700000000001</c:v>
                </c:pt>
                <c:pt idx="340">
                  <c:v>-165.89599999999999</c:v>
                </c:pt>
                <c:pt idx="341">
                  <c:v>-168.07</c:v>
                </c:pt>
                <c:pt idx="342">
                  <c:v>-170.82400000000001</c:v>
                </c:pt>
                <c:pt idx="343">
                  <c:v>-173.35300000000001</c:v>
                </c:pt>
                <c:pt idx="344">
                  <c:v>-175.80699999999999</c:v>
                </c:pt>
                <c:pt idx="345">
                  <c:v>-177.72399999999999</c:v>
                </c:pt>
                <c:pt idx="346">
                  <c:v>-178.92099999999999</c:v>
                </c:pt>
                <c:pt idx="347">
                  <c:v>-181.99</c:v>
                </c:pt>
                <c:pt idx="348">
                  <c:v>-183.36099999999999</c:v>
                </c:pt>
                <c:pt idx="349">
                  <c:v>-186.209</c:v>
                </c:pt>
                <c:pt idx="350">
                  <c:v>-189.75</c:v>
                </c:pt>
                <c:pt idx="351">
                  <c:v>-192.398</c:v>
                </c:pt>
                <c:pt idx="352">
                  <c:v>-194.60300000000001</c:v>
                </c:pt>
                <c:pt idx="353">
                  <c:v>-197.85300000000001</c:v>
                </c:pt>
                <c:pt idx="354">
                  <c:v>-200.482</c:v>
                </c:pt>
                <c:pt idx="355">
                  <c:v>-203.33199999999999</c:v>
                </c:pt>
                <c:pt idx="356">
                  <c:v>-205.19499999999999</c:v>
                </c:pt>
                <c:pt idx="357">
                  <c:v>-207.41</c:v>
                </c:pt>
                <c:pt idx="358">
                  <c:v>-210.39400000000001</c:v>
                </c:pt>
                <c:pt idx="359">
                  <c:v>-213.04300000000001</c:v>
                </c:pt>
                <c:pt idx="360">
                  <c:v>-214.58500000000001</c:v>
                </c:pt>
                <c:pt idx="361">
                  <c:v>-217.34299999999999</c:v>
                </c:pt>
                <c:pt idx="362">
                  <c:v>-219.017</c:v>
                </c:pt>
                <c:pt idx="363">
                  <c:v>-221.39400000000001</c:v>
                </c:pt>
                <c:pt idx="364">
                  <c:v>-223.214</c:v>
                </c:pt>
                <c:pt idx="365">
                  <c:v>-225.053</c:v>
                </c:pt>
                <c:pt idx="366">
                  <c:v>-226.50200000000001</c:v>
                </c:pt>
                <c:pt idx="367">
                  <c:v>131.81700000000001</c:v>
                </c:pt>
                <c:pt idx="368">
                  <c:v>129.95699999999999</c:v>
                </c:pt>
                <c:pt idx="369">
                  <c:v>126.41800000000001</c:v>
                </c:pt>
                <c:pt idx="370">
                  <c:v>125.40900000000001</c:v>
                </c:pt>
                <c:pt idx="371">
                  <c:v>124.027</c:v>
                </c:pt>
                <c:pt idx="372">
                  <c:v>122.795</c:v>
                </c:pt>
                <c:pt idx="373">
                  <c:v>121.76300000000001</c:v>
                </c:pt>
                <c:pt idx="374">
                  <c:v>121.762</c:v>
                </c:pt>
                <c:pt idx="375">
                  <c:v>119.89400000000001</c:v>
                </c:pt>
                <c:pt idx="376">
                  <c:v>119.196</c:v>
                </c:pt>
                <c:pt idx="377">
                  <c:v>116.889</c:v>
                </c:pt>
                <c:pt idx="378">
                  <c:v>117.324</c:v>
                </c:pt>
                <c:pt idx="379">
                  <c:v>115.142</c:v>
                </c:pt>
                <c:pt idx="380">
                  <c:v>115.247</c:v>
                </c:pt>
                <c:pt idx="381">
                  <c:v>113.164</c:v>
                </c:pt>
                <c:pt idx="382">
                  <c:v>112.872</c:v>
                </c:pt>
                <c:pt idx="383">
                  <c:v>110.592</c:v>
                </c:pt>
                <c:pt idx="384">
                  <c:v>111.01300000000001</c:v>
                </c:pt>
                <c:pt idx="385">
                  <c:v>109.21</c:v>
                </c:pt>
                <c:pt idx="386">
                  <c:v>107.553</c:v>
                </c:pt>
                <c:pt idx="387">
                  <c:v>107.324</c:v>
                </c:pt>
                <c:pt idx="388">
                  <c:v>105.50700000000001</c:v>
                </c:pt>
                <c:pt idx="389">
                  <c:v>105.28700000000001</c:v>
                </c:pt>
                <c:pt idx="390">
                  <c:v>105.286</c:v>
                </c:pt>
                <c:pt idx="391">
                  <c:v>105.187</c:v>
                </c:pt>
                <c:pt idx="392">
                  <c:v>104.541</c:v>
                </c:pt>
                <c:pt idx="393">
                  <c:v>103.205</c:v>
                </c:pt>
                <c:pt idx="394">
                  <c:v>103.91</c:v>
                </c:pt>
                <c:pt idx="395">
                  <c:v>102.337</c:v>
                </c:pt>
                <c:pt idx="396">
                  <c:v>100.33499999999999</c:v>
                </c:pt>
                <c:pt idx="397">
                  <c:v>100.20399999999999</c:v>
                </c:pt>
                <c:pt idx="398">
                  <c:v>99.956599999999995</c:v>
                </c:pt>
                <c:pt idx="399">
                  <c:v>98.699600000000004</c:v>
                </c:pt>
              </c:numCache>
            </c:numRef>
          </c:yVal>
          <c:smooth val="0"/>
          <c:extLst>
            <c:ext xmlns:c16="http://schemas.microsoft.com/office/drawing/2014/chart" uri="{C3380CC4-5D6E-409C-BE32-E72D297353CC}">
              <c16:uniqueId val="{00000003-2A10-41EA-A3AE-967165122F16}"/>
            </c:ext>
          </c:extLst>
        </c:ser>
        <c:dLbls>
          <c:showLegendKey val="0"/>
          <c:showVal val="0"/>
          <c:showCatName val="0"/>
          <c:showSerName val="0"/>
          <c:showPercent val="0"/>
          <c:showBubbleSize val="0"/>
        </c:dLbls>
        <c:axId val="176943488"/>
        <c:axId val="176945024"/>
      </c:scatterChart>
      <c:valAx>
        <c:axId val="176934912"/>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297177526722869"/>
              <c:y val="0.88311797388962088"/>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37216"/>
        <c:crossesAt val="-80"/>
        <c:crossBetween val="midCat"/>
      </c:valAx>
      <c:valAx>
        <c:axId val="176937216"/>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797101449275412E-2"/>
              <c:y val="0.441558986944818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34912"/>
        <c:crosses val="autoZero"/>
        <c:crossBetween val="midCat"/>
      </c:valAx>
      <c:valAx>
        <c:axId val="176943488"/>
        <c:scaling>
          <c:logBase val="10"/>
          <c:orientation val="minMax"/>
        </c:scaling>
        <c:delete val="1"/>
        <c:axPos val="b"/>
        <c:numFmt formatCode="General" sourceLinked="1"/>
        <c:majorTickMark val="out"/>
        <c:minorTickMark val="none"/>
        <c:tickLblPos val="none"/>
        <c:crossAx val="176945024"/>
        <c:crosses val="autoZero"/>
        <c:crossBetween val="midCat"/>
      </c:valAx>
      <c:valAx>
        <c:axId val="176945024"/>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71185667010505"/>
              <c:y val="0.3662343116201382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43488"/>
        <c:crosses val="max"/>
        <c:crossBetween val="midCat"/>
      </c:valAx>
      <c:spPr>
        <a:noFill/>
        <a:ln w="12700">
          <a:solidFill>
            <a:srgbClr val="808080"/>
          </a:solidFill>
          <a:prstDash val="solid"/>
        </a:ln>
      </c:spPr>
    </c:plotArea>
    <c:legend>
      <c:legendPos val="t"/>
      <c:layout>
        <c:manualLayout>
          <c:xMode val="edge"/>
          <c:yMode val="edge"/>
          <c:x val="0.70471147628286246"/>
          <c:y val="1.2987012987012988E-2"/>
          <c:w val="0.275362889421434"/>
          <c:h val="0.14545481814773328"/>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 MOSFET Temp Rise</a:t>
            </a:r>
          </a:p>
        </c:rich>
      </c:tx>
      <c:layout>
        <c:manualLayout>
          <c:xMode val="edge"/>
          <c:yMode val="edge"/>
          <c:x val="0.42444773564332877"/>
          <c:y val="5.7239057239057242E-2"/>
        </c:manualLayout>
      </c:layout>
      <c:overlay val="0"/>
      <c:spPr>
        <a:noFill/>
        <a:ln w="25400">
          <a:noFill/>
        </a:ln>
      </c:spPr>
    </c:title>
    <c:autoTitleDeleted val="0"/>
    <c:plotArea>
      <c:layout>
        <c:manualLayout>
          <c:layoutTarget val="inner"/>
          <c:xMode val="edge"/>
          <c:yMode val="edge"/>
          <c:x val="0.13531808670268541"/>
          <c:y val="0.15757606845026306"/>
          <c:w val="0.84573804189178381"/>
          <c:h val="0.71717313204926625"/>
        </c:manualLayout>
      </c:layout>
      <c:scatterChart>
        <c:scatterStyle val="lineMarker"/>
        <c:varyColors val="0"/>
        <c:ser>
          <c:idx val="0"/>
          <c:order val="0"/>
          <c:tx>
            <c:v>Top FET</c:v>
          </c:tx>
          <c:spPr>
            <a:ln w="38100">
              <a:solidFill>
                <a:srgbClr val="00008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Calculations'!$AR$9:$AR$209</c:f>
              <c:numCache>
                <c:formatCode>0.0</c:formatCode>
                <c:ptCount val="201"/>
                <c:pt idx="0">
                  <c:v>1.9882496631849835</c:v>
                </c:pt>
                <c:pt idx="1">
                  <c:v>2.0322010709025085</c:v>
                </c:pt>
                <c:pt idx="2">
                  <c:v>2.0762682339964296</c:v>
                </c:pt>
                <c:pt idx="3">
                  <c:v>2.1204512358729954</c:v>
                </c:pt>
                <c:pt idx="4">
                  <c:v>2.3991318399897068</c:v>
                </c:pt>
                <c:pt idx="5">
                  <c:v>2.7093199749211827</c:v>
                </c:pt>
                <c:pt idx="6">
                  <c:v>3.019625658455428</c:v>
                </c:pt>
                <c:pt idx="7">
                  <c:v>3.3300493418034587</c:v>
                </c:pt>
                <c:pt idx="8">
                  <c:v>3.6405914766172804</c:v>
                </c:pt>
                <c:pt idx="9">
                  <c:v>3.9512525149920883</c:v>
                </c:pt>
                <c:pt idx="10">
                  <c:v>4.2620329094684637</c:v>
                </c:pt>
                <c:pt idx="11">
                  <c:v>4.5729331130345612</c:v>
                </c:pt>
                <c:pt idx="12">
                  <c:v>4.8839535791283053</c:v>
                </c:pt>
                <c:pt idx="13">
                  <c:v>5.1950947616396039</c:v>
                </c:pt>
                <c:pt idx="14">
                  <c:v>5.5063571149125554</c:v>
                </c:pt>
                <c:pt idx="15">
                  <c:v>5.8177410937476441</c:v>
                </c:pt>
                <c:pt idx="16">
                  <c:v>6.1292471534039858</c:v>
                </c:pt>
                <c:pt idx="17">
                  <c:v>6.4408757496015152</c:v>
                </c:pt>
                <c:pt idx="18">
                  <c:v>6.7526273385232303</c:v>
                </c:pt>
                <c:pt idx="19">
                  <c:v>7.0645023768174093</c:v>
                </c:pt>
                <c:pt idx="20">
                  <c:v>7.3765013215998598</c:v>
                </c:pt>
                <c:pt idx="21">
                  <c:v>7.6886246304561281</c:v>
                </c:pt>
                <c:pt idx="22">
                  <c:v>8.0008727614437678</c:v>
                </c:pt>
                <c:pt idx="23">
                  <c:v>8.3132461730945586</c:v>
                </c:pt>
                <c:pt idx="24">
                  <c:v>8.6257453244167763</c:v>
                </c:pt>
                <c:pt idx="25">
                  <c:v>8.9383706748974294</c:v>
                </c:pt>
                <c:pt idx="26">
                  <c:v>9.2511226845045371</c:v>
                </c:pt>
                <c:pt idx="27">
                  <c:v>9.5640018136893659</c:v>
                </c:pt>
                <c:pt idx="28">
                  <c:v>9.8770085233887119</c:v>
                </c:pt>
                <c:pt idx="29">
                  <c:v>10.190143275027165</c:v>
                </c:pt>
                <c:pt idx="30">
                  <c:v>10.503406530519385</c:v>
                </c:pt>
                <c:pt idx="31">
                  <c:v>10.661133279650322</c:v>
                </c:pt>
                <c:pt idx="32">
                  <c:v>10.777362905823693</c:v>
                </c:pt>
                <c:pt idx="33">
                  <c:v>10.893716440619734</c:v>
                </c:pt>
                <c:pt idx="34">
                  <c:v>11.010194074140763</c:v>
                </c:pt>
                <c:pt idx="35">
                  <c:v>11.126795996886244</c:v>
                </c:pt>
                <c:pt idx="36">
                  <c:v>11.24352239975383</c:v>
                </c:pt>
                <c:pt idx="37">
                  <c:v>11.360373474040365</c:v>
                </c:pt>
                <c:pt idx="38">
                  <c:v>11.477349411442924</c:v>
                </c:pt>
                <c:pt idx="39">
                  <c:v>11.594450404059842</c:v>
                </c:pt>
                <c:pt idx="40">
                  <c:v>11.711676644391753</c:v>
                </c:pt>
                <c:pt idx="41">
                  <c:v>11.829028325342613</c:v>
                </c:pt>
                <c:pt idx="42">
                  <c:v>11.946505640220767</c:v>
                </c:pt>
                <c:pt idx="43">
                  <c:v>12.064108782739966</c:v>
                </c:pt>
                <c:pt idx="44">
                  <c:v>12.181837947020435</c:v>
                </c:pt>
                <c:pt idx="45">
                  <c:v>12.299693327589909</c:v>
                </c:pt>
                <c:pt idx="46">
                  <c:v>12.417675119384702</c:v>
                </c:pt>
                <c:pt idx="47">
                  <c:v>12.535783517750748</c:v>
                </c:pt>
                <c:pt idx="48">
                  <c:v>12.654018718444679</c:v>
                </c:pt>
                <c:pt idx="49">
                  <c:v>12.772380917634877</c:v>
                </c:pt>
                <c:pt idx="50">
                  <c:v>12.890870311902544</c:v>
                </c:pt>
                <c:pt idx="51">
                  <c:v>13.009487098242777</c:v>
                </c:pt>
                <c:pt idx="52">
                  <c:v>13.128231474065643</c:v>
                </c:pt>
                <c:pt idx="53">
                  <c:v>13.247103637197247</c:v>
                </c:pt>
                <c:pt idx="54">
                  <c:v>13.366103785880822</c:v>
                </c:pt>
                <c:pt idx="55">
                  <c:v>13.485232118777812</c:v>
                </c:pt>
                <c:pt idx="56">
                  <c:v>13.604488834968961</c:v>
                </c:pt>
                <c:pt idx="57">
                  <c:v>13.7238741339554</c:v>
                </c:pt>
                <c:pt idx="58">
                  <c:v>13.843388215659742</c:v>
                </c:pt>
                <c:pt idx="59">
                  <c:v>13.963031280427193</c:v>
                </c:pt>
                <c:pt idx="60">
                  <c:v>14.082803529026631</c:v>
                </c:pt>
                <c:pt idx="61">
                  <c:v>14.202705162651732</c:v>
                </c:pt>
                <c:pt idx="62">
                  <c:v>14.322736382922066</c:v>
                </c:pt>
                <c:pt idx="63">
                  <c:v>14.442897391884216</c:v>
                </c:pt>
                <c:pt idx="64">
                  <c:v>14.563188392012894</c:v>
                </c:pt>
                <c:pt idx="65">
                  <c:v>14.683609586212054</c:v>
                </c:pt>
                <c:pt idx="66">
                  <c:v>14.804161177816018</c:v>
                </c:pt>
                <c:pt idx="67">
                  <c:v>14.92484337059061</c:v>
                </c:pt>
                <c:pt idx="68">
                  <c:v>15.045656368734276</c:v>
                </c:pt>
                <c:pt idx="69">
                  <c:v>15.166600376879213</c:v>
                </c:pt>
                <c:pt idx="70">
                  <c:v>15.287675600092529</c:v>
                </c:pt>
                <c:pt idx="71">
                  <c:v>15.408882243877361</c:v>
                </c:pt>
                <c:pt idx="72">
                  <c:v>15.530220514174031</c:v>
                </c:pt>
                <c:pt idx="73">
                  <c:v>15.651690617361178</c:v>
                </c:pt>
                <c:pt idx="74">
                  <c:v>15.77329276025694</c:v>
                </c:pt>
                <c:pt idx="75">
                  <c:v>15.895027150120091</c:v>
                </c:pt>
                <c:pt idx="76">
                  <c:v>16.016893994651188</c:v>
                </c:pt>
                <c:pt idx="77">
                  <c:v>16.138893501993753</c:v>
                </c:pt>
                <c:pt idx="78">
                  <c:v>16.261025880735435</c:v>
                </c:pt>
                <c:pt idx="79">
                  <c:v>16.383291339909189</c:v>
                </c:pt>
                <c:pt idx="80">
                  <c:v>16.50569008899442</c:v>
                </c:pt>
                <c:pt idx="81">
                  <c:v>16.628222337918192</c:v>
                </c:pt>
                <c:pt idx="82">
                  <c:v>16.750888297056399</c:v>
                </c:pt>
                <c:pt idx="83">
                  <c:v>16.873688177234943</c:v>
                </c:pt>
                <c:pt idx="84">
                  <c:v>16.99662218973095</c:v>
                </c:pt>
                <c:pt idx="85">
                  <c:v>17.119690546273901</c:v>
                </c:pt>
                <c:pt idx="86">
                  <c:v>17.242893459046915</c:v>
                </c:pt>
                <c:pt idx="87">
                  <c:v>17.36623114068788</c:v>
                </c:pt>
                <c:pt idx="88">
                  <c:v>17.489703804290684</c:v>
                </c:pt>
                <c:pt idx="89">
                  <c:v>17.613311663406442</c:v>
                </c:pt>
                <c:pt idx="90">
                  <c:v>17.737054932044661</c:v>
                </c:pt>
                <c:pt idx="91">
                  <c:v>17.86093382467449</c:v>
                </c:pt>
                <c:pt idx="92">
                  <c:v>17.984948556225941</c:v>
                </c:pt>
                <c:pt idx="93">
                  <c:v>18.109099342091103</c:v>
                </c:pt>
                <c:pt idx="94">
                  <c:v>18.233386398125376</c:v>
                </c:pt>
                <c:pt idx="95">
                  <c:v>18.357809940648682</c:v>
                </c:pt>
                <c:pt idx="96">
                  <c:v>18.48237018644673</c:v>
                </c:pt>
                <c:pt idx="97">
                  <c:v>18.607067352772248</c:v>
                </c:pt>
                <c:pt idx="98">
                  <c:v>18.73190165734621</c:v>
                </c:pt>
                <c:pt idx="99">
                  <c:v>18.856873318359099</c:v>
                </c:pt>
                <c:pt idx="100">
                  <c:v>18.981982554472165</c:v>
                </c:pt>
                <c:pt idx="101">
                  <c:v>19.107229584818654</c:v>
                </c:pt>
                <c:pt idx="102">
                  <c:v>19.232614629005106</c:v>
                </c:pt>
                <c:pt idx="103">
                  <c:v>19.358137907112578</c:v>
                </c:pt>
                <c:pt idx="104">
                  <c:v>19.483799639697946</c:v>
                </c:pt>
                <c:pt idx="105">
                  <c:v>19.609600047795158</c:v>
                </c:pt>
                <c:pt idx="106">
                  <c:v>19.735539352916518</c:v>
                </c:pt>
                <c:pt idx="107">
                  <c:v>19.861617777053958</c:v>
                </c:pt>
                <c:pt idx="108">
                  <c:v>19.98783554268034</c:v>
                </c:pt>
                <c:pt idx="109">
                  <c:v>20.114192872750724</c:v>
                </c:pt>
                <c:pt idx="110">
                  <c:v>20.240689990703682</c:v>
                </c:pt>
                <c:pt idx="111">
                  <c:v>20.367327120462562</c:v>
                </c:pt>
                <c:pt idx="112">
                  <c:v>20.494104486436836</c:v>
                </c:pt>
                <c:pt idx="113">
                  <c:v>20.621022313523355</c:v>
                </c:pt>
                <c:pt idx="114">
                  <c:v>20.748080827107714</c:v>
                </c:pt>
                <c:pt idx="115">
                  <c:v>20.875280253065508</c:v>
                </c:pt>
                <c:pt idx="116">
                  <c:v>21.002620817763699</c:v>
                </c:pt>
                <c:pt idx="117">
                  <c:v>21.130102748061912</c:v>
                </c:pt>
                <c:pt idx="118">
                  <c:v>21.257726271313761</c:v>
                </c:pt>
                <c:pt idx="119">
                  <c:v>21.385491615368192</c:v>
                </c:pt>
                <c:pt idx="120">
                  <c:v>21.513399008570818</c:v>
                </c:pt>
                <c:pt idx="121">
                  <c:v>21.641448679765261</c:v>
                </c:pt>
                <c:pt idx="122">
                  <c:v>21.769640858294466</c:v>
                </c:pt>
                <c:pt idx="123">
                  <c:v>21.897975774002106</c:v>
                </c:pt>
                <c:pt idx="124">
                  <c:v>22.026453657233876</c:v>
                </c:pt>
                <c:pt idx="125">
                  <c:v>22.155074738838902</c:v>
                </c:pt>
                <c:pt idx="126">
                  <c:v>22.283839250171049</c:v>
                </c:pt>
                <c:pt idx="127">
                  <c:v>22.412747423090352</c:v>
                </c:pt>
                <c:pt idx="128">
                  <c:v>22.54179948996433</c:v>
                </c:pt>
                <c:pt idx="129">
                  <c:v>22.670995683669389</c:v>
                </c:pt>
                <c:pt idx="130">
                  <c:v>22.800336237592195</c:v>
                </c:pt>
                <c:pt idx="131">
                  <c:v>22.929821385631069</c:v>
                </c:pt>
                <c:pt idx="132">
                  <c:v>23.059451362197354</c:v>
                </c:pt>
                <c:pt idx="133">
                  <c:v>23.189226402216832</c:v>
                </c:pt>
                <c:pt idx="134">
                  <c:v>23.319146741131121</c:v>
                </c:pt>
                <c:pt idx="135">
                  <c:v>23.449212614899036</c:v>
                </c:pt>
                <c:pt idx="136">
                  <c:v>23.57942425999806</c:v>
                </c:pt>
                <c:pt idx="137">
                  <c:v>23.709781913425719</c:v>
                </c:pt>
                <c:pt idx="138">
                  <c:v>23.840285812700994</c:v>
                </c:pt>
                <c:pt idx="139">
                  <c:v>23.970936195865768</c:v>
                </c:pt>
                <c:pt idx="140">
                  <c:v>24.101733301486217</c:v>
                </c:pt>
                <c:pt idx="141">
                  <c:v>24.232677368654283</c:v>
                </c:pt>
                <c:pt idx="142">
                  <c:v>24.363768636989086</c:v>
                </c:pt>
                <c:pt idx="143">
                  <c:v>24.495007346638349</c:v>
                </c:pt>
                <c:pt idx="144">
                  <c:v>24.626393738279866</c:v>
                </c:pt>
                <c:pt idx="145">
                  <c:v>24.757928053122942</c:v>
                </c:pt>
                <c:pt idx="146">
                  <c:v>24.88961053290987</c:v>
                </c:pt>
                <c:pt idx="147">
                  <c:v>25.021441419917352</c:v>
                </c:pt>
                <c:pt idx="148">
                  <c:v>25.153420956957973</c:v>
                </c:pt>
                <c:pt idx="149">
                  <c:v>25.285549387381717</c:v>
                </c:pt>
                <c:pt idx="150">
                  <c:v>25.417826955077359</c:v>
                </c:pt>
                <c:pt idx="151">
                  <c:v>25.550253904474019</c:v>
                </c:pt>
                <c:pt idx="152">
                  <c:v>25.682830480542595</c:v>
                </c:pt>
                <c:pt idx="153">
                  <c:v>25.815556928797278</c:v>
                </c:pt>
                <c:pt idx="154">
                  <c:v>25.948433495297053</c:v>
                </c:pt>
                <c:pt idx="155">
                  <c:v>26.081460426647148</c:v>
                </c:pt>
                <c:pt idx="156">
                  <c:v>26.214637970000602</c:v>
                </c:pt>
                <c:pt idx="157">
                  <c:v>26.347966373059752</c:v>
                </c:pt>
                <c:pt idx="158">
                  <c:v>26.481445884077694</c:v>
                </c:pt>
                <c:pt idx="159">
                  <c:v>26.615076751859888</c:v>
                </c:pt>
                <c:pt idx="160">
                  <c:v>26.748859225765624</c:v>
                </c:pt>
                <c:pt idx="161">
                  <c:v>26.882793555709554</c:v>
                </c:pt>
                <c:pt idx="162">
                  <c:v>27.016879992163272</c:v>
                </c:pt>
                <c:pt idx="163">
                  <c:v>27.151118786156768</c:v>
                </c:pt>
                <c:pt idx="164">
                  <c:v>27.285510189280078</c:v>
                </c:pt>
                <c:pt idx="165">
                  <c:v>27.420054453684738</c:v>
                </c:pt>
                <c:pt idx="166">
                  <c:v>27.554751832085405</c:v>
                </c:pt>
                <c:pt idx="167">
                  <c:v>27.689602577761345</c:v>
                </c:pt>
                <c:pt idx="168">
                  <c:v>27.824606944558099</c:v>
                </c:pt>
                <c:pt idx="169">
                  <c:v>27.959765186888969</c:v>
                </c:pt>
                <c:pt idx="170">
                  <c:v>28.095077559736609</c:v>
                </c:pt>
                <c:pt idx="171">
                  <c:v>28.230544318654648</c:v>
                </c:pt>
                <c:pt idx="172">
                  <c:v>28.36616571976921</c:v>
                </c:pt>
                <c:pt idx="173">
                  <c:v>28.501942019780564</c:v>
                </c:pt>
                <c:pt idx="174">
                  <c:v>28.637873475964692</c:v>
                </c:pt>
                <c:pt idx="175">
                  <c:v>28.773960346174889</c:v>
                </c:pt>
                <c:pt idx="176">
                  <c:v>28.91020288884339</c:v>
                </c:pt>
                <c:pt idx="177">
                  <c:v>29.046601362982944</c:v>
                </c:pt>
                <c:pt idx="178">
                  <c:v>29.183156028188488</c:v>
                </c:pt>
                <c:pt idx="179">
                  <c:v>29.319867144638721</c:v>
                </c:pt>
                <c:pt idx="180">
                  <c:v>29.45673497309776</c:v>
                </c:pt>
                <c:pt idx="181">
                  <c:v>29.593759774916766</c:v>
                </c:pt>
                <c:pt idx="182">
                  <c:v>29.730941812035567</c:v>
                </c:pt>
                <c:pt idx="183">
                  <c:v>29.86828134698435</c:v>
                </c:pt>
                <c:pt idx="184">
                  <c:v>30.005778642885257</c:v>
                </c:pt>
                <c:pt idx="185">
                  <c:v>30.143433963454086</c:v>
                </c:pt>
                <c:pt idx="186">
                  <c:v>30.281247573001924</c:v>
                </c:pt>
                <c:pt idx="187">
                  <c:v>30.41921973643683</c:v>
                </c:pt>
                <c:pt idx="188">
                  <c:v>30.557350719265497</c:v>
                </c:pt>
                <c:pt idx="189">
                  <c:v>30.695640787594954</c:v>
                </c:pt>
                <c:pt idx="190">
                  <c:v>30.834090208134214</c:v>
                </c:pt>
                <c:pt idx="191">
                  <c:v>30.972699248196012</c:v>
                </c:pt>
                <c:pt idx="192">
                  <c:v>31.111468175698448</c:v>
                </c:pt>
                <c:pt idx="193">
                  <c:v>31.250397259166736</c:v>
                </c:pt>
                <c:pt idx="194">
                  <c:v>31.389486767734876</c:v>
                </c:pt>
                <c:pt idx="195">
                  <c:v>31.528736971147381</c:v>
                </c:pt>
                <c:pt idx="196">
                  <c:v>31.668148139761037</c:v>
                </c:pt>
                <c:pt idx="197">
                  <c:v>31.807720544546541</c:v>
                </c:pt>
                <c:pt idx="198">
                  <c:v>31.947454457090309</c:v>
                </c:pt>
                <c:pt idx="199">
                  <c:v>32.087350149596162</c:v>
                </c:pt>
                <c:pt idx="200">
                  <c:v>32.227407894887129</c:v>
                </c:pt>
              </c:numCache>
            </c:numRef>
          </c:yVal>
          <c:smooth val="0"/>
          <c:extLst>
            <c:ext xmlns:c16="http://schemas.microsoft.com/office/drawing/2014/chart" uri="{C3380CC4-5D6E-409C-BE32-E72D297353CC}">
              <c16:uniqueId val="{00000000-9EA1-4F4F-9ACD-6AF9DCA0F73F}"/>
            </c:ext>
          </c:extLst>
        </c:ser>
        <c:ser>
          <c:idx val="1"/>
          <c:order val="1"/>
          <c:tx>
            <c:v>Bottom FET</c:v>
          </c:tx>
          <c:spPr>
            <a:ln w="25400">
              <a:solidFill>
                <a:srgbClr val="FF000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Calculations'!$AS$9:$AS$209</c:f>
              <c:numCache>
                <c:formatCode>0.0</c:formatCode>
                <c:ptCount val="201"/>
                <c:pt idx="0">
                  <c:v>0.39017809039166562</c:v>
                </c:pt>
                <c:pt idx="1">
                  <c:v>0.40122219575818791</c:v>
                </c:pt>
                <c:pt idx="2">
                  <c:v>0.41269236103751611</c:v>
                </c:pt>
                <c:pt idx="3">
                  <c:v>0.42458862575453182</c:v>
                </c:pt>
                <c:pt idx="4">
                  <c:v>0.43691103377999313</c:v>
                </c:pt>
                <c:pt idx="5">
                  <c:v>0.44965963333099257</c:v>
                </c:pt>
                <c:pt idx="6">
                  <c:v>0.46283447697153085</c:v>
                </c:pt>
                <c:pt idx="7">
                  <c:v>0.47643562161319464</c:v>
                </c:pt>
                <c:pt idx="8">
                  <c:v>0.49046312851595014</c:v>
                </c:pt>
                <c:pt idx="9">
                  <c:v>0.5049170632890474</c:v>
                </c:pt>
                <c:pt idx="10">
                  <c:v>0.51979749589203195</c:v>
                </c:pt>
                <c:pt idx="11">
                  <c:v>0.53510450063587189</c:v>
                </c:pt>
                <c:pt idx="12">
                  <c:v>0.55083815618419285</c:v>
                </c:pt>
                <c:pt idx="13">
                  <c:v>0.56699854555462481</c:v>
                </c:pt>
                <c:pt idx="14">
                  <c:v>0.5835857561202602</c:v>
                </c:pt>
                <c:pt idx="15">
                  <c:v>0.60059987961122419</c:v>
                </c:pt>
                <c:pt idx="16">
                  <c:v>0.61804101211635321</c:v>
                </c:pt>
                <c:pt idx="17">
                  <c:v>0.63590925408498866</c:v>
                </c:pt>
                <c:pt idx="18">
                  <c:v>0.6542047103288785</c:v>
                </c:pt>
                <c:pt idx="19">
                  <c:v>0.67292749002419183</c:v>
                </c:pt>
                <c:pt idx="20">
                  <c:v>0.69207770671364499</c:v>
                </c:pt>
                <c:pt idx="21">
                  <c:v>0.71165547830873932</c:v>
                </c:pt>
                <c:pt idx="22">
                  <c:v>0.73166092709210984</c:v>
                </c:pt>
                <c:pt idx="23">
                  <c:v>0.75209417971998593</c:v>
                </c:pt>
                <c:pt idx="24">
                  <c:v>0.77295536722476454</c:v>
                </c:pt>
                <c:pt idx="25">
                  <c:v>0.79424462501769522</c:v>
                </c:pt>
                <c:pt idx="26">
                  <c:v>0.81596209289167554</c:v>
                </c:pt>
                <c:pt idx="27">
                  <c:v>0.8381079150241616</c:v>
                </c:pt>
                <c:pt idx="28">
                  <c:v>0.86068223998018789</c:v>
                </c:pt>
                <c:pt idx="29">
                  <c:v>0.88368522071550237</c:v>
                </c:pt>
                <c:pt idx="30">
                  <c:v>0.9071170145798122</c:v>
                </c:pt>
                <c:pt idx="31">
                  <c:v>0.93949184919979623</c:v>
                </c:pt>
                <c:pt idx="32">
                  <c:v>0.97457332875676927</c:v>
                </c:pt>
                <c:pt idx="33">
                  <c:v>1.0100853285571085</c:v>
                </c:pt>
                <c:pt idx="34">
                  <c:v>1.0460280788096668</c:v>
                </c:pt>
                <c:pt idx="35">
                  <c:v>1.0824018141566403</c:v>
                </c:pt>
                <c:pt idx="36">
                  <c:v>1.119206773678439</c:v>
                </c:pt>
                <c:pt idx="37">
                  <c:v>1.1564432008986694</c:v>
                </c:pt>
                <c:pt idx="38">
                  <c:v>1.1941113437892357</c:v>
                </c:pt>
                <c:pt idx="39">
                  <c:v>1.2322114547755494</c:v>
                </c:pt>
                <c:pt idx="40">
                  <c:v>1.2707437907418642</c:v>
                </c:pt>
                <c:pt idx="41">
                  <c:v>1.3097086130367128</c:v>
                </c:pt>
                <c:pt idx="42">
                  <c:v>1.3491061874784736</c:v>
                </c:pt>
                <c:pt idx="43">
                  <c:v>1.388936784361041</c:v>
                </c:pt>
                <c:pt idx="44">
                  <c:v>1.4292006784596207</c:v>
                </c:pt>
                <c:pt idx="45">
                  <c:v>1.4698981490366352</c:v>
                </c:pt>
                <c:pt idx="46">
                  <c:v>1.5110294798477493</c:v>
                </c:pt>
                <c:pt idx="47">
                  <c:v>1.5525949591480115</c:v>
                </c:pt>
                <c:pt idx="48">
                  <c:v>1.5945948796981129</c:v>
                </c:pt>
                <c:pt idx="49">
                  <c:v>1.6370295387707618</c:v>
                </c:pt>
                <c:pt idx="50">
                  <c:v>1.6798992381571776</c:v>
                </c:pt>
                <c:pt idx="51">
                  <c:v>1.723204284173703</c:v>
                </c:pt>
                <c:pt idx="52">
                  <c:v>1.7669449876685328</c:v>
                </c:pt>
                <c:pt idx="53">
                  <c:v>1.8111216640285619</c:v>
                </c:pt>
                <c:pt idx="54">
                  <c:v>1.8557346331863536</c:v>
                </c:pt>
                <c:pt idx="55">
                  <c:v>1.9007842196272235</c:v>
                </c:pt>
                <c:pt idx="56">
                  <c:v>1.9462707523964475</c:v>
                </c:pt>
                <c:pt idx="57">
                  <c:v>1.9921945651065858</c:v>
                </c:pt>
                <c:pt idx="58">
                  <c:v>2.0385559959449271</c:v>
                </c:pt>
                <c:pt idx="59">
                  <c:v>2.0853553876810582</c:v>
                </c:pt>
                <c:pt idx="60">
                  <c:v>2.1325930876745458</c:v>
                </c:pt>
                <c:pt idx="61">
                  <c:v>2.1802694478827487</c:v>
                </c:pt>
                <c:pt idx="62">
                  <c:v>2.2283848248687428</c:v>
                </c:pt>
                <c:pt idx="63">
                  <c:v>2.2769395798093743</c:v>
                </c:pt>
                <c:pt idx="64">
                  <c:v>2.3259340785034346</c:v>
                </c:pt>
                <c:pt idx="65">
                  <c:v>2.3753686913799519</c:v>
                </c:pt>
                <c:pt idx="66">
                  <c:v>2.4252437935066111</c:v>
                </c:pt>
                <c:pt idx="67">
                  <c:v>2.4755597645982999</c:v>
                </c:pt>
                <c:pt idx="68">
                  <c:v>2.5263169890257662</c:v>
                </c:pt>
                <c:pt idx="69">
                  <c:v>2.5775158558244153</c:v>
                </c:pt>
                <c:pt idx="70">
                  <c:v>2.6291567587032203</c:v>
                </c:pt>
                <c:pt idx="71">
                  <c:v>2.6812400960537608</c:v>
                </c:pt>
                <c:pt idx="72">
                  <c:v>2.7337662709593884</c:v>
                </c:pt>
                <c:pt idx="73">
                  <c:v>2.7867356912045156</c:v>
                </c:pt>
                <c:pt idx="74">
                  <c:v>2.8401487692840313</c:v>
                </c:pt>
                <c:pt idx="75">
                  <c:v>2.8940059224128474</c:v>
                </c:pt>
                <c:pt idx="76">
                  <c:v>2.9483075725355627</c:v>
                </c:pt>
                <c:pt idx="77">
                  <c:v>3.0030541463362619</c:v>
                </c:pt>
                <c:pt idx="78">
                  <c:v>3.0582460752484431</c:v>
                </c:pt>
                <c:pt idx="79">
                  <c:v>3.1138837954650675</c:v>
                </c:pt>
                <c:pt idx="80">
                  <c:v>3.169967747948744</c:v>
                </c:pt>
                <c:pt idx="81">
                  <c:v>3.2264983784420367</c:v>
                </c:pt>
                <c:pt idx="82">
                  <c:v>3.2834761374779093</c:v>
                </c:pt>
                <c:pt idx="83">
                  <c:v>3.3409014803902974</c:v>
                </c:pt>
                <c:pt idx="84">
                  <c:v>3.3987748673248075</c:v>
                </c:pt>
                <c:pt idx="85">
                  <c:v>3.4570967632495466</c:v>
                </c:pt>
                <c:pt idx="86">
                  <c:v>3.5158676379660982</c:v>
                </c:pt>
                <c:pt idx="87">
                  <c:v>3.5750879661206074</c:v>
                </c:pt>
                <c:pt idx="88">
                  <c:v>3.6347582272150194</c:v>
                </c:pt>
                <c:pt idx="89">
                  <c:v>3.6948789056184337</c:v>
                </c:pt>
                <c:pt idx="90">
                  <c:v>3.7554504905786121</c:v>
                </c:pt>
                <c:pt idx="91">
                  <c:v>3.8164734762335986</c:v>
                </c:pt>
                <c:pt idx="92">
                  <c:v>3.8779483616234964</c:v>
                </c:pt>
                <c:pt idx="93">
                  <c:v>3.9398756507023576</c:v>
                </c:pt>
                <c:pt idx="94">
                  <c:v>4.0022558523502303</c:v>
                </c:pt>
                <c:pt idx="95">
                  <c:v>4.0650894803853257</c:v>
                </c:pt>
                <c:pt idx="96">
                  <c:v>4.1283770535763367</c:v>
                </c:pt>
                <c:pt idx="97">
                  <c:v>4.1921190956548768</c:v>
                </c:pt>
                <c:pt idx="98">
                  <c:v>4.2563161353280741</c:v>
                </c:pt>
                <c:pt idx="99">
                  <c:v>4.320968706291298</c:v>
                </c:pt>
                <c:pt idx="100">
                  <c:v>4.3860773472410193</c:v>
                </c:pt>
                <c:pt idx="101">
                  <c:v>4.4516426018878175</c:v>
                </c:pt>
                <c:pt idx="102">
                  <c:v>4.5176650189695318</c:v>
                </c:pt>
                <c:pt idx="103">
                  <c:v>4.5841451522645391</c:v>
                </c:pt>
                <c:pt idx="104">
                  <c:v>4.6510835606051932</c:v>
                </c:pt>
                <c:pt idx="105">
                  <c:v>4.718480807891388</c:v>
                </c:pt>
                <c:pt idx="106">
                  <c:v>4.7863374631042799</c:v>
                </c:pt>
                <c:pt idx="107">
                  <c:v>4.8546541003201433</c:v>
                </c:pt>
                <c:pt idx="108">
                  <c:v>4.923431298724374</c:v>
                </c:pt>
                <c:pt idx="109">
                  <c:v>4.9926696426256401</c:v>
                </c:pt>
                <c:pt idx="110">
                  <c:v>5.0623697214701737</c:v>
                </c:pt>
                <c:pt idx="111">
                  <c:v>5.1325321298562185</c:v>
                </c:pt>
                <c:pt idx="112">
                  <c:v>5.2031574675486043</c:v>
                </c:pt>
                <c:pt idx="113">
                  <c:v>5.2742463394935069</c:v>
                </c:pt>
                <c:pt idx="114">
                  <c:v>5.3457993558333099</c:v>
                </c:pt>
                <c:pt idx="115">
                  <c:v>5.4178171319216499</c:v>
                </c:pt>
                <c:pt idx="116">
                  <c:v>5.4903002883386076</c:v>
                </c:pt>
                <c:pt idx="117">
                  <c:v>5.5632494509060315</c:v>
                </c:pt>
                <c:pt idx="118">
                  <c:v>5.6366652507030262</c:v>
                </c:pt>
                <c:pt idx="119">
                  <c:v>5.7105483240816026</c:v>
                </c:pt>
                <c:pt idx="120">
                  <c:v>5.7848993126824624</c:v>
                </c:pt>
                <c:pt idx="121">
                  <c:v>5.8597188634509489</c:v>
                </c:pt>
                <c:pt idx="122">
                  <c:v>5.9350076286531399</c:v>
                </c:pt>
                <c:pt idx="123">
                  <c:v>6.0107662658921139</c:v>
                </c:pt>
                <c:pt idx="124">
                  <c:v>6.0869954381243625</c:v>
                </c:pt>
                <c:pt idx="125">
                  <c:v>6.1636958136763527</c:v>
                </c:pt>
                <c:pt idx="126">
                  <c:v>6.2408680662612639</c:v>
                </c:pt>
                <c:pt idx="127">
                  <c:v>6.3185128749958661</c:v>
                </c:pt>
                <c:pt idx="128">
                  <c:v>6.3966309244175736</c:v>
                </c:pt>
                <c:pt idx="129">
                  <c:v>6.4752229045016447</c:v>
                </c:pt>
                <c:pt idx="130">
                  <c:v>6.5542895106785588</c:v>
                </c:pt>
                <c:pt idx="131">
                  <c:v>6.6338314438515287</c:v>
                </c:pt>
                <c:pt idx="132">
                  <c:v>6.7138494104142143</c:v>
                </c:pt>
                <c:pt idx="133">
                  <c:v>6.7943441222685665</c:v>
                </c:pt>
                <c:pt idx="134">
                  <c:v>6.875316296842847</c:v>
                </c:pt>
                <c:pt idx="135">
                  <c:v>6.9567666571098181</c:v>
                </c:pt>
                <c:pt idx="136">
                  <c:v>7.0386959316050994</c:v>
                </c:pt>
                <c:pt idx="137">
                  <c:v>7.1211048544456812</c:v>
                </c:pt>
                <c:pt idx="138">
                  <c:v>7.203994165348619</c:v>
                </c:pt>
                <c:pt idx="139">
                  <c:v>7.2873646096498916</c:v>
                </c:pt>
                <c:pt idx="140">
                  <c:v>7.3712169383234132</c:v>
                </c:pt>
                <c:pt idx="141">
                  <c:v>7.4555519080002668</c:v>
                </c:pt>
                <c:pt idx="142">
                  <c:v>7.5403702809880322</c:v>
                </c:pt>
                <c:pt idx="143">
                  <c:v>7.6256728252903656</c:v>
                </c:pt>
                <c:pt idx="144">
                  <c:v>7.7114603146267058</c:v>
                </c:pt>
                <c:pt idx="145">
                  <c:v>7.7977335284521523</c:v>
                </c:pt>
                <c:pt idx="146">
                  <c:v>7.8844932519775703</c:v>
                </c:pt>
                <c:pt idx="147">
                  <c:v>7.9717402761897942</c:v>
                </c:pt>
                <c:pt idx="148">
                  <c:v>8.0594753978720846</c:v>
                </c:pt>
                <c:pt idx="149">
                  <c:v>8.1476994196247219</c:v>
                </c:pt>
                <c:pt idx="150">
                  <c:v>8.2364131498857827</c:v>
                </c:pt>
                <c:pt idx="151">
                  <c:v>8.3256174029521102</c:v>
                </c:pt>
                <c:pt idx="152">
                  <c:v>8.4153129990004736</c:v>
                </c:pt>
                <c:pt idx="153">
                  <c:v>8.5055007641088665</c:v>
                </c:pt>
                <c:pt idx="154">
                  <c:v>8.5961815302780629</c:v>
                </c:pt>
                <c:pt idx="155">
                  <c:v>8.68735613545328</c:v>
                </c:pt>
                <c:pt idx="156">
                  <c:v>8.7790254235460861</c:v>
                </c:pt>
                <c:pt idx="157">
                  <c:v>8.8711902444564767</c:v>
                </c:pt>
                <c:pt idx="158">
                  <c:v>8.9638514540951295</c:v>
                </c:pt>
                <c:pt idx="159">
                  <c:v>9.057009914405862</c:v>
                </c:pt>
                <c:pt idx="160">
                  <c:v>9.1506664933882647</c:v>
                </c:pt>
                <c:pt idx="161">
                  <c:v>9.2448220651205624</c:v>
                </c:pt>
                <c:pt idx="162">
                  <c:v>9.3394775097826237</c:v>
                </c:pt>
                <c:pt idx="163">
                  <c:v>9.4346337136791991</c:v>
                </c:pt>
                <c:pt idx="164">
                  <c:v>9.5302915692633263</c:v>
                </c:pt>
                <c:pt idx="165">
                  <c:v>9.6264519751599753</c:v>
                </c:pt>
                <c:pt idx="166">
                  <c:v>9.7231158361898391</c:v>
                </c:pt>
                <c:pt idx="167">
                  <c:v>9.8202840633933608</c:v>
                </c:pt>
                <c:pt idx="168">
                  <c:v>9.9179575740549488</c:v>
                </c:pt>
                <c:pt idx="169">
                  <c:v>10.016137291727398</c:v>
                </c:pt>
                <c:pt idx="170">
                  <c:v>10.114824146256513</c:v>
                </c:pt>
                <c:pt idx="171">
                  <c:v>10.214019073805943</c:v>
                </c:pt>
                <c:pt idx="172">
                  <c:v>10.313723016882189</c:v>
                </c:pt>
                <c:pt idx="173">
                  <c:v>10.413936924359875</c:v>
                </c:pt>
                <c:pt idx="174">
                  <c:v>10.51466175150718</c:v>
                </c:pt>
                <c:pt idx="175">
                  <c:v>10.615898460011501</c:v>
                </c:pt>
                <c:pt idx="176">
                  <c:v>10.71764801800532</c:v>
                </c:pt>
                <c:pt idx="177">
                  <c:v>10.819911400092295</c:v>
                </c:pt>
                <c:pt idx="178">
                  <c:v>10.922689587373553</c:v>
                </c:pt>
                <c:pt idx="179">
                  <c:v>11.025983567474205</c:v>
                </c:pt>
                <c:pt idx="180">
                  <c:v>11.129794334570065</c:v>
                </c:pt>
                <c:pt idx="181">
                  <c:v>11.234122889414609</c:v>
                </c:pt>
                <c:pt idx="182">
                  <c:v>11.338970239366144</c:v>
                </c:pt>
                <c:pt idx="183">
                  <c:v>11.444337398415186</c:v>
                </c:pt>
                <c:pt idx="184">
                  <c:v>11.550225387212084</c:v>
                </c:pt>
                <c:pt idx="185">
                  <c:v>11.656635233094839</c:v>
                </c:pt>
                <c:pt idx="186">
                  <c:v>11.763567970117172</c:v>
                </c:pt>
                <c:pt idx="187">
                  <c:v>11.871024639076831</c:v>
                </c:pt>
                <c:pt idx="188">
                  <c:v>11.979006287544076</c:v>
                </c:pt>
                <c:pt idx="189">
                  <c:v>12.087513969890445</c:v>
                </c:pt>
                <c:pt idx="190">
                  <c:v>12.196548747317735</c:v>
                </c:pt>
                <c:pt idx="191">
                  <c:v>12.306111687887192</c:v>
                </c:pt>
                <c:pt idx="192">
                  <c:v>12.41620386654899</c:v>
                </c:pt>
                <c:pt idx="193">
                  <c:v>12.52682636517188</c:v>
                </c:pt>
                <c:pt idx="194">
                  <c:v>12.637980272573149</c:v>
                </c:pt>
                <c:pt idx="195">
                  <c:v>12.749666684548727</c:v>
                </c:pt>
                <c:pt idx="196">
                  <c:v>12.861886703903661</c:v>
                </c:pt>
                <c:pt idx="197">
                  <c:v>12.974641440482701</c:v>
                </c:pt>
                <c:pt idx="198">
                  <c:v>13.087932011201209</c:v>
                </c:pt>
                <c:pt idx="199">
                  <c:v>13.201759540076299</c:v>
                </c:pt>
                <c:pt idx="200">
                  <c:v>13.316125158258238</c:v>
                </c:pt>
              </c:numCache>
            </c:numRef>
          </c:yVal>
          <c:smooth val="0"/>
          <c:extLst>
            <c:ext xmlns:c16="http://schemas.microsoft.com/office/drawing/2014/chart" uri="{C3380CC4-5D6E-409C-BE32-E72D297353CC}">
              <c16:uniqueId val="{00000001-9EA1-4F4F-9ACD-6AF9DCA0F73F}"/>
            </c:ext>
          </c:extLst>
        </c:ser>
        <c:dLbls>
          <c:showLegendKey val="0"/>
          <c:showVal val="0"/>
          <c:showCatName val="0"/>
          <c:showSerName val="0"/>
          <c:showPercent val="0"/>
          <c:showBubbleSize val="0"/>
        </c:dLbls>
        <c:axId val="177513600"/>
        <c:axId val="177515520"/>
      </c:scatterChart>
      <c:valAx>
        <c:axId val="177513600"/>
        <c:scaling>
          <c:orientation val="minMax"/>
          <c:min val="0"/>
        </c:scaling>
        <c:delete val="0"/>
        <c:axPos val="b"/>
        <c:majorGridlines/>
        <c:title>
          <c:tx>
            <c:rich>
              <a:bodyPr/>
              <a:lstStyle/>
              <a:p>
                <a:pPr>
                  <a:defRPr sz="925" b="1" i="0" u="none" strike="noStrike" baseline="0">
                    <a:solidFill>
                      <a:srgbClr val="000000"/>
                    </a:solidFill>
                    <a:latin typeface="Arial"/>
                    <a:ea typeface="Arial"/>
                    <a:cs typeface="Arial"/>
                  </a:defRPr>
                </a:pPr>
                <a:r>
                  <a:rPr lang="en-US"/>
                  <a:t>Iout (A)</a:t>
                </a:r>
              </a:p>
            </c:rich>
          </c:tx>
          <c:layout>
            <c:manualLayout>
              <c:xMode val="edge"/>
              <c:yMode val="edge"/>
              <c:x val="0.52774047357748588"/>
              <c:y val="0.9353554442058379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77515520"/>
        <c:crosses val="autoZero"/>
        <c:crossBetween val="midCat"/>
      </c:valAx>
      <c:valAx>
        <c:axId val="177515520"/>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rgbClr val="000000"/>
                    </a:solidFill>
                    <a:latin typeface="Arial"/>
                    <a:ea typeface="Arial"/>
                    <a:cs typeface="Arial"/>
                  </a:defRPr>
                </a:pPr>
                <a:r>
                  <a:rPr lang="en-US"/>
                  <a:t>Temperature (°C)</a:t>
                </a:r>
              </a:p>
            </c:rich>
          </c:tx>
          <c:layout>
            <c:manualLayout>
              <c:xMode val="edge"/>
              <c:yMode val="edge"/>
              <c:x val="5.5931438881371219E-2"/>
              <c:y val="0.3797988281767809"/>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77513600"/>
        <c:crosses val="autoZero"/>
        <c:crossBetween val="midCat"/>
      </c:valAx>
      <c:spPr>
        <a:solidFill>
          <a:srgbClr val="C0C0C0"/>
        </a:solidFill>
        <a:ln w="12700">
          <a:solidFill>
            <a:srgbClr val="808080"/>
          </a:solidFill>
          <a:prstDash val="solid"/>
        </a:ln>
      </c:spPr>
    </c:plotArea>
    <c:legend>
      <c:legendPos val="t"/>
      <c:layout>
        <c:manualLayout>
          <c:xMode val="edge"/>
          <c:yMode val="edge"/>
          <c:x val="0.85385713118742423"/>
          <c:y val="1.0101010101010105E-2"/>
          <c:w val="0.14073085925152451"/>
          <c:h val="8.2828494922983206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 FET Power Disipation</a:t>
            </a:r>
          </a:p>
        </c:rich>
      </c:tx>
      <c:layout>
        <c:manualLayout>
          <c:xMode val="edge"/>
          <c:yMode val="edge"/>
          <c:x val="0.39872611464968688"/>
          <c:y val="3.0241935483871732E-2"/>
        </c:manualLayout>
      </c:layout>
      <c:overlay val="0"/>
      <c:spPr>
        <a:noFill/>
        <a:ln w="25400">
          <a:noFill/>
        </a:ln>
      </c:spPr>
    </c:title>
    <c:autoTitleDeleted val="0"/>
    <c:plotArea>
      <c:layout>
        <c:manualLayout>
          <c:layoutTarget val="inner"/>
          <c:xMode val="edge"/>
          <c:yMode val="edge"/>
          <c:x val="8.6624203821656268E-2"/>
          <c:y val="0.15927435034411094"/>
          <c:w val="0.8471337579617837"/>
          <c:h val="0.70362972493790654"/>
        </c:manualLayout>
      </c:layout>
      <c:scatterChart>
        <c:scatterStyle val="lineMarker"/>
        <c:varyColors val="0"/>
        <c:ser>
          <c:idx val="2"/>
          <c:order val="0"/>
          <c:tx>
            <c:v>Top FET</c:v>
          </c:tx>
          <c:spPr>
            <a:ln w="25400">
              <a:solidFill>
                <a:srgbClr val="00008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Calculations'!$AC$9:$AC$209</c:f>
              <c:numCache>
                <c:formatCode>0.0000</c:formatCode>
                <c:ptCount val="201"/>
                <c:pt idx="0">
                  <c:v>3.9764993263699672E-2</c:v>
                </c:pt>
                <c:pt idx="1">
                  <c:v>4.0644021418050173E-2</c:v>
                </c:pt>
                <c:pt idx="2">
                  <c:v>4.1525364679928595E-2</c:v>
                </c:pt>
                <c:pt idx="3">
                  <c:v>4.2409024717459907E-2</c:v>
                </c:pt>
                <c:pt idx="4">
                  <c:v>4.7982636799794136E-2</c:v>
                </c:pt>
                <c:pt idx="5">
                  <c:v>5.4186399498423653E-2</c:v>
                </c:pt>
                <c:pt idx="6">
                  <c:v>6.0392513169108555E-2</c:v>
                </c:pt>
                <c:pt idx="7">
                  <c:v>6.6600986836069173E-2</c:v>
                </c:pt>
                <c:pt idx="8">
                  <c:v>7.2811829532345607E-2</c:v>
                </c:pt>
                <c:pt idx="9">
                  <c:v>7.9025050299841762E-2</c:v>
                </c:pt>
                <c:pt idx="10">
                  <c:v>8.5240658189369281E-2</c:v>
                </c:pt>
                <c:pt idx="11">
                  <c:v>9.1458662260691229E-2</c:v>
                </c:pt>
                <c:pt idx="12">
                  <c:v>9.7679071582566099E-2</c:v>
                </c:pt>
                <c:pt idx="13">
                  <c:v>0.10390189523279209</c:v>
                </c:pt>
                <c:pt idx="14">
                  <c:v>0.1101271422982511</c:v>
                </c:pt>
                <c:pt idx="15">
                  <c:v>0.11635482187495289</c:v>
                </c:pt>
                <c:pt idx="16">
                  <c:v>0.12258494306807971</c:v>
                </c:pt>
                <c:pt idx="17">
                  <c:v>0.12881751499203031</c:v>
                </c:pt>
                <c:pt idx="18">
                  <c:v>0.1350525467704646</c:v>
                </c:pt>
                <c:pt idx="19">
                  <c:v>0.14129004753634819</c:v>
                </c:pt>
                <c:pt idx="20">
                  <c:v>0.1475300264319972</c:v>
                </c:pt>
                <c:pt idx="21">
                  <c:v>0.15377249260912257</c:v>
                </c:pt>
                <c:pt idx="22">
                  <c:v>0.16001745522887537</c:v>
                </c:pt>
                <c:pt idx="23">
                  <c:v>0.16626492346189117</c:v>
                </c:pt>
                <c:pt idx="24">
                  <c:v>0.17251490648833553</c:v>
                </c:pt>
                <c:pt idx="25">
                  <c:v>0.17876741349794859</c:v>
                </c:pt>
                <c:pt idx="26">
                  <c:v>0.18502245369009074</c:v>
                </c:pt>
                <c:pt idx="27">
                  <c:v>0.19128003627378731</c:v>
                </c:pt>
                <c:pt idx="28">
                  <c:v>0.19754017046777422</c:v>
                </c:pt>
                <c:pt idx="29">
                  <c:v>0.20380286550054327</c:v>
                </c:pt>
                <c:pt idx="30">
                  <c:v>0.2100681306103877</c:v>
                </c:pt>
                <c:pt idx="31">
                  <c:v>0.21322266559300646</c:v>
                </c:pt>
                <c:pt idx="32">
                  <c:v>0.21554725811647388</c:v>
                </c:pt>
                <c:pt idx="33">
                  <c:v>0.21787432881239469</c:v>
                </c:pt>
                <c:pt idx="34">
                  <c:v>0.22020388148281525</c:v>
                </c:pt>
                <c:pt idx="35">
                  <c:v>0.2225359199377249</c:v>
                </c:pt>
                <c:pt idx="36">
                  <c:v>0.22487044799507661</c:v>
                </c:pt>
                <c:pt idx="37">
                  <c:v>0.22720746948080731</c:v>
                </c:pt>
                <c:pt idx="38">
                  <c:v>0.2295469882288585</c:v>
                </c:pt>
                <c:pt idx="39">
                  <c:v>0.23188900808119683</c:v>
                </c:pt>
                <c:pt idx="40">
                  <c:v>0.23423353288783508</c:v>
                </c:pt>
                <c:pt idx="41">
                  <c:v>0.23658056650685225</c:v>
                </c:pt>
                <c:pt idx="42">
                  <c:v>0.23893011280441534</c:v>
                </c:pt>
                <c:pt idx="43">
                  <c:v>0.24128217565479931</c:v>
                </c:pt>
                <c:pt idx="44">
                  <c:v>0.2436367589404087</c:v>
                </c:pt>
                <c:pt idx="45">
                  <c:v>0.24599386655179817</c:v>
                </c:pt>
                <c:pt idx="46">
                  <c:v>0.24835350238769405</c:v>
                </c:pt>
                <c:pt idx="47">
                  <c:v>0.25071567035501496</c:v>
                </c:pt>
                <c:pt idx="48">
                  <c:v>0.25308037436889358</c:v>
                </c:pt>
                <c:pt idx="49">
                  <c:v>0.25544761835269753</c:v>
                </c:pt>
                <c:pt idx="50">
                  <c:v>0.25781740623805088</c:v>
                </c:pt>
                <c:pt idx="51">
                  <c:v>0.26018974196485556</c:v>
                </c:pt>
                <c:pt idx="52">
                  <c:v>0.26256462948131287</c:v>
                </c:pt>
                <c:pt idx="53">
                  <c:v>0.26494207274394493</c:v>
                </c:pt>
                <c:pt idx="54">
                  <c:v>0.26732207571761646</c:v>
                </c:pt>
                <c:pt idx="55">
                  <c:v>0.26970464237555625</c:v>
                </c:pt>
                <c:pt idx="56">
                  <c:v>0.27208977669937923</c:v>
                </c:pt>
                <c:pt idx="57">
                  <c:v>0.27447748267910799</c:v>
                </c:pt>
                <c:pt idx="58">
                  <c:v>0.27686776431319482</c:v>
                </c:pt>
                <c:pt idx="59">
                  <c:v>0.27926062560854387</c:v>
                </c:pt>
                <c:pt idx="60">
                  <c:v>0.2816560705805326</c:v>
                </c:pt>
                <c:pt idx="61">
                  <c:v>0.28405410325303465</c:v>
                </c:pt>
                <c:pt idx="62">
                  <c:v>0.28645472765844132</c:v>
                </c:pt>
                <c:pt idx="63">
                  <c:v>0.28885794783768431</c:v>
                </c:pt>
                <c:pt idx="64">
                  <c:v>0.29126376784025787</c:v>
                </c:pt>
                <c:pt idx="65">
                  <c:v>0.29367219172424108</c:v>
                </c:pt>
                <c:pt idx="66">
                  <c:v>0.29608322355632039</c:v>
                </c:pt>
                <c:pt idx="67">
                  <c:v>0.29849686741181219</c:v>
                </c:pt>
                <c:pt idx="68">
                  <c:v>0.30091312737468551</c:v>
                </c:pt>
                <c:pt idx="69">
                  <c:v>0.30333200753758427</c:v>
                </c:pt>
                <c:pt idx="70">
                  <c:v>0.30575351200185058</c:v>
                </c:pt>
                <c:pt idx="71">
                  <c:v>0.30817764487754723</c:v>
                </c:pt>
                <c:pt idx="72">
                  <c:v>0.31060441028348063</c:v>
                </c:pt>
                <c:pt idx="73">
                  <c:v>0.31303381234722355</c:v>
                </c:pt>
                <c:pt idx="74">
                  <c:v>0.31546585520513881</c:v>
                </c:pt>
                <c:pt idx="75">
                  <c:v>0.31790054300240184</c:v>
                </c:pt>
                <c:pt idx="76">
                  <c:v>0.32033787989302376</c:v>
                </c:pt>
                <c:pt idx="77">
                  <c:v>0.32277787003987507</c:v>
                </c:pt>
                <c:pt idx="78">
                  <c:v>0.32522051761470872</c:v>
                </c:pt>
                <c:pt idx="79">
                  <c:v>0.32766582679818379</c:v>
                </c:pt>
                <c:pt idx="80">
                  <c:v>0.33011380177988842</c:v>
                </c:pt>
                <c:pt idx="81">
                  <c:v>0.33256444675836383</c:v>
                </c:pt>
                <c:pt idx="82">
                  <c:v>0.33501776594112798</c:v>
                </c:pt>
                <c:pt idx="83">
                  <c:v>0.33747376354469888</c:v>
                </c:pt>
                <c:pt idx="84">
                  <c:v>0.33993244379461895</c:v>
                </c:pt>
                <c:pt idx="85">
                  <c:v>0.34239381092547805</c:v>
                </c:pt>
                <c:pt idx="86">
                  <c:v>0.3448578691809383</c:v>
                </c:pt>
                <c:pt idx="87">
                  <c:v>0.34732462281375759</c:v>
                </c:pt>
                <c:pt idx="88">
                  <c:v>0.3497940760858137</c:v>
                </c:pt>
                <c:pt idx="89">
                  <c:v>0.35226623326812884</c:v>
                </c:pt>
                <c:pt idx="90">
                  <c:v>0.3547410986408932</c:v>
                </c:pt>
                <c:pt idx="91">
                  <c:v>0.35721867649348976</c:v>
                </c:pt>
                <c:pt idx="92">
                  <c:v>0.35969897112451882</c:v>
                </c:pt>
                <c:pt idx="93">
                  <c:v>0.36218198684182207</c:v>
                </c:pt>
                <c:pt idx="94">
                  <c:v>0.36466772796250752</c:v>
                </c:pt>
                <c:pt idx="95">
                  <c:v>0.36715619881297362</c:v>
                </c:pt>
                <c:pt idx="96">
                  <c:v>0.36964740372893456</c:v>
                </c:pt>
                <c:pt idx="97">
                  <c:v>0.37214134705544494</c:v>
                </c:pt>
                <c:pt idx="98">
                  <c:v>0.37463803314692423</c:v>
                </c:pt>
                <c:pt idx="99">
                  <c:v>0.37713746636718198</c:v>
                </c:pt>
                <c:pt idx="100">
                  <c:v>0.37963965108944331</c:v>
                </c:pt>
                <c:pt idx="101">
                  <c:v>0.3821445916963731</c:v>
                </c:pt>
                <c:pt idx="102">
                  <c:v>0.38465229258010214</c:v>
                </c:pt>
                <c:pt idx="103">
                  <c:v>0.3871627581422516</c:v>
                </c:pt>
                <c:pt idx="104">
                  <c:v>0.38967599279395893</c:v>
                </c:pt>
                <c:pt idx="105">
                  <c:v>0.39219200095590318</c:v>
                </c:pt>
                <c:pt idx="106">
                  <c:v>0.3947107870583304</c:v>
                </c:pt>
                <c:pt idx="107">
                  <c:v>0.39723235554107916</c:v>
                </c:pt>
                <c:pt idx="108">
                  <c:v>0.39975671085360681</c:v>
                </c:pt>
                <c:pt idx="109">
                  <c:v>0.40228385745501449</c:v>
                </c:pt>
                <c:pt idx="110">
                  <c:v>0.40481379981407362</c:v>
                </c:pt>
                <c:pt idx="111">
                  <c:v>0.40734654240925122</c:v>
                </c:pt>
                <c:pt idx="112">
                  <c:v>0.40988208972873669</c:v>
                </c:pt>
                <c:pt idx="113">
                  <c:v>0.41242044627046709</c:v>
                </c:pt>
                <c:pt idx="114">
                  <c:v>0.4149616165421543</c:v>
                </c:pt>
                <c:pt idx="115">
                  <c:v>0.41750560506131018</c:v>
                </c:pt>
                <c:pt idx="116">
                  <c:v>0.42005241635527396</c:v>
                </c:pt>
                <c:pt idx="117">
                  <c:v>0.42260205496123826</c:v>
                </c:pt>
                <c:pt idx="118">
                  <c:v>0.42515452542627524</c:v>
                </c:pt>
                <c:pt idx="119">
                  <c:v>0.42770983230736387</c:v>
                </c:pt>
                <c:pt idx="120">
                  <c:v>0.43026798017141638</c:v>
                </c:pt>
                <c:pt idx="121">
                  <c:v>0.4328289735953052</c:v>
                </c:pt>
                <c:pt idx="122">
                  <c:v>0.43539281716588935</c:v>
                </c:pt>
                <c:pt idx="123">
                  <c:v>0.43795951548004214</c:v>
                </c:pt>
                <c:pt idx="124">
                  <c:v>0.44052907314467754</c:v>
                </c:pt>
                <c:pt idx="125">
                  <c:v>0.44310149477677802</c:v>
                </c:pt>
                <c:pt idx="126">
                  <c:v>0.44567678500342101</c:v>
                </c:pt>
                <c:pt idx="127">
                  <c:v>0.44825494846180702</c:v>
                </c:pt>
                <c:pt idx="128">
                  <c:v>0.45083598979928657</c:v>
                </c:pt>
                <c:pt idx="129">
                  <c:v>0.4534199136733878</c:v>
                </c:pt>
                <c:pt idx="130">
                  <c:v>0.45600672475184389</c:v>
                </c:pt>
                <c:pt idx="131">
                  <c:v>0.45859642771262138</c:v>
                </c:pt>
                <c:pt idx="132">
                  <c:v>0.46118902724394711</c:v>
                </c:pt>
                <c:pt idx="133">
                  <c:v>0.46378452804433667</c:v>
                </c:pt>
                <c:pt idx="134">
                  <c:v>0.46638293482262239</c:v>
                </c:pt>
                <c:pt idx="135">
                  <c:v>0.46898425229798069</c:v>
                </c:pt>
                <c:pt idx="136">
                  <c:v>0.47158848519996122</c:v>
                </c:pt>
                <c:pt idx="137">
                  <c:v>0.47419563826851435</c:v>
                </c:pt>
                <c:pt idx="138">
                  <c:v>0.47680571625401985</c:v>
                </c:pt>
                <c:pt idx="139">
                  <c:v>0.47941872391731533</c:v>
                </c:pt>
                <c:pt idx="140">
                  <c:v>0.48203466602972433</c:v>
                </c:pt>
                <c:pt idx="141">
                  <c:v>0.48465354737308569</c:v>
                </c:pt>
                <c:pt idx="142">
                  <c:v>0.48727537273978172</c:v>
                </c:pt>
                <c:pt idx="143">
                  <c:v>0.48990014693276696</c:v>
                </c:pt>
                <c:pt idx="144">
                  <c:v>0.49252787476559734</c:v>
                </c:pt>
                <c:pt idx="145">
                  <c:v>0.49515856106245887</c:v>
                </c:pt>
                <c:pt idx="146">
                  <c:v>0.4977922106581974</c:v>
                </c:pt>
                <c:pt idx="147">
                  <c:v>0.50042882839834701</c:v>
                </c:pt>
                <c:pt idx="148">
                  <c:v>0.50306841913915945</c:v>
                </c:pt>
                <c:pt idx="149">
                  <c:v>0.50571098774763434</c:v>
                </c:pt>
                <c:pt idx="150">
                  <c:v>0.50835653910154721</c:v>
                </c:pt>
                <c:pt idx="151">
                  <c:v>0.51100507808948037</c:v>
                </c:pt>
                <c:pt idx="152">
                  <c:v>0.51365660961085191</c:v>
                </c:pt>
                <c:pt idx="153">
                  <c:v>0.51631113857594557</c:v>
                </c:pt>
                <c:pt idx="154">
                  <c:v>0.51896866990594104</c:v>
                </c:pt>
                <c:pt idx="155">
                  <c:v>0.52162920853294292</c:v>
                </c:pt>
                <c:pt idx="156">
                  <c:v>0.52429275940001208</c:v>
                </c:pt>
                <c:pt idx="157">
                  <c:v>0.526959327461195</c:v>
                </c:pt>
                <c:pt idx="158">
                  <c:v>0.52962891768155385</c:v>
                </c:pt>
                <c:pt idx="159">
                  <c:v>0.53230153503719779</c:v>
                </c:pt>
                <c:pt idx="160">
                  <c:v>0.53497718451531251</c:v>
                </c:pt>
                <c:pt idx="161">
                  <c:v>0.53765587111419111</c:v>
                </c:pt>
                <c:pt idx="162">
                  <c:v>0.54033759984326546</c:v>
                </c:pt>
                <c:pt idx="163">
                  <c:v>0.54302237572313539</c:v>
                </c:pt>
                <c:pt idx="164">
                  <c:v>0.54571020378560153</c:v>
                </c:pt>
                <c:pt idx="165">
                  <c:v>0.54840108907369478</c:v>
                </c:pt>
                <c:pt idx="166">
                  <c:v>0.55109503664170811</c:v>
                </c:pt>
                <c:pt idx="167">
                  <c:v>0.55379205155522693</c:v>
                </c:pt>
                <c:pt idx="168">
                  <c:v>0.556492138891162</c:v>
                </c:pt>
                <c:pt idx="169">
                  <c:v>0.55919530373777937</c:v>
                </c:pt>
                <c:pt idx="170">
                  <c:v>0.56190155119473217</c:v>
                </c:pt>
                <c:pt idx="171">
                  <c:v>0.56461088637309298</c:v>
                </c:pt>
                <c:pt idx="172">
                  <c:v>0.56732331439538419</c:v>
                </c:pt>
                <c:pt idx="173">
                  <c:v>0.57003884039561126</c:v>
                </c:pt>
                <c:pt idx="174">
                  <c:v>0.57275746951929385</c:v>
                </c:pt>
                <c:pt idx="175">
                  <c:v>0.57547920692349774</c:v>
                </c:pt>
                <c:pt idx="176">
                  <c:v>0.57820405777686779</c:v>
                </c:pt>
                <c:pt idx="177">
                  <c:v>0.58093202725965887</c:v>
                </c:pt>
                <c:pt idx="178">
                  <c:v>0.58366312056376979</c:v>
                </c:pt>
                <c:pt idx="179">
                  <c:v>0.58639734289277445</c:v>
                </c:pt>
                <c:pt idx="180">
                  <c:v>0.58913469946195518</c:v>
                </c:pt>
                <c:pt idx="181">
                  <c:v>0.59187519549833534</c:v>
                </c:pt>
                <c:pt idx="182">
                  <c:v>0.59461883624071132</c:v>
                </c:pt>
                <c:pt idx="183">
                  <c:v>0.59736562693968698</c:v>
                </c:pt>
                <c:pt idx="184">
                  <c:v>0.60011557285770512</c:v>
                </c:pt>
                <c:pt idx="185">
                  <c:v>0.60286867926908172</c:v>
                </c:pt>
                <c:pt idx="186">
                  <c:v>0.60562495146003847</c:v>
                </c:pt>
                <c:pt idx="187">
                  <c:v>0.60838439472873662</c:v>
                </c:pt>
                <c:pt idx="188">
                  <c:v>0.61114701438530994</c:v>
                </c:pt>
                <c:pt idx="189">
                  <c:v>0.61391281575189904</c:v>
                </c:pt>
                <c:pt idx="190">
                  <c:v>0.61668180416268426</c:v>
                </c:pt>
                <c:pt idx="191">
                  <c:v>0.61945398496392023</c:v>
                </c:pt>
                <c:pt idx="192">
                  <c:v>0.62222936351396896</c:v>
                </c:pt>
                <c:pt idx="193">
                  <c:v>0.62500794518333469</c:v>
                </c:pt>
                <c:pt idx="194">
                  <c:v>0.62778973535469751</c:v>
                </c:pt>
                <c:pt idx="195">
                  <c:v>0.63057473942294762</c:v>
                </c:pt>
                <c:pt idx="196">
                  <c:v>0.63336296279522075</c:v>
                </c:pt>
                <c:pt idx="197">
                  <c:v>0.63615441089093083</c:v>
                </c:pt>
                <c:pt idx="198">
                  <c:v>0.63894908914180615</c:v>
                </c:pt>
                <c:pt idx="199">
                  <c:v>0.64174700299192322</c:v>
                </c:pt>
                <c:pt idx="200">
                  <c:v>0.64454815789774256</c:v>
                </c:pt>
              </c:numCache>
            </c:numRef>
          </c:yVal>
          <c:smooth val="0"/>
          <c:extLst>
            <c:ext xmlns:c16="http://schemas.microsoft.com/office/drawing/2014/chart" uri="{C3380CC4-5D6E-409C-BE32-E72D297353CC}">
              <c16:uniqueId val="{00000000-224D-4C5D-9638-87D4BF1AF418}"/>
            </c:ext>
          </c:extLst>
        </c:ser>
        <c:ser>
          <c:idx val="3"/>
          <c:order val="1"/>
          <c:tx>
            <c:v>Bottom FET</c:v>
          </c:tx>
          <c:spPr>
            <a:ln w="25400">
              <a:solidFill>
                <a:srgbClr val="FF000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Calculations'!$AG$9:$AG$209</c:f>
              <c:numCache>
                <c:formatCode>0.0000</c:formatCode>
                <c:ptCount val="201"/>
                <c:pt idx="0">
                  <c:v>7.8035618078333129E-3</c:v>
                </c:pt>
                <c:pt idx="1">
                  <c:v>8.0244439151637582E-3</c:v>
                </c:pt>
                <c:pt idx="2">
                  <c:v>8.2538472207503225E-3</c:v>
                </c:pt>
                <c:pt idx="3">
                  <c:v>8.4917725150906367E-3</c:v>
                </c:pt>
                <c:pt idx="4">
                  <c:v>8.7382206755998622E-3</c:v>
                </c:pt>
                <c:pt idx="5">
                  <c:v>8.9931926666198519E-3</c:v>
                </c:pt>
                <c:pt idx="6">
                  <c:v>9.2566895394306167E-3</c:v>
                </c:pt>
                <c:pt idx="7">
                  <c:v>9.528712432263893E-3</c:v>
                </c:pt>
                <c:pt idx="8">
                  <c:v>9.809262570319003E-3</c:v>
                </c:pt>
                <c:pt idx="9">
                  <c:v>1.0098341265780948E-2</c:v>
                </c:pt>
                <c:pt idx="10">
                  <c:v>1.0395949917840638E-2</c:v>
                </c:pt>
                <c:pt idx="11">
                  <c:v>1.0702090012717437E-2</c:v>
                </c:pt>
                <c:pt idx="12">
                  <c:v>1.1016763123683857E-2</c:v>
                </c:pt>
                <c:pt idx="13">
                  <c:v>1.1339970911092496E-2</c:v>
                </c:pt>
                <c:pt idx="14">
                  <c:v>1.1671715122405205E-2</c:v>
                </c:pt>
                <c:pt idx="15">
                  <c:v>1.2011997592224483E-2</c:v>
                </c:pt>
                <c:pt idx="16">
                  <c:v>1.2360820242327064E-2</c:v>
                </c:pt>
                <c:pt idx="17">
                  <c:v>1.2718185081699774E-2</c:v>
                </c:pt>
                <c:pt idx="18">
                  <c:v>1.308409420657757E-2</c:v>
                </c:pt>
                <c:pt idx="19">
                  <c:v>1.3458549800483836E-2</c:v>
                </c:pt>
                <c:pt idx="20">
                  <c:v>1.3841554134272901E-2</c:v>
                </c:pt>
                <c:pt idx="21">
                  <c:v>1.4233109566174787E-2</c:v>
                </c:pt>
                <c:pt idx="22">
                  <c:v>1.4633218541842196E-2</c:v>
                </c:pt>
                <c:pt idx="23">
                  <c:v>1.5041883594399718E-2</c:v>
                </c:pt>
                <c:pt idx="24">
                  <c:v>1.5459107344495291E-2</c:v>
                </c:pt>
                <c:pt idx="25">
                  <c:v>1.5884892500353905E-2</c:v>
                </c:pt>
                <c:pt idx="26">
                  <c:v>1.6319241857833511E-2</c:v>
                </c:pt>
                <c:pt idx="27">
                  <c:v>1.6762158300483231E-2</c:v>
                </c:pt>
                <c:pt idx="28">
                  <c:v>1.7213644799603758E-2</c:v>
                </c:pt>
                <c:pt idx="29">
                  <c:v>1.7673704414310046E-2</c:v>
                </c:pt>
                <c:pt idx="30">
                  <c:v>1.8142340291596244E-2</c:v>
                </c:pt>
                <c:pt idx="31">
                  <c:v>1.8789836983995924E-2</c:v>
                </c:pt>
                <c:pt idx="32">
                  <c:v>1.9491466575135386E-2</c:v>
                </c:pt>
                <c:pt idx="33">
                  <c:v>2.0201706571142172E-2</c:v>
                </c:pt>
                <c:pt idx="34">
                  <c:v>2.0920561576193337E-2</c:v>
                </c:pt>
                <c:pt idx="35">
                  <c:v>2.1648036283132804E-2</c:v>
                </c:pt>
                <c:pt idx="36">
                  <c:v>2.2384135473568781E-2</c:v>
                </c:pt>
                <c:pt idx="37">
                  <c:v>2.3128864017973389E-2</c:v>
                </c:pt>
                <c:pt idx="38">
                  <c:v>2.3882226875784712E-2</c:v>
                </c:pt>
                <c:pt idx="39">
                  <c:v>2.4644229095510988E-2</c:v>
                </c:pt>
                <c:pt idx="40">
                  <c:v>2.5414875814837284E-2</c:v>
                </c:pt>
                <c:pt idx="41">
                  <c:v>2.6194172260734255E-2</c:v>
                </c:pt>
                <c:pt idx="42">
                  <c:v>2.6982123749569469E-2</c:v>
                </c:pt>
                <c:pt idx="43">
                  <c:v>2.7778735687220817E-2</c:v>
                </c:pt>
                <c:pt idx="44">
                  <c:v>2.8584013569192414E-2</c:v>
                </c:pt>
                <c:pt idx="45">
                  <c:v>2.9397962980732703E-2</c:v>
                </c:pt>
                <c:pt idx="46">
                  <c:v>3.0220589596954985E-2</c:v>
                </c:pt>
                <c:pt idx="47">
                  <c:v>3.1051899182960228E-2</c:v>
                </c:pt>
                <c:pt idx="48">
                  <c:v>3.1891897593962257E-2</c:v>
                </c:pt>
                <c:pt idx="49">
                  <c:v>3.2740590775415239E-2</c:v>
                </c:pt>
                <c:pt idx="50">
                  <c:v>3.3597984763143553E-2</c:v>
                </c:pt>
                <c:pt idx="51">
                  <c:v>3.4464085683474061E-2</c:v>
                </c:pt>
                <c:pt idx="52">
                  <c:v>3.5338899753370658E-2</c:v>
                </c:pt>
                <c:pt idx="53">
                  <c:v>3.6222433280571238E-2</c:v>
                </c:pt>
                <c:pt idx="54">
                  <c:v>3.7114692663727071E-2</c:v>
                </c:pt>
                <c:pt idx="55">
                  <c:v>3.801568439254447E-2</c:v>
                </c:pt>
                <c:pt idx="56">
                  <c:v>3.892541504792895E-2</c:v>
                </c:pt>
                <c:pt idx="57">
                  <c:v>3.9843891302131715E-2</c:v>
                </c:pt>
                <c:pt idx="58">
                  <c:v>4.0771119918898542E-2</c:v>
                </c:pt>
                <c:pt idx="59">
                  <c:v>4.1707107753621166E-2</c:v>
                </c:pt>
                <c:pt idx="60">
                  <c:v>4.2651861753490915E-2</c:v>
                </c:pt>
                <c:pt idx="61">
                  <c:v>4.3605388957654971E-2</c:v>
                </c:pt>
                <c:pt idx="62">
                  <c:v>4.4567696497374854E-2</c:v>
                </c:pt>
                <c:pt idx="63">
                  <c:v>4.553879159618749E-2</c:v>
                </c:pt>
                <c:pt idx="64">
                  <c:v>4.6518681570068693E-2</c:v>
                </c:pt>
                <c:pt idx="65">
                  <c:v>4.7507373827599036E-2</c:v>
                </c:pt>
                <c:pt idx="66">
                  <c:v>4.8504875870132219E-2</c:v>
                </c:pt>
                <c:pt idx="67">
                  <c:v>4.9511195291966001E-2</c:v>
                </c:pt>
                <c:pt idx="68">
                  <c:v>5.0526339780515322E-2</c:v>
                </c:pt>
                <c:pt idx="69">
                  <c:v>5.155031711648831E-2</c:v>
                </c:pt>
                <c:pt idx="70">
                  <c:v>5.2583135174064405E-2</c:v>
                </c:pt>
                <c:pt idx="71">
                  <c:v>5.3624801921075216E-2</c:v>
                </c:pt>
                <c:pt idx="72">
                  <c:v>5.4675325419187772E-2</c:v>
                </c:pt>
                <c:pt idx="73">
                  <c:v>5.5734713824090308E-2</c:v>
                </c:pt>
                <c:pt idx="74">
                  <c:v>5.6802975385680625E-2</c:v>
                </c:pt>
                <c:pt idx="75">
                  <c:v>5.7880118448256947E-2</c:v>
                </c:pt>
                <c:pt idx="76">
                  <c:v>5.8966151450711254E-2</c:v>
                </c:pt>
                <c:pt idx="77">
                  <c:v>6.006108292672524E-2</c:v>
                </c:pt>
                <c:pt idx="78">
                  <c:v>6.1164921504968862E-2</c:v>
                </c:pt>
                <c:pt idx="79">
                  <c:v>6.2277675909301354E-2</c:v>
                </c:pt>
                <c:pt idx="80">
                  <c:v>6.3399354958974877E-2</c:v>
                </c:pt>
                <c:pt idx="81">
                  <c:v>6.4529967568840732E-2</c:v>
                </c:pt>
                <c:pt idx="82">
                  <c:v>6.5669522749558187E-2</c:v>
                </c:pt>
                <c:pt idx="83">
                  <c:v>6.6818029607805945E-2</c:v>
                </c:pt>
                <c:pt idx="84">
                  <c:v>6.7975497346496147E-2</c:v>
                </c:pt>
                <c:pt idx="85">
                  <c:v>6.9141935264990934E-2</c:v>
                </c:pt>
                <c:pt idx="86">
                  <c:v>7.0317352759321966E-2</c:v>
                </c:pt>
                <c:pt idx="87">
                  <c:v>7.1501759322412151E-2</c:v>
                </c:pt>
                <c:pt idx="88">
                  <c:v>7.2695164544300389E-2</c:v>
                </c:pt>
                <c:pt idx="89">
                  <c:v>7.3897578112368675E-2</c:v>
                </c:pt>
                <c:pt idx="90">
                  <c:v>7.5109009811572244E-2</c:v>
                </c:pt>
                <c:pt idx="91">
                  <c:v>7.632946952467197E-2</c:v>
                </c:pt>
                <c:pt idx="92">
                  <c:v>7.7558967232469925E-2</c:v>
                </c:pt>
                <c:pt idx="93">
                  <c:v>7.8797513014047152E-2</c:v>
                </c:pt>
                <c:pt idx="94">
                  <c:v>8.0045117047004608E-2</c:v>
                </c:pt>
                <c:pt idx="95">
                  <c:v>8.1301789607706509E-2</c:v>
                </c:pt>
                <c:pt idx="96">
                  <c:v>8.2567541071526737E-2</c:v>
                </c:pt>
                <c:pt idx="97">
                  <c:v>8.3842381913097536E-2</c:v>
                </c:pt>
                <c:pt idx="98">
                  <c:v>8.512632270656148E-2</c:v>
                </c:pt>
                <c:pt idx="99">
                  <c:v>8.6419374125825954E-2</c:v>
                </c:pt>
                <c:pt idx="100">
                  <c:v>8.7721546944820386E-2</c:v>
                </c:pt>
                <c:pt idx="101">
                  <c:v>8.9032852037756349E-2</c:v>
                </c:pt>
                <c:pt idx="102">
                  <c:v>9.0353300379390641E-2</c:v>
                </c:pt>
                <c:pt idx="103">
                  <c:v>9.1682903045290781E-2</c:v>
                </c:pt>
                <c:pt idx="104">
                  <c:v>9.3021671212103862E-2</c:v>
                </c:pt>
                <c:pt idx="105">
                  <c:v>9.4369616157827768E-2</c:v>
                </c:pt>
                <c:pt idx="106">
                  <c:v>9.5726749262085589E-2</c:v>
                </c:pt>
                <c:pt idx="107">
                  <c:v>9.7093082006402862E-2</c:v>
                </c:pt>
                <c:pt idx="108">
                  <c:v>9.8468625974487481E-2</c:v>
                </c:pt>
                <c:pt idx="109">
                  <c:v>9.9853392852512796E-2</c:v>
                </c:pt>
                <c:pt idx="110">
                  <c:v>0.10124739442940348</c:v>
                </c:pt>
                <c:pt idx="111">
                  <c:v>0.10265064259712436</c:v>
                </c:pt>
                <c:pt idx="112">
                  <c:v>0.10406314935097209</c:v>
                </c:pt>
                <c:pt idx="113">
                  <c:v>0.10548492678987013</c:v>
                </c:pt>
                <c:pt idx="114">
                  <c:v>0.10691598711666619</c:v>
                </c:pt>
                <c:pt idx="115">
                  <c:v>0.108356342638433</c:v>
                </c:pt>
                <c:pt idx="116">
                  <c:v>0.10980600576677214</c:v>
                </c:pt>
                <c:pt idx="117">
                  <c:v>0.11126498901812062</c:v>
                </c:pt>
                <c:pt idx="118">
                  <c:v>0.11273330501406052</c:v>
                </c:pt>
                <c:pt idx="119">
                  <c:v>0.11421096648163205</c:v>
                </c:pt>
                <c:pt idx="120">
                  <c:v>0.11569798625364924</c:v>
                </c:pt>
                <c:pt idx="121">
                  <c:v>0.11719437726901898</c:v>
                </c:pt>
                <c:pt idx="122">
                  <c:v>0.11870015257306279</c:v>
                </c:pt>
                <c:pt idx="123">
                  <c:v>0.12021532531784228</c:v>
                </c:pt>
                <c:pt idx="124">
                  <c:v>0.12173990876248725</c:v>
                </c:pt>
                <c:pt idx="125">
                  <c:v>0.12327391627352706</c:v>
                </c:pt>
                <c:pt idx="126">
                  <c:v>0.12481736132522528</c:v>
                </c:pt>
                <c:pt idx="127">
                  <c:v>0.12637025749991732</c:v>
                </c:pt>
                <c:pt idx="128">
                  <c:v>0.12793261848835147</c:v>
                </c:pt>
                <c:pt idx="129">
                  <c:v>0.12950445809003289</c:v>
                </c:pt>
                <c:pt idx="130">
                  <c:v>0.13108579021357117</c:v>
                </c:pt>
                <c:pt idx="131">
                  <c:v>0.13267662887703058</c:v>
                </c:pt>
                <c:pt idx="132">
                  <c:v>0.13427698820828429</c:v>
                </c:pt>
                <c:pt idx="133">
                  <c:v>0.13588688244537134</c:v>
                </c:pt>
                <c:pt idx="134">
                  <c:v>0.13750632593685694</c:v>
                </c:pt>
                <c:pt idx="135">
                  <c:v>0.13913533314219637</c:v>
                </c:pt>
                <c:pt idx="136">
                  <c:v>0.14077391863210198</c:v>
                </c:pt>
                <c:pt idx="137">
                  <c:v>0.14242209708891362</c:v>
                </c:pt>
                <c:pt idx="138">
                  <c:v>0.14407988330697238</c:v>
                </c:pt>
                <c:pt idx="139">
                  <c:v>0.14574729219299784</c:v>
                </c:pt>
                <c:pt idx="140">
                  <c:v>0.14742433876646827</c:v>
                </c:pt>
                <c:pt idx="141">
                  <c:v>0.14911103816000534</c:v>
                </c:pt>
                <c:pt idx="142">
                  <c:v>0.15080740561976064</c:v>
                </c:pt>
                <c:pt idx="143">
                  <c:v>0.1525134565058073</c:v>
                </c:pt>
                <c:pt idx="144">
                  <c:v>0.15422920629253412</c:v>
                </c:pt>
                <c:pt idx="145">
                  <c:v>0.15595467056904305</c:v>
                </c:pt>
                <c:pt idx="146">
                  <c:v>0.1576898650395514</c:v>
                </c:pt>
                <c:pt idx="147">
                  <c:v>0.15943480552379588</c:v>
                </c:pt>
                <c:pt idx="148">
                  <c:v>0.16118950795744169</c:v>
                </c:pt>
                <c:pt idx="149">
                  <c:v>0.16295398839249442</c:v>
                </c:pt>
                <c:pt idx="150">
                  <c:v>0.16472826299771565</c:v>
                </c:pt>
                <c:pt idx="151">
                  <c:v>0.16651234805904222</c:v>
                </c:pt>
                <c:pt idx="152">
                  <c:v>0.16830625998000948</c:v>
                </c:pt>
                <c:pt idx="153">
                  <c:v>0.17011001528217734</c:v>
                </c:pt>
                <c:pt idx="154">
                  <c:v>0.17192363060556126</c:v>
                </c:pt>
                <c:pt idx="155">
                  <c:v>0.17374712270906559</c:v>
                </c:pt>
                <c:pt idx="156">
                  <c:v>0.17558050847092171</c:v>
                </c:pt>
                <c:pt idx="157">
                  <c:v>0.17742380488912954</c:v>
                </c:pt>
                <c:pt idx="158">
                  <c:v>0.1792770290819026</c:v>
                </c:pt>
                <c:pt idx="159">
                  <c:v>0.18114019828811723</c:v>
                </c:pt>
                <c:pt idx="160">
                  <c:v>0.18301332986776531</c:v>
                </c:pt>
                <c:pt idx="161">
                  <c:v>0.18489644130241126</c:v>
                </c:pt>
                <c:pt idx="162">
                  <c:v>0.18678955019565247</c:v>
                </c:pt>
                <c:pt idx="163">
                  <c:v>0.18869267427358397</c:v>
                </c:pt>
                <c:pt idx="164">
                  <c:v>0.19060583138526654</c:v>
                </c:pt>
                <c:pt idx="165">
                  <c:v>0.19252903950319952</c:v>
                </c:pt>
                <c:pt idx="166">
                  <c:v>0.1944623167237968</c:v>
                </c:pt>
                <c:pt idx="167">
                  <c:v>0.1964056812678672</c:v>
                </c:pt>
                <c:pt idx="168">
                  <c:v>0.19835915148109898</c:v>
                </c:pt>
                <c:pt idx="169">
                  <c:v>0.20032274583454796</c:v>
                </c:pt>
                <c:pt idx="170">
                  <c:v>0.20229648292513028</c:v>
                </c:pt>
                <c:pt idx="171">
                  <c:v>0.20428038147611885</c:v>
                </c:pt>
                <c:pt idx="172">
                  <c:v>0.20627446033764379</c:v>
                </c:pt>
                <c:pt idx="173">
                  <c:v>0.2082787384871975</c:v>
                </c:pt>
                <c:pt idx="174">
                  <c:v>0.2102932350301436</c:v>
                </c:pt>
                <c:pt idx="175">
                  <c:v>0.21231796920022999</c:v>
                </c:pt>
                <c:pt idx="176">
                  <c:v>0.2143529603601064</c:v>
                </c:pt>
                <c:pt idx="177">
                  <c:v>0.21639822800184591</c:v>
                </c:pt>
                <c:pt idx="178">
                  <c:v>0.21845379174747104</c:v>
                </c:pt>
                <c:pt idx="179">
                  <c:v>0.22051967134948408</c:v>
                </c:pt>
                <c:pt idx="180">
                  <c:v>0.22259588669140129</c:v>
                </c:pt>
                <c:pt idx="181">
                  <c:v>0.22468245778829218</c:v>
                </c:pt>
                <c:pt idx="182">
                  <c:v>0.22677940478732289</c:v>
                </c:pt>
                <c:pt idx="183">
                  <c:v>0.22888674796830372</c:v>
                </c:pt>
                <c:pt idx="184">
                  <c:v>0.23100450774424169</c:v>
                </c:pt>
                <c:pt idx="185">
                  <c:v>0.23313270466189678</c:v>
                </c:pt>
                <c:pt idx="186">
                  <c:v>0.23527135940234345</c:v>
                </c:pt>
                <c:pt idx="187">
                  <c:v>0.23742049278153662</c:v>
                </c:pt>
                <c:pt idx="188">
                  <c:v>0.23958012575088153</c:v>
                </c:pt>
                <c:pt idx="189">
                  <c:v>0.24175027939780891</c:v>
                </c:pt>
                <c:pt idx="190">
                  <c:v>0.24393097494635468</c:v>
                </c:pt>
                <c:pt idx="191">
                  <c:v>0.24612223375774384</c:v>
                </c:pt>
                <c:pt idx="192">
                  <c:v>0.2483240773309798</c:v>
                </c:pt>
                <c:pt idx="193">
                  <c:v>0.25053652730343762</c:v>
                </c:pt>
                <c:pt idx="194">
                  <c:v>0.25275960545146298</c:v>
                </c:pt>
                <c:pt idx="195">
                  <c:v>0.25499333369097454</c:v>
                </c:pt>
                <c:pt idx="196">
                  <c:v>0.25723773407807321</c:v>
                </c:pt>
                <c:pt idx="197">
                  <c:v>0.25949282880965402</c:v>
                </c:pt>
                <c:pt idx="198">
                  <c:v>0.26175864022402417</c:v>
                </c:pt>
                <c:pt idx="199">
                  <c:v>0.26403519080152599</c:v>
                </c:pt>
                <c:pt idx="200">
                  <c:v>0.26632250316516476</c:v>
                </c:pt>
              </c:numCache>
            </c:numRef>
          </c:yVal>
          <c:smooth val="0"/>
          <c:extLst>
            <c:ext xmlns:c16="http://schemas.microsoft.com/office/drawing/2014/chart" uri="{C3380CC4-5D6E-409C-BE32-E72D297353CC}">
              <c16:uniqueId val="{00000001-224D-4C5D-9638-87D4BF1AF418}"/>
            </c:ext>
          </c:extLst>
        </c:ser>
        <c:ser>
          <c:idx val="0"/>
          <c:order val="2"/>
          <c:tx>
            <c:v>Inductor Loss</c:v>
          </c:tx>
          <c:spPr>
            <a:ln w="38100">
              <a:solidFill>
                <a:srgbClr val="FF660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Calculations'!$Q$9:$Q$209</c:f>
              <c:numCache>
                <c:formatCode>0.0000</c:formatCode>
                <c:ptCount val="201"/>
                <c:pt idx="0">
                  <c:v>0.20136386589493738</c:v>
                </c:pt>
                <c:pt idx="1">
                  <c:v>0.20136854340398558</c:v>
                </c:pt>
                <c:pt idx="2">
                  <c:v>0.20138222291198479</c:v>
                </c:pt>
                <c:pt idx="3">
                  <c:v>0.20140490447803727</c:v>
                </c:pt>
                <c:pt idx="4">
                  <c:v>0.20143658820013896</c:v>
                </c:pt>
                <c:pt idx="5">
                  <c:v>0.20147727421518066</c:v>
                </c:pt>
                <c:pt idx="6">
                  <c:v>0.20152696269894943</c:v>
                </c:pt>
                <c:pt idx="7">
                  <c:v>0.20158565386613053</c:v>
                </c:pt>
                <c:pt idx="8">
                  <c:v>0.2016533479703097</c:v>
                </c:pt>
                <c:pt idx="9">
                  <c:v>0.20173004530397601</c:v>
                </c:pt>
                <c:pt idx="10">
                  <c:v>0.20181574619852483</c:v>
                </c:pt>
                <c:pt idx="11">
                  <c:v>0.20191045102426161</c:v>
                </c:pt>
                <c:pt idx="12">
                  <c:v>0.20201416019040572</c:v>
                </c:pt>
                <c:pt idx="13">
                  <c:v>0.20212687414509495</c:v>
                </c:pt>
                <c:pt idx="14">
                  <c:v>0.20224859337539036</c:v>
                </c:pt>
                <c:pt idx="15">
                  <c:v>0.20237931840728154</c:v>
                </c:pt>
                <c:pt idx="16">
                  <c:v>0.20251904980569224</c:v>
                </c:pt>
                <c:pt idx="17">
                  <c:v>0.20266778817448652</c:v>
                </c:pt>
                <c:pt idx="18">
                  <c:v>0.20282553415647522</c:v>
                </c:pt>
                <c:pt idx="19">
                  <c:v>0.20299228843342304</c:v>
                </c:pt>
                <c:pt idx="20">
                  <c:v>0.20316805172605573</c:v>
                </c:pt>
                <c:pt idx="21">
                  <c:v>0.20335282479406802</c:v>
                </c:pt>
                <c:pt idx="22">
                  <c:v>0.20354660843613176</c:v>
                </c:pt>
                <c:pt idx="23">
                  <c:v>0.20374940348990458</c:v>
                </c:pt>
                <c:pt idx="24">
                  <c:v>0.20396121083203889</c:v>
                </c:pt>
                <c:pt idx="25">
                  <c:v>0.20418203137819141</c:v>
                </c:pt>
                <c:pt idx="26">
                  <c:v>0.20441186608303313</c:v>
                </c:pt>
                <c:pt idx="27">
                  <c:v>0.20465071594025949</c:v>
                </c:pt>
                <c:pt idx="28">
                  <c:v>0.20489858198260119</c:v>
                </c:pt>
                <c:pt idx="29">
                  <c:v>0.2051554652818354</c:v>
                </c:pt>
                <c:pt idx="30">
                  <c:v>0.20542136694879728</c:v>
                </c:pt>
                <c:pt idx="31">
                  <c:v>0.20569628813339202</c:v>
                </c:pt>
                <c:pt idx="32">
                  <c:v>0.20598023002460733</c:v>
                </c:pt>
                <c:pt idx="33">
                  <c:v>0.2062731938505262</c:v>
                </c:pt>
                <c:pt idx="34">
                  <c:v>0.20657518087834023</c:v>
                </c:pt>
                <c:pt idx="35">
                  <c:v>0.2068861924143634</c:v>
                </c:pt>
                <c:pt idx="36">
                  <c:v>0.20720622980404613</c:v>
                </c:pt>
                <c:pt idx="37">
                  <c:v>0.20753529443198984</c:v>
                </c:pt>
                <c:pt idx="38">
                  <c:v>0.20787338772196198</c:v>
                </c:pt>
                <c:pt idx="39">
                  <c:v>0.20822051113691142</c:v>
                </c:pt>
                <c:pt idx="40">
                  <c:v>0.20857666617898429</c:v>
                </c:pt>
                <c:pt idx="41">
                  <c:v>0.20894185438954016</c:v>
                </c:pt>
                <c:pt idx="42">
                  <c:v>0.20931607734916893</c:v>
                </c:pt>
                <c:pt idx="43">
                  <c:v>0.20969933667770771</c:v>
                </c:pt>
                <c:pt idx="44">
                  <c:v>0.21009163403425854</c:v>
                </c:pt>
                <c:pt idx="45">
                  <c:v>0.2104929711172063</c:v>
                </c:pt>
                <c:pt idx="46">
                  <c:v>0.21090334966423704</c:v>
                </c:pt>
                <c:pt idx="47">
                  <c:v>0.21132277145235695</c:v>
                </c:pt>
                <c:pt idx="48">
                  <c:v>0.21175123829791148</c:v>
                </c:pt>
                <c:pt idx="49">
                  <c:v>0.21218875205660509</c:v>
                </c:pt>
                <c:pt idx="50">
                  <c:v>0.21263531462352142</c:v>
                </c:pt>
                <c:pt idx="51">
                  <c:v>0.21309092793314366</c:v>
                </c:pt>
                <c:pt idx="52">
                  <c:v>0.21355559395937573</c:v>
                </c:pt>
                <c:pt idx="53">
                  <c:v>0.21402931471556358</c:v>
                </c:pt>
                <c:pt idx="54">
                  <c:v>0.21451209225451701</c:v>
                </c:pt>
                <c:pt idx="55">
                  <c:v>0.21500392866853194</c:v>
                </c:pt>
                <c:pt idx="56">
                  <c:v>0.21550482608941321</c:v>
                </c:pt>
                <c:pt idx="57">
                  <c:v>0.21601478668849761</c:v>
                </c:pt>
                <c:pt idx="58">
                  <c:v>0.21653381267667746</c:v>
                </c:pt>
                <c:pt idx="59">
                  <c:v>0.21706190630442462</c:v>
                </c:pt>
                <c:pt idx="60">
                  <c:v>0.21759906986181501</c:v>
                </c:pt>
                <c:pt idx="61">
                  <c:v>0.21814530567855328</c:v>
                </c:pt>
                <c:pt idx="62">
                  <c:v>0.21870061612399833</c:v>
                </c:pt>
                <c:pt idx="63">
                  <c:v>0.2192650036071889</c:v>
                </c:pt>
                <c:pt idx="64">
                  <c:v>0.21983847057686975</c:v>
                </c:pt>
                <c:pt idx="65">
                  <c:v>0.22042101952151844</c:v>
                </c:pt>
                <c:pt idx="66">
                  <c:v>0.22101265296937214</c:v>
                </c:pt>
                <c:pt idx="67">
                  <c:v>0.22161337348845531</c:v>
                </c:pt>
                <c:pt idx="68">
                  <c:v>0.22222318368660743</c:v>
                </c:pt>
                <c:pt idx="69">
                  <c:v>0.22284208621151164</c:v>
                </c:pt>
                <c:pt idx="70">
                  <c:v>0.22347008375072322</c:v>
                </c:pt>
                <c:pt idx="71">
                  <c:v>0.22410717903169908</c:v>
                </c:pt>
                <c:pt idx="72">
                  <c:v>0.22475337482182733</c:v>
                </c:pt>
                <c:pt idx="73">
                  <c:v>0.22540867392845745</c:v>
                </c:pt>
                <c:pt idx="74">
                  <c:v>0.22607307919893077</c:v>
                </c:pt>
                <c:pt idx="75">
                  <c:v>0.22674659352061161</c:v>
                </c:pt>
                <c:pt idx="76">
                  <c:v>0.2274292198209186</c:v>
                </c:pt>
                <c:pt idx="77">
                  <c:v>0.22812096106735669</c:v>
                </c:pt>
                <c:pt idx="78">
                  <c:v>0.22882182026754938</c:v>
                </c:pt>
                <c:pt idx="79">
                  <c:v>0.22953180046927163</c:v>
                </c:pt>
                <c:pt idx="80">
                  <c:v>0.23025090476048291</c:v>
                </c:pt>
                <c:pt idx="81">
                  <c:v>0.23097913626936106</c:v>
                </c:pt>
                <c:pt idx="82">
                  <c:v>0.23171649816433637</c:v>
                </c:pt>
                <c:pt idx="83">
                  <c:v>0.23246299365412601</c:v>
                </c:pt>
                <c:pt idx="84">
                  <c:v>0.23321862598776921</c:v>
                </c:pt>
                <c:pt idx="85">
                  <c:v>0.23398339845466271</c:v>
                </c:pt>
                <c:pt idx="86">
                  <c:v>0.23475731438459657</c:v>
                </c:pt>
                <c:pt idx="87">
                  <c:v>0.23554037714779061</c:v>
                </c:pt>
                <c:pt idx="88">
                  <c:v>0.2363325901549313</c:v>
                </c:pt>
                <c:pt idx="89">
                  <c:v>0.23713395685720884</c:v>
                </c:pt>
                <c:pt idx="90">
                  <c:v>0.23794448074635516</c:v>
                </c:pt>
                <c:pt idx="91">
                  <c:v>0.23876416535468181</c:v>
                </c:pt>
                <c:pt idx="92">
                  <c:v>0.23959301425511878</c:v>
                </c:pt>
                <c:pt idx="93">
                  <c:v>0.24043103106125349</c:v>
                </c:pt>
                <c:pt idx="94">
                  <c:v>0.24127821942737043</c:v>
                </c:pt>
                <c:pt idx="95">
                  <c:v>0.24213458304849106</c:v>
                </c:pt>
                <c:pt idx="96">
                  <c:v>0.24300012566041435</c:v>
                </c:pt>
                <c:pt idx="97">
                  <c:v>0.24387485103975759</c:v>
                </c:pt>
                <c:pt idx="98">
                  <c:v>0.24475876300399793</c:v>
                </c:pt>
                <c:pt idx="99">
                  <c:v>0.24565186541151401</c:v>
                </c:pt>
                <c:pt idx="100">
                  <c:v>0.24655416216162851</c:v>
                </c:pt>
                <c:pt idx="101">
                  <c:v>0.24746565719465063</c:v>
                </c:pt>
                <c:pt idx="102">
                  <c:v>0.24838635449191948</c:v>
                </c:pt>
                <c:pt idx="103">
                  <c:v>0.24931625807584779</c:v>
                </c:pt>
                <c:pt idx="104">
                  <c:v>0.25025537200996595</c:v>
                </c:pt>
                <c:pt idx="105">
                  <c:v>0.25120370039896667</c:v>
                </c:pt>
                <c:pt idx="106">
                  <c:v>0.25216124738875001</c:v>
                </c:pt>
                <c:pt idx="107">
                  <c:v>0.25312801716646915</c:v>
                </c:pt>
                <c:pt idx="108">
                  <c:v>0.25410401396057619</c:v>
                </c:pt>
                <c:pt idx="109">
                  <c:v>0.25508924204086852</c:v>
                </c:pt>
                <c:pt idx="110">
                  <c:v>0.25608370571853611</c:v>
                </c:pt>
                <c:pt idx="111">
                  <c:v>0.25708740934620877</c:v>
                </c:pt>
                <c:pt idx="112">
                  <c:v>0.25810035731800396</c:v>
                </c:pt>
                <c:pt idx="113">
                  <c:v>0.25912255406957529</c:v>
                </c:pt>
                <c:pt idx="114">
                  <c:v>0.26015400407816136</c:v>
                </c:pt>
                <c:pt idx="115">
                  <c:v>0.26119471186263504</c:v>
                </c:pt>
                <c:pt idx="116">
                  <c:v>0.26224468198355322</c:v>
                </c:pt>
                <c:pt idx="117">
                  <c:v>0.26330391904320721</c:v>
                </c:pt>
                <c:pt idx="118">
                  <c:v>0.26437242768567343</c:v>
                </c:pt>
                <c:pt idx="119">
                  <c:v>0.26545021259686452</c:v>
                </c:pt>
                <c:pt idx="120">
                  <c:v>0.2665372785045812</c:v>
                </c:pt>
                <c:pt idx="121">
                  <c:v>0.26763363017856473</c:v>
                </c:pt>
                <c:pt idx="122">
                  <c:v>0.26873927243054879</c:v>
                </c:pt>
                <c:pt idx="123">
                  <c:v>0.26985421011431343</c:v>
                </c:pt>
                <c:pt idx="124">
                  <c:v>0.27097844812573846</c:v>
                </c:pt>
                <c:pt idx="125">
                  <c:v>0.27211199140285747</c:v>
                </c:pt>
                <c:pt idx="126">
                  <c:v>0.27325484492591234</c:v>
                </c:pt>
                <c:pt idx="127">
                  <c:v>0.27440701371740883</c:v>
                </c:pt>
                <c:pt idx="128">
                  <c:v>0.27556850284217166</c:v>
                </c:pt>
                <c:pt idx="129">
                  <c:v>0.27673931740740088</c:v>
                </c:pt>
                <c:pt idx="130">
                  <c:v>0.27791946256272837</c:v>
                </c:pt>
                <c:pt idx="131">
                  <c:v>0.27910894350027482</c:v>
                </c:pt>
                <c:pt idx="132">
                  <c:v>0.28030776545470748</c:v>
                </c:pt>
                <c:pt idx="133">
                  <c:v>0.28151593370329803</c:v>
                </c:pt>
                <c:pt idx="134">
                  <c:v>0.28273345356598134</c:v>
                </c:pt>
                <c:pt idx="135">
                  <c:v>0.28396033040541424</c:v>
                </c:pt>
                <c:pt idx="136">
                  <c:v>0.28519656962703527</c:v>
                </c:pt>
                <c:pt idx="137">
                  <c:v>0.2864421766791248</c:v>
                </c:pt>
                <c:pt idx="138">
                  <c:v>0.2876971570528653</c:v>
                </c:pt>
                <c:pt idx="139">
                  <c:v>0.28896151628240274</c:v>
                </c:pt>
                <c:pt idx="140">
                  <c:v>0.29023525994490773</c:v>
                </c:pt>
                <c:pt idx="141">
                  <c:v>0.29151839366063814</c:v>
                </c:pt>
                <c:pt idx="142">
                  <c:v>0.29281092309300105</c:v>
                </c:pt>
                <c:pt idx="143">
                  <c:v>0.2941128539486163</c:v>
                </c:pt>
                <c:pt idx="144">
                  <c:v>0.29542419197737979</c:v>
                </c:pt>
                <c:pt idx="145">
                  <c:v>0.29674494297252774</c:v>
                </c:pt>
                <c:pt idx="146">
                  <c:v>0.29807511277070137</c:v>
                </c:pt>
                <c:pt idx="147">
                  <c:v>0.29941470725201158</c:v>
                </c:pt>
                <c:pt idx="148">
                  <c:v>0.30076373234010512</c:v>
                </c:pt>
                <c:pt idx="149">
                  <c:v>0.30212219400223056</c:v>
                </c:pt>
                <c:pt idx="150">
                  <c:v>0.30349009824930473</c:v>
                </c:pt>
                <c:pt idx="151">
                  <c:v>0.30486745113598024</c:v>
                </c:pt>
                <c:pt idx="152">
                  <c:v>0.30625425876071299</c:v>
                </c:pt>
                <c:pt idx="153">
                  <c:v>0.30765052726583031</c:v>
                </c:pt>
                <c:pt idx="154">
                  <c:v>0.30905626283760013</c:v>
                </c:pt>
                <c:pt idx="155">
                  <c:v>0.31047147170629963</c:v>
                </c:pt>
                <c:pt idx="156">
                  <c:v>0.31189616014628563</c:v>
                </c:pt>
                <c:pt idx="157">
                  <c:v>0.31333033447606468</c:v>
                </c:pt>
                <c:pt idx="158">
                  <c:v>0.31477400105836362</c:v>
                </c:pt>
                <c:pt idx="159">
                  <c:v>0.31622716630020165</c:v>
                </c:pt>
                <c:pt idx="160">
                  <c:v>0.31768983665296141</c:v>
                </c:pt>
                <c:pt idx="161">
                  <c:v>0.31916201861246207</c:v>
                </c:pt>
                <c:pt idx="162">
                  <c:v>0.3206437187190323</c:v>
                </c:pt>
                <c:pt idx="163">
                  <c:v>0.32213494355758332</c:v>
                </c:pt>
                <c:pt idx="164">
                  <c:v>0.32363569975768336</c:v>
                </c:pt>
                <c:pt idx="165">
                  <c:v>0.3251459939936322</c:v>
                </c:pt>
                <c:pt idx="166">
                  <c:v>0.32666583298453611</c:v>
                </c:pt>
                <c:pt idx="167">
                  <c:v>0.32819522349438368</c:v>
                </c:pt>
                <c:pt idx="168">
                  <c:v>0.32973417233212243</c:v>
                </c:pt>
                <c:pt idx="169">
                  <c:v>0.33128268635173463</c:v>
                </c:pt>
                <c:pt idx="170">
                  <c:v>0.33284077245231553</c:v>
                </c:pt>
                <c:pt idx="171">
                  <c:v>0.33440843757815086</c:v>
                </c:pt>
                <c:pt idx="172">
                  <c:v>0.33598568871879525</c:v>
                </c:pt>
                <c:pt idx="173">
                  <c:v>0.33757253290915118</c:v>
                </c:pt>
                <c:pt idx="174">
                  <c:v>0.33916897722954875</c:v>
                </c:pt>
                <c:pt idx="175">
                  <c:v>0.34077502880582544</c:v>
                </c:pt>
                <c:pt idx="176">
                  <c:v>0.34239069480940676</c:v>
                </c:pt>
                <c:pt idx="177">
                  <c:v>0.34401598245738785</c:v>
                </c:pt>
                <c:pt idx="178">
                  <c:v>0.34565089901261487</c:v>
                </c:pt>
                <c:pt idx="179">
                  <c:v>0.34729545178376736</c:v>
                </c:pt>
                <c:pt idx="180">
                  <c:v>0.34894964812544138</c:v>
                </c:pt>
                <c:pt idx="181">
                  <c:v>0.35061349543823245</c:v>
                </c:pt>
                <c:pt idx="182">
                  <c:v>0.35228700116882028</c:v>
                </c:pt>
                <c:pt idx="183">
                  <c:v>0.35397017281005283</c:v>
                </c:pt>
                <c:pt idx="184">
                  <c:v>0.35566301790103166</c:v>
                </c:pt>
                <c:pt idx="185">
                  <c:v>0.35736554402719756</c:v>
                </c:pt>
                <c:pt idx="186">
                  <c:v>0.35907775882041704</c:v>
                </c:pt>
                <c:pt idx="187">
                  <c:v>0.3607996699590692</c:v>
                </c:pt>
                <c:pt idx="188">
                  <c:v>0.36253128516813304</c:v>
                </c:pt>
                <c:pt idx="189">
                  <c:v>0.36427261221927554</c:v>
                </c:pt>
                <c:pt idx="190">
                  <c:v>0.36602365893094058</c:v>
                </c:pt>
                <c:pt idx="191">
                  <c:v>0.36778443316843767</c:v>
                </c:pt>
                <c:pt idx="192">
                  <c:v>0.3695549428440324</c:v>
                </c:pt>
                <c:pt idx="193">
                  <c:v>0.37133519591703612</c:v>
                </c:pt>
                <c:pt idx="194">
                  <c:v>0.37312520039389757</c:v>
                </c:pt>
                <c:pt idx="195">
                  <c:v>0.3749249643282937</c:v>
                </c:pt>
                <c:pt idx="196">
                  <c:v>0.37673449582122287</c:v>
                </c:pt>
                <c:pt idx="197">
                  <c:v>0.37855380302109687</c:v>
                </c:pt>
                <c:pt idx="198">
                  <c:v>0.38038289412383419</c:v>
                </c:pt>
                <c:pt idx="199">
                  <c:v>0.38222177737295465</c:v>
                </c:pt>
                <c:pt idx="200">
                  <c:v>0.38407046105967363</c:v>
                </c:pt>
              </c:numCache>
            </c:numRef>
          </c:yVal>
          <c:smooth val="0"/>
          <c:extLst>
            <c:ext xmlns:c16="http://schemas.microsoft.com/office/drawing/2014/chart" uri="{C3380CC4-5D6E-409C-BE32-E72D297353CC}">
              <c16:uniqueId val="{00000002-224D-4C5D-9638-87D4BF1AF418}"/>
            </c:ext>
          </c:extLst>
        </c:ser>
        <c:dLbls>
          <c:showLegendKey val="0"/>
          <c:showVal val="0"/>
          <c:showCatName val="0"/>
          <c:showSerName val="0"/>
          <c:showPercent val="0"/>
          <c:showBubbleSize val="0"/>
        </c:dLbls>
        <c:axId val="177296512"/>
        <c:axId val="177298432"/>
      </c:scatterChart>
      <c:valAx>
        <c:axId val="177296512"/>
        <c:scaling>
          <c:orientation val="minMax"/>
          <c:min val="0"/>
        </c:scaling>
        <c:delete val="0"/>
        <c:axPos val="b"/>
        <c:majorGridlines/>
        <c:title>
          <c:tx>
            <c:rich>
              <a:bodyPr/>
              <a:lstStyle/>
              <a:p>
                <a:pPr>
                  <a:defRPr sz="975" b="1" i="0" u="none" strike="noStrike" baseline="0">
                    <a:solidFill>
                      <a:srgbClr val="000000"/>
                    </a:solidFill>
                    <a:latin typeface="Arial"/>
                    <a:ea typeface="Arial"/>
                    <a:cs typeface="Arial"/>
                  </a:defRPr>
                </a:pPr>
                <a:r>
                  <a:rPr lang="en-US"/>
                  <a:t>Iout (A)</a:t>
                </a:r>
              </a:p>
            </c:rich>
          </c:tx>
          <c:layout>
            <c:manualLayout>
              <c:xMode val="edge"/>
              <c:yMode val="edge"/>
              <c:x val="0.47898089171975411"/>
              <c:y val="0.9254040724748190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77298432"/>
        <c:crosses val="autoZero"/>
        <c:crossBetween val="midCat"/>
      </c:valAx>
      <c:valAx>
        <c:axId val="177298432"/>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rgbClr val="000000"/>
                    </a:solidFill>
                    <a:latin typeface="Arial"/>
                    <a:ea typeface="Arial"/>
                    <a:cs typeface="Arial"/>
                  </a:defRPr>
                </a:pPr>
                <a:r>
                  <a:rPr lang="en-US"/>
                  <a:t>Power Disipation (W)</a:t>
                </a:r>
              </a:p>
            </c:rich>
          </c:tx>
          <c:layout>
            <c:manualLayout>
              <c:xMode val="edge"/>
              <c:yMode val="edge"/>
              <c:x val="1.9108280254777267E-2"/>
              <c:y val="0.37298429430192653"/>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77296512"/>
        <c:crosses val="autoZero"/>
        <c:crossBetween val="midCat"/>
      </c:valAx>
      <c:spPr>
        <a:solidFill>
          <a:srgbClr val="C0C0C0"/>
        </a:solidFill>
        <a:ln w="12700">
          <a:solidFill>
            <a:srgbClr val="808080"/>
          </a:solidFill>
          <a:prstDash val="solid"/>
        </a:ln>
      </c:spPr>
    </c:plotArea>
    <c:legend>
      <c:legendPos val="r"/>
      <c:layout>
        <c:manualLayout>
          <c:xMode val="edge"/>
          <c:yMode val="edge"/>
          <c:x val="0.84585987261148066"/>
          <c:y val="1.0080645161290319E-2"/>
          <c:w val="0.14904458598726408"/>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 Overall Efficiency</a:t>
            </a:r>
          </a:p>
        </c:rich>
      </c:tx>
      <c:layout>
        <c:manualLayout>
          <c:xMode val="edge"/>
          <c:yMode val="edge"/>
          <c:x val="0.41192468827576079"/>
          <c:y val="3.0241935483871732E-2"/>
        </c:manualLayout>
      </c:layout>
      <c:overlay val="0"/>
      <c:spPr>
        <a:noFill/>
        <a:ln w="25400">
          <a:noFill/>
        </a:ln>
      </c:spPr>
    </c:title>
    <c:autoTitleDeleted val="0"/>
    <c:plotArea>
      <c:layout>
        <c:manualLayout>
          <c:layoutTarget val="inner"/>
          <c:xMode val="edge"/>
          <c:yMode val="edge"/>
          <c:x val="0.12330639622818776"/>
          <c:y val="0.15927435034411094"/>
          <c:w val="0.80758914452747144"/>
          <c:h val="0.72983942815909986"/>
        </c:manualLayout>
      </c:layout>
      <c:scatterChart>
        <c:scatterStyle val="lineMarker"/>
        <c:varyColors val="0"/>
        <c:ser>
          <c:idx val="0"/>
          <c:order val="0"/>
          <c:spPr>
            <a:ln w="38100">
              <a:solidFill>
                <a:srgbClr val="00008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Calculations'!$AQ$9:$AQ$209</c:f>
              <c:numCache>
                <c:formatCode>0.00%</c:formatCode>
                <c:ptCount val="201"/>
                <c:pt idx="0">
                  <c:v>0</c:v>
                </c:pt>
                <c:pt idx="1">
                  <c:v>0.14869126686175493</c:v>
                </c:pt>
                <c:pt idx="2">
                  <c:v>0.25864249192664029</c:v>
                </c:pt>
                <c:pt idx="3">
                  <c:v>0.34324341751545973</c:v>
                </c:pt>
                <c:pt idx="4">
                  <c:v>0.4090649839209986</c:v>
                </c:pt>
                <c:pt idx="5">
                  <c:v>0.46206962562195703</c:v>
                </c:pt>
                <c:pt idx="6">
                  <c:v>0.50575304218380723</c:v>
                </c:pt>
                <c:pt idx="7">
                  <c:v>0.54237287609508911</c:v>
                </c:pt>
                <c:pt idx="8">
                  <c:v>0.57351215247611154</c:v>
                </c:pt>
                <c:pt idx="9">
                  <c:v>0.60031374573149698</c:v>
                </c:pt>
                <c:pt idx="10">
                  <c:v>0.62362341369382501</c:v>
                </c:pt>
                <c:pt idx="11">
                  <c:v>0.64408045816862336</c:v>
                </c:pt>
                <c:pt idx="12">
                  <c:v>0.66217709842918471</c:v>
                </c:pt>
                <c:pt idx="13">
                  <c:v>0.67829846926963422</c:v>
                </c:pt>
                <c:pt idx="14">
                  <c:v>0.69275023972751026</c:v>
                </c:pt>
                <c:pt idx="15">
                  <c:v>0.70577810315841505</c:v>
                </c:pt>
                <c:pt idx="16">
                  <c:v>0.71758179928056576</c:v>
                </c:pt>
                <c:pt idx="17">
                  <c:v>0.7283253780011445</c:v>
                </c:pt>
                <c:pt idx="18">
                  <c:v>0.7381448299406167</c:v>
                </c:pt>
                <c:pt idx="19">
                  <c:v>0.74715383953767234</c:v>
                </c:pt>
                <c:pt idx="20">
                  <c:v>0.75544817841485534</c:v>
                </c:pt>
                <c:pt idx="21">
                  <c:v>0.76310909973022578</c:v>
                </c:pt>
                <c:pt idx="22">
                  <c:v>0.77020598886610225</c:v>
                </c:pt>
                <c:pt idx="23">
                  <c:v>0.77679845384111657</c:v>
                </c:pt>
                <c:pt idx="24">
                  <c:v>0.78293798890738997</c:v>
                </c:pt>
                <c:pt idx="25">
                  <c:v>0.78866930965716475</c:v>
                </c:pt>
                <c:pt idx="26">
                  <c:v>0.79403143290144351</c:v>
                </c:pt>
                <c:pt idx="27">
                  <c:v>0.79905855648595892</c:v>
                </c:pt>
                <c:pt idx="28">
                  <c:v>0.80378078099109662</c:v>
                </c:pt>
                <c:pt idx="29">
                  <c:v>0.80822470550344661</c:v>
                </c:pt>
                <c:pt idx="30">
                  <c:v>0.81241392236977972</c:v>
                </c:pt>
                <c:pt idx="31">
                  <c:v>0.81678317731924666</c:v>
                </c:pt>
                <c:pt idx="32">
                  <c:v>0.82102770548053405</c:v>
                </c:pt>
                <c:pt idx="33">
                  <c:v>0.82505255670464528</c:v>
                </c:pt>
                <c:pt idx="34">
                  <c:v>0.82887410781184734</c:v>
                </c:pt>
                <c:pt idx="35">
                  <c:v>0.83250714714641783</c:v>
                </c:pt>
                <c:pt idx="36">
                  <c:v>0.83596506260826575</c:v>
                </c:pt>
                <c:pt idx="37">
                  <c:v>0.83926000359296149</c:v>
                </c:pt>
                <c:pt idx="38">
                  <c:v>0.84240302096863495</c:v>
                </c:pt>
                <c:pt idx="39">
                  <c:v>0.84540418848813004</c:v>
                </c:pt>
                <c:pt idx="40">
                  <c:v>0.84827270844685099</c:v>
                </c:pt>
                <c:pt idx="41">
                  <c:v>0.8510170039207825</c:v>
                </c:pt>
                <c:pt idx="42">
                  <c:v>0.85364479953202399</c:v>
                </c:pt>
                <c:pt idx="43">
                  <c:v>0.85616319237278804</c:v>
                </c:pt>
                <c:pt idx="44">
                  <c:v>0.85857871445910805</c:v>
                </c:pt>
                <c:pt idx="45">
                  <c:v>0.86089738787140768</c:v>
                </c:pt>
                <c:pt idx="46">
                  <c:v>0.86312477356187634</c:v>
                </c:pt>
                <c:pt idx="47">
                  <c:v>0.86526601466134867</c:v>
                </c:pt>
                <c:pt idx="48">
                  <c:v>0.86732587499556346</c:v>
                </c:pt>
                <c:pt idx="49">
                  <c:v>0.86930877341787172</c:v>
                </c:pt>
                <c:pt idx="50">
                  <c:v>0.87121881447911542</c:v>
                </c:pt>
                <c:pt idx="51">
                  <c:v>0.87305981588260639</c:v>
                </c:pt>
                <c:pt idx="52">
                  <c:v>0.87483533311062311</c:v>
                </c:pt>
                <c:pt idx="53">
                  <c:v>0.87654868155664456</c:v>
                </c:pt>
                <c:pt idx="54">
                  <c:v>0.87820295645316415</c:v>
                </c:pt>
                <c:pt idx="55">
                  <c:v>0.87980105084705862</c:v>
                </c:pt>
                <c:pt idx="56">
                  <c:v>0.88134567184210255</c:v>
                </c:pt>
                <c:pt idx="57">
                  <c:v>0.88283935530043589</c:v>
                </c:pt>
                <c:pt idx="58">
                  <c:v>0.88428447917091058</c:v>
                </c:pt>
                <c:pt idx="59">
                  <c:v>0.88568327559164473</c:v>
                </c:pt>
                <c:pt idx="60">
                  <c:v>0.88703784189632595</c:v>
                </c:pt>
                <c:pt idx="61">
                  <c:v>0.88835015063838552</c:v>
                </c:pt>
                <c:pt idx="62">
                  <c:v>0.8896220587337933</c:v>
                </c:pt>
                <c:pt idx="63">
                  <c:v>0.89085531581157751</c:v>
                </c:pt>
                <c:pt idx="64">
                  <c:v>0.89205157185102635</c:v>
                </c:pt>
                <c:pt idx="65">
                  <c:v>0.8932123841756634</c:v>
                </c:pt>
                <c:pt idx="66">
                  <c:v>0.89433922386632458</c:v>
                </c:pt>
                <c:pt idx="67">
                  <c:v>0.89543348164885639</c:v>
                </c:pt>
                <c:pt idx="68">
                  <c:v>0.89649647330597404</c:v>
                </c:pt>
                <c:pt idx="69">
                  <c:v>0.8975294446575498</c:v>
                </c:pt>
                <c:pt idx="70">
                  <c:v>0.89853357614895546</c:v>
                </c:pt>
                <c:pt idx="71">
                  <c:v>0.89950998708298024</c:v>
                </c:pt>
                <c:pt idx="72">
                  <c:v>0.90045973952721481</c:v>
                </c:pt>
                <c:pt idx="73">
                  <c:v>0.90138384192556698</c:v>
                </c:pt>
                <c:pt idx="74">
                  <c:v>0.90228325243972318</c:v>
                </c:pt>
                <c:pt idx="75">
                  <c:v>0.903158882043825</c:v>
                </c:pt>
                <c:pt idx="76">
                  <c:v>0.90401159739336368</c:v>
                </c:pt>
                <c:pt idx="77">
                  <c:v>0.90484222348728316</c:v>
                </c:pt>
                <c:pt idx="78">
                  <c:v>0.90565154614047183</c:v>
                </c:pt>
                <c:pt idx="79">
                  <c:v>0.90644031428221716</c:v>
                </c:pt>
                <c:pt idx="80">
                  <c:v>0.90720924209474774</c:v>
                </c:pt>
                <c:pt idx="81">
                  <c:v>0.90795901100469478</c:v>
                </c:pt>
                <c:pt idx="82">
                  <c:v>0.90869027153914006</c:v>
                </c:pt>
                <c:pt idx="83">
                  <c:v>0.90940364505687354</c:v>
                </c:pt>
                <c:pt idx="84">
                  <c:v>0.91009972536453998</c:v>
                </c:pt>
                <c:pt idx="85">
                  <c:v>0.910779080226505</c:v>
                </c:pt>
                <c:pt idx="86">
                  <c:v>0.91144225277650903</c:v>
                </c:pt>
                <c:pt idx="87">
                  <c:v>0.91208976283847842</c:v>
                </c:pt>
                <c:pt idx="88">
                  <c:v>0.91272210816324617</c:v>
                </c:pt>
                <c:pt idx="89">
                  <c:v>0.91333976558735797</c:v>
                </c:pt>
                <c:pt idx="90">
                  <c:v>0.9139431921196346</c:v>
                </c:pt>
                <c:pt idx="91">
                  <c:v>0.91453282596068819</c:v>
                </c:pt>
                <c:pt idx="92">
                  <c:v>0.91510908746017328</c:v>
                </c:pt>
                <c:pt idx="93">
                  <c:v>0.91567238001616025</c:v>
                </c:pt>
                <c:pt idx="94">
                  <c:v>0.91622309092067677</c:v>
                </c:pt>
                <c:pt idx="95">
                  <c:v>0.91676159215513686</c:v>
                </c:pt>
                <c:pt idx="96">
                  <c:v>0.91728824113909047</c:v>
                </c:pt>
                <c:pt idx="97">
                  <c:v>0.91780338143545603</c:v>
                </c:pt>
                <c:pt idx="98">
                  <c:v>0.9183073434151614</c:v>
                </c:pt>
                <c:pt idx="99">
                  <c:v>0.91880044488389123</c:v>
                </c:pt>
                <c:pt idx="100">
                  <c:v>0.91928299167343686</c:v>
                </c:pt>
                <c:pt idx="101">
                  <c:v>0.91975527819996206</c:v>
                </c:pt>
                <c:pt idx="102">
                  <c:v>0.9202175879913207</c:v>
                </c:pt>
                <c:pt idx="103">
                  <c:v>0.92067019418541318</c:v>
                </c:pt>
                <c:pt idx="104">
                  <c:v>0.92111336000141664</c:v>
                </c:pt>
                <c:pt idx="105">
                  <c:v>0.92154733918559939</c:v>
                </c:pt>
                <c:pt idx="106">
                  <c:v>0.92197237643330299</c:v>
                </c:pt>
                <c:pt idx="107">
                  <c:v>0.92238870778856463</c:v>
                </c:pt>
                <c:pt idx="108">
                  <c:v>0.92279656102275232</c:v>
                </c:pt>
                <c:pt idx="109">
                  <c:v>0.92319615599348415</c:v>
                </c:pt>
                <c:pt idx="110">
                  <c:v>0.92358770498502252</c:v>
                </c:pt>
                <c:pt idx="111">
                  <c:v>0.92397141303124664</c:v>
                </c:pt>
                <c:pt idx="112">
                  <c:v>0.92434747822223617</c:v>
                </c:pt>
                <c:pt idx="113">
                  <c:v>0.92471609199542859</c:v>
                </c:pt>
                <c:pt idx="114">
                  <c:v>0.92507743941224607</c:v>
                </c:pt>
                <c:pt idx="115">
                  <c:v>0.92543169942103309</c:v>
                </c:pt>
                <c:pt idx="116">
                  <c:v>0.92577904510708819</c:v>
                </c:pt>
                <c:pt idx="117">
                  <c:v>0.92611964393052182</c:v>
                </c:pt>
                <c:pt idx="118">
                  <c:v>0.92645365795262724</c:v>
                </c:pt>
                <c:pt idx="119">
                  <c:v>0.92678124405140683</c:v>
                </c:pt>
                <c:pt idx="120">
                  <c:v>0.92710255412685372</c:v>
                </c:pt>
                <c:pt idx="121">
                  <c:v>0.92741773529655391</c:v>
                </c:pt>
                <c:pt idx="122">
                  <c:v>0.92772693008213547</c:v>
                </c:pt>
                <c:pt idx="123">
                  <c:v>0.92803027658706339</c:v>
                </c:pt>
                <c:pt idx="124">
                  <c:v>0.92832790866624126</c:v>
                </c:pt>
                <c:pt idx="125">
                  <c:v>0.92861995608786063</c:v>
                </c:pt>
                <c:pt idx="126">
                  <c:v>0.92890654468790634</c:v>
                </c:pt>
                <c:pt idx="127">
                  <c:v>0.92918779651770345</c:v>
                </c:pt>
                <c:pt idx="128">
                  <c:v>0.9294638299848702</c:v>
                </c:pt>
                <c:pt idx="129">
                  <c:v>0.92973475998801658</c:v>
                </c:pt>
                <c:pt idx="130">
                  <c:v>0.93000069804551055</c:v>
                </c:pt>
                <c:pt idx="131">
                  <c:v>0.93026175241861564</c:v>
                </c:pt>
                <c:pt idx="132">
                  <c:v>0.93051802822928265</c:v>
                </c:pt>
                <c:pt idx="133">
                  <c:v>0.93076962757286597</c:v>
                </c:pt>
                <c:pt idx="134">
                  <c:v>0.93101664962601693</c:v>
                </c:pt>
                <c:pt idx="135">
                  <c:v>0.93125919074999475</c:v>
                </c:pt>
                <c:pt idx="136">
                  <c:v>0.9314973445896173</c:v>
                </c:pt>
                <c:pt idx="137">
                  <c:v>0.93173120216806948</c:v>
                </c:pt>
                <c:pt idx="138">
                  <c:v>0.93196085197776524</c:v>
                </c:pt>
                <c:pt idx="139">
                  <c:v>0.93218638006745758</c:v>
                </c:pt>
                <c:pt idx="140">
                  <c:v>0.93240787012577331</c:v>
                </c:pt>
                <c:pt idx="141">
                  <c:v>0.93262540356134493</c:v>
                </c:pt>
                <c:pt idx="142">
                  <c:v>0.93283905957969715</c:v>
                </c:pt>
                <c:pt idx="143">
                  <c:v>0.93304891525704337</c:v>
                </c:pt>
                <c:pt idx="144">
                  <c:v>0.9332550456111357</c:v>
                </c:pt>
                <c:pt idx="145">
                  <c:v>0.93345752366930146</c:v>
                </c:pt>
                <c:pt idx="146">
                  <c:v>0.93365642053380116</c:v>
                </c:pt>
                <c:pt idx="147">
                  <c:v>0.93385180544462421</c:v>
                </c:pt>
                <c:pt idx="148">
                  <c:v>0.93404374583984506</c:v>
                </c:pt>
                <c:pt idx="149">
                  <c:v>0.93423230741364316</c:v>
                </c:pt>
                <c:pt idx="150">
                  <c:v>0.93441755417209715</c:v>
                </c:pt>
                <c:pt idx="151">
                  <c:v>0.93459954848684823</c:v>
                </c:pt>
                <c:pt idx="152">
                  <c:v>0.93477835114672991</c:v>
                </c:pt>
                <c:pt idx="153">
                  <c:v>0.93495402140745087</c:v>
                </c:pt>
                <c:pt idx="154">
                  <c:v>0.93512661703941946</c:v>
                </c:pt>
                <c:pt idx="155">
                  <c:v>0.93529619437378553</c:v>
                </c:pt>
                <c:pt idx="156">
                  <c:v>0.93546280834678208</c:v>
                </c:pt>
                <c:pt idx="157">
                  <c:v>0.93562651254243523</c:v>
                </c:pt>
                <c:pt idx="158">
                  <c:v>0.93578735923371481</c:v>
                </c:pt>
                <c:pt idx="159">
                  <c:v>0.93594539942218968</c:v>
                </c:pt>
                <c:pt idx="160">
                  <c:v>0.9361006828762527</c:v>
                </c:pt>
                <c:pt idx="161">
                  <c:v>0.93625325816797333</c:v>
                </c:pt>
                <c:pt idx="162">
                  <c:v>0.93640317270863549</c:v>
                </c:pt>
                <c:pt idx="163">
                  <c:v>0.93655047278301717</c:v>
                </c:pt>
                <c:pt idx="164">
                  <c:v>0.9366952035824595</c:v>
                </c:pt>
                <c:pt idx="165">
                  <c:v>0.93683740923677805</c:v>
                </c:pt>
                <c:pt idx="166">
                  <c:v>0.93697713284506345</c:v>
                </c:pt>
                <c:pt idx="167">
                  <c:v>0.93711441650541205</c:v>
                </c:pt>
                <c:pt idx="168">
                  <c:v>0.93724930134363627</c:v>
                </c:pt>
                <c:pt idx="169">
                  <c:v>0.93738182754098931</c:v>
                </c:pt>
                <c:pt idx="170">
                  <c:v>0.93751203436094677</c:v>
                </c:pt>
                <c:pt idx="171">
                  <c:v>0.93763996017508133</c:v>
                </c:pt>
                <c:pt idx="172">
                  <c:v>0.93776564248806626</c:v>
                </c:pt>
                <c:pt idx="173">
                  <c:v>0.93788911796184227</c:v>
                </c:pt>
                <c:pt idx="174">
                  <c:v>0.93801042243897881</c:v>
                </c:pt>
                <c:pt idx="175">
                  <c:v>0.93812959096526261</c:v>
                </c:pt>
                <c:pt idx="176">
                  <c:v>0.93824665781154226</c:v>
                </c:pt>
                <c:pt idx="177">
                  <c:v>0.93836165649485703</c:v>
                </c:pt>
                <c:pt idx="178">
                  <c:v>0.9384746197988777</c:v>
                </c:pt>
                <c:pt idx="179">
                  <c:v>0.93858557979368529</c:v>
                </c:pt>
                <c:pt idx="180">
                  <c:v>0.93869456785491201</c:v>
                </c:pt>
                <c:pt idx="181">
                  <c:v>0.93880161468226964</c:v>
                </c:pt>
                <c:pt idx="182">
                  <c:v>0.93890675031748572</c:v>
                </c:pt>
                <c:pt idx="183">
                  <c:v>0.93901000416167213</c:v>
                </c:pt>
                <c:pt idx="184">
                  <c:v>0.93911140499214574</c:v>
                </c:pt>
                <c:pt idx="185">
                  <c:v>0.93921098097872013</c:v>
                </c:pt>
                <c:pt idx="186">
                  <c:v>0.93930875969948957</c:v>
                </c:pt>
                <c:pt idx="187">
                  <c:v>0.93940476815612306</c:v>
                </c:pt>
                <c:pt idx="188">
                  <c:v>0.93949903278868463</c:v>
                </c:pt>
                <c:pt idx="189">
                  <c:v>0.93959157948999916</c:v>
                </c:pt>
                <c:pt idx="190">
                  <c:v>0.93968243361957782</c:v>
                </c:pt>
                <c:pt idx="191">
                  <c:v>0.93977162001712167</c:v>
                </c:pt>
                <c:pt idx="192">
                  <c:v>0.93985916301561312</c:v>
                </c:pt>
                <c:pt idx="193">
                  <c:v>0.93994508645401686</c:v>
                </c:pt>
                <c:pt idx="194">
                  <c:v>0.9400294136895968</c:v>
                </c:pt>
                <c:pt idx="195">
                  <c:v>0.94011216760986804</c:v>
                </c:pt>
                <c:pt idx="196">
                  <c:v>0.94019337064419228</c:v>
                </c:pt>
                <c:pt idx="197">
                  <c:v>0.94027304477503204</c:v>
                </c:pt>
                <c:pt idx="198">
                  <c:v>0.94035121154887347</c:v>
                </c:pt>
                <c:pt idx="199">
                  <c:v>0.94042789208683031</c:v>
                </c:pt>
                <c:pt idx="200">
                  <c:v>0.94050310709493823</c:v>
                </c:pt>
              </c:numCache>
            </c:numRef>
          </c:yVal>
          <c:smooth val="0"/>
          <c:extLst>
            <c:ext xmlns:c16="http://schemas.microsoft.com/office/drawing/2014/chart" uri="{C3380CC4-5D6E-409C-BE32-E72D297353CC}">
              <c16:uniqueId val="{00000000-63C5-4D6A-B9BD-1C49DB4002EC}"/>
            </c:ext>
          </c:extLst>
        </c:ser>
        <c:dLbls>
          <c:showLegendKey val="0"/>
          <c:showVal val="0"/>
          <c:showCatName val="0"/>
          <c:showSerName val="0"/>
          <c:showPercent val="0"/>
          <c:showBubbleSize val="0"/>
        </c:dLbls>
        <c:axId val="177307008"/>
        <c:axId val="177313280"/>
      </c:scatterChart>
      <c:valAx>
        <c:axId val="177307008"/>
        <c:scaling>
          <c:orientation val="minMax"/>
          <c:min val="0"/>
        </c:scaling>
        <c:delete val="0"/>
        <c:axPos val="b"/>
        <c:majorGridlines/>
        <c:title>
          <c:tx>
            <c:rich>
              <a:bodyPr/>
              <a:lstStyle/>
              <a:p>
                <a:pPr>
                  <a:defRPr sz="1025" b="1" i="0" u="none" strike="noStrike" baseline="0">
                    <a:solidFill>
                      <a:srgbClr val="000000"/>
                    </a:solidFill>
                    <a:latin typeface="Arial"/>
                    <a:ea typeface="Arial"/>
                    <a:cs typeface="Arial"/>
                  </a:defRPr>
                </a:pPr>
                <a:r>
                  <a:rPr lang="en-US"/>
                  <a:t>Iout (A)</a:t>
                </a:r>
              </a:p>
            </c:rich>
          </c:tx>
          <c:layout>
            <c:manualLayout>
              <c:xMode val="edge"/>
              <c:yMode val="edge"/>
              <c:x val="0.49051561644225661"/>
              <c:y val="0.9435492337651399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77313280"/>
        <c:crosses val="autoZero"/>
        <c:crossBetween val="midCat"/>
      </c:valAx>
      <c:valAx>
        <c:axId val="177313280"/>
        <c:scaling>
          <c:orientation val="minMax"/>
          <c:min val="0.5"/>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5965E-3"/>
              <c:y val="0.4274197781728962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77307008"/>
        <c:crosses val="autoZero"/>
        <c:crossBetween val="midCat"/>
      </c:valAx>
      <c:spPr>
        <a:solidFill>
          <a:srgbClr val="C0C0C0"/>
        </a:solidFill>
        <a:ln w="12700">
          <a:solidFill>
            <a:srgbClr val="808080"/>
          </a:solidFill>
          <a:prstDash val="solid"/>
        </a:ln>
      </c:spPr>
    </c:plotArea>
    <c:legend>
      <c:legendPos val="r"/>
      <c:layout>
        <c:manualLayout>
          <c:xMode val="edge"/>
          <c:yMode val="edge"/>
          <c:x val="0.85636970175475957"/>
          <c:y val="3.6290322580645677E-2"/>
          <c:w val="0.11788632112042907"/>
          <c:h val="4.2338709677419352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22" fmlaRange="$1:$1048576" noThreeD="1" sel="0"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Spin" dx="16" fmlaLink="$E$61" max="150" min="10" page="10" val="30"/>
</file>

<file path=xl/ctrlProps/ctrlProp5.xml><?xml version="1.0" encoding="utf-8"?>
<formControlPr xmlns="http://schemas.microsoft.com/office/spreadsheetml/2009/9/main" objectType="Spin" dx="16" fmlaLink="$E$67" max="100" min="1" page="10" val="3"/>
</file>

<file path=xl/ctrlProps/ctrlProp6.xml><?xml version="1.0" encoding="utf-8"?>
<formControlPr xmlns="http://schemas.microsoft.com/office/spreadsheetml/2009/9/main" objectType="Spin" dx="16" fmlaLink="$E$68" max="100" min="1" page="10" val="4"/>
</file>

<file path=xl/ctrlProps/ctrlProp7.xml><?xml version="1.0" encoding="utf-8"?>
<formControlPr xmlns="http://schemas.microsoft.com/office/spreadsheetml/2009/9/main" objectType="Spin" dx="16" fmlaLink="$E$69" inc="10" max="1000" min="100" page="10" val="120"/>
</file>

<file path=xl/ctrlProps/ctrlProp8.xml><?xml version="1.0" encoding="utf-8"?>
<formControlPr xmlns="http://schemas.microsoft.com/office/spreadsheetml/2009/9/main" objectType="Spin" dx="16" fmlaLink="$E$70" inc="10" max="1000" min="100" page="10" val="150"/>
</file>

<file path=xl/ctrlProps/ctrlProp9.xml><?xml version="1.0" encoding="utf-8"?>
<formControlPr xmlns="http://schemas.microsoft.com/office/spreadsheetml/2009/9/main" objectType="Drop" dropLines="2" dropStyle="combo" dx="16" fmlaLink="'Variable Management'!$M$56" fmlaRange="'Variable Management'!$L$54:$L$55" noThreeD="1" sel="1" val="0"/>
</file>

<file path=xl/ctrlProps/ctrlProp10.xml><?xml version="1.0" encoding="utf-8"?>
<formControlPr xmlns="http://schemas.microsoft.com/office/spreadsheetml/2009/9/main" objectType="Drop" dropLines="5" dropStyle="combo" dx="16" fmlaLink="'Variable Management'!$V$12" fmlaRange="'Variable Management'!$U$7:$U$11" noThreeD="1" sel="3" val="0"/>
</file>

<file path=xl/ctrlProps/ctrlProp11.xml><?xml version="1.0" encoding="utf-8"?>
<formControlPr xmlns="http://schemas.microsoft.com/office/spreadsheetml/2009/9/main" objectType="Drop" dropLines="2" dropStyle="combo" dx="16" fmlaLink="'Variable Management'!$V$21" fmlaRange="'Variable Management'!$U$19:$U$20" noThreeD="1" sel="1" val="0"/>
</file>

<file path=xl/ctrlProps/ctrlProp12.xml><?xml version="1.0" encoding="utf-8"?>
<formControlPr xmlns="http://schemas.microsoft.com/office/spreadsheetml/2009/9/main" objectType="Drop" dropLines="4" dropStyle="combo" dx="16" fmlaLink="'Schematic &amp; BOM'!$Q$49" fmlaRange="'Variable Management'!$L$48:$L$51" noThreeD="1" sel="1" val="0"/>
</file>

<file path=xl/ctrlProps/ctrlProp13.xml><?xml version="1.0" encoding="utf-8"?>
<formControlPr xmlns="http://schemas.microsoft.com/office/spreadsheetml/2009/9/main" objectType="Drop" dropStyle="combo" dx="16" fmlaLink="$Q$50" fmlaRange="'Variable Management'!$L$48:$L$51" noThreeD="1" sel="1" val="0"/>
</file>

<file path=xl/ctrlProps/ctrlProp14.xml><?xml version="1.0" encoding="utf-8"?>
<formControlPr xmlns="http://schemas.microsoft.com/office/spreadsheetml/2009/9/main" objectType="Drop" dropLines="3" dropStyle="combo" dx="16" fmlaLink="$Q$38" fmlaRange="'Variable Management'!$L$69:$L$71" noThreeD="1" sel="2" val="0"/>
</file>

<file path=xl/ctrlProps/ctrlProp15.xml><?xml version="1.0" encoding="utf-8"?>
<formControlPr xmlns="http://schemas.microsoft.com/office/spreadsheetml/2009/9/main" objectType="Drop" dropLines="3" dropStyle="combo" dx="16" fmlaLink="$Q$39" fmlaRange="'Variable Management'!$L$69:$L$71" noThreeD="1" sel="1" val="0"/>
</file>

<file path=xl/ctrlProps/ctrlProp16.xml><?xml version="1.0" encoding="utf-8"?>
<formControlPr xmlns="http://schemas.microsoft.com/office/spreadsheetml/2009/9/main" objectType="Drop" dropLines="3" dropStyle="combo" dx="16" fmlaLink="$Q$40" fmlaRange="'Variable Management'!$L$69:$L$71" noThreeD="1" sel="1" val="0"/>
</file>

<file path=xl/ctrlProps/ctrlProp17.xml><?xml version="1.0" encoding="utf-8"?>
<formControlPr xmlns="http://schemas.microsoft.com/office/spreadsheetml/2009/9/main" objectType="Drop" dropLines="3" dropStyle="combo" dx="16" fmlaLink="$Q$41" fmlaRange="'Variable Management'!$L$69:$L$71" noThreeD="1" sel="1" val="0"/>
</file>

<file path=xl/ctrlProps/ctrlProp18.xml><?xml version="1.0" encoding="utf-8"?>
<formControlPr xmlns="http://schemas.microsoft.com/office/spreadsheetml/2009/9/main" objectType="Drop" dropLines="3" dropStyle="combo" dx="16" fmlaLink="$Q$42" fmlaRange="'Variable Management'!$L$69:$L$71" noThreeD="1" sel="2" val="0"/>
</file>

<file path=xl/ctrlProps/ctrlProp19.xml><?xml version="1.0" encoding="utf-8"?>
<formControlPr xmlns="http://schemas.microsoft.com/office/spreadsheetml/2009/9/main" objectType="Drop" dropLines="3" dropStyle="combo" dx="16" fmlaLink="$Q$45" fmlaRange="'Variable Management'!$L$69:$L$71" noThreeD="1" sel="2" val="0"/>
</file>

<file path=xl/ctrlProps/ctrlProp20.xml><?xml version="1.0" encoding="utf-8"?>
<formControlPr xmlns="http://schemas.microsoft.com/office/spreadsheetml/2009/9/main" objectType="Drop" dropLines="3" dropStyle="combo" dx="16" fmlaLink="$Q$46" fmlaRange="'Variable Management'!$L$69:$L$71" noThreeD="1" sel="3" val="0"/>
</file>

<file path=xl/ctrlProps/ctrlProp21.xml><?xml version="1.0" encoding="utf-8"?>
<formControlPr xmlns="http://schemas.microsoft.com/office/spreadsheetml/2009/9/main" objectType="Drop" dropLines="3" dropStyle="combo" dx="16" fmlaLink="$Q$47" fmlaRange="'Variable Management'!$L$69:$L$71" noThreeD="1" sel="2" val="0"/>
</file>

<file path=xl/ctrlProps/ctrlProp22.xml><?xml version="1.0" encoding="utf-8"?>
<formControlPr xmlns="http://schemas.microsoft.com/office/spreadsheetml/2009/9/main" objectType="Drop" dropLines="3" dropStyle="combo" dx="16" fmlaLink="$Q$52" fmlaRange="'Variable Management'!$L$69:$L$71" noThreeD="1" sel="1" val="0"/>
</file>

<file path=xl/ctrlProps/ctrlProp23.xml><?xml version="1.0" encoding="utf-8"?>
<formControlPr xmlns="http://schemas.microsoft.com/office/spreadsheetml/2009/9/main" objectType="Drop" dropLines="3" dropStyle="combo" dx="16" fmlaLink="$Q$53" fmlaRange="'Variable Management'!$L$69:$L$71" noThreeD="1" sel="1" val="0"/>
</file>

<file path=xl/ctrlProps/ctrlProp24.xml><?xml version="1.0" encoding="utf-8"?>
<formControlPr xmlns="http://schemas.microsoft.com/office/spreadsheetml/2009/9/main" objectType="Drop" dropLines="3" dropStyle="combo" dx="16" fmlaLink="$Q$54" fmlaRange="'Variable Management'!$L$69:$L$71" noThreeD="1" sel="3" val="0"/>
</file>

<file path=xl/ctrlProps/ctrlProp25.xml><?xml version="1.0" encoding="utf-8"?>
<formControlPr xmlns="http://schemas.microsoft.com/office/spreadsheetml/2009/9/main" objectType="Drop" dropLines="3" dropStyle="combo" dx="16" fmlaLink="$Q$55" fmlaRange="'Variable Management'!$L$69:$L$71" noThreeD="1" sel="1" val="0"/>
</file>

<file path=xl/ctrlProps/ctrlProp26.xml><?xml version="1.0" encoding="utf-8"?>
<formControlPr xmlns="http://schemas.microsoft.com/office/spreadsheetml/2009/9/main" objectType="Drop" dropLines="3" dropStyle="combo" dx="16" fmlaLink="$Q$56" fmlaRange="'Variable Management'!$L$69:$L$71" noThreeD="1" sel="1" val="0"/>
</file>

<file path=xl/ctrlProps/ctrlProp27.xml><?xml version="1.0" encoding="utf-8"?>
<formControlPr xmlns="http://schemas.microsoft.com/office/spreadsheetml/2009/9/main" objectType="Drop" dropLines="3" dropStyle="combo" dx="16" fmlaLink="$Q$57" fmlaRange="'Variable Management'!$L$69:$L$71" noThreeD="1" sel="1" val="0"/>
</file>

<file path=xl/ctrlProps/ctrlProp28.xml><?xml version="1.0" encoding="utf-8"?>
<formControlPr xmlns="http://schemas.microsoft.com/office/spreadsheetml/2009/9/main" objectType="Drop" dropLines="3" dropStyle="combo" dx="16" fmlaLink="$Q$58" fmlaRange="'Variable Management'!$L$69:$L$71" noThreeD="1" sel="1" val="0"/>
</file>

<file path=xl/ctrlProps/ctrlProp29.xml><?xml version="1.0" encoding="utf-8"?>
<formControlPr xmlns="http://schemas.microsoft.com/office/spreadsheetml/2009/9/main" objectType="Drop" dropLines="3" dropStyle="combo" dx="16" fmlaLink="$Q$60" fmlaRange="'Variable Management'!$L$69:$L$71" noThreeD="1" sel="2" val="0"/>
</file>

<file path=xl/ctrlProps/ctrlProp30.xml><?xml version="1.0" encoding="utf-8"?>
<formControlPr xmlns="http://schemas.microsoft.com/office/spreadsheetml/2009/9/main" objectType="Drop" dropLines="3" dropStyle="combo" dx="16" fmlaLink="$Q$61" fmlaRange="'Variable Management'!$L$69:$L$71" noThreeD="1" sel="1" val="0"/>
</file>

<file path=xl/ctrlProps/ctrlProp31.xml><?xml version="1.0" encoding="utf-8"?>
<formControlPr xmlns="http://schemas.microsoft.com/office/spreadsheetml/2009/9/main" objectType="Drop" dropLines="3" dropStyle="combo" dx="16" fmlaLink="$Q$62" fmlaRange="'Variable Management'!$L$69:$L$71" noThreeD="1" sel="1" val="0"/>
</file>

<file path=xl/ctrlProps/ctrlProp32.xml><?xml version="1.0" encoding="utf-8"?>
<formControlPr xmlns="http://schemas.microsoft.com/office/spreadsheetml/2009/9/main" objectType="Drop" dropStyle="combo" dx="16" fmlaLink="$Q$48" fmlaRange="'Variable Management'!$L$78:$L$85" noThreeD="1" sel="7" val="0"/>
</file>

<file path=xl/ctrlProps/ctrlProp33.xml><?xml version="1.0" encoding="utf-8"?>
<formControlPr xmlns="http://schemas.microsoft.com/office/spreadsheetml/2009/9/main" objectType="Drop" dropLines="5" dropStyle="combo" dx="16" fmlaLink="$Q$43" fmlaRange="'Variable Management'!$L$69:$L$73" noThreeD="1" sel="5" val="0"/>
</file>

<file path=xl/ctrlProps/ctrlProp34.xml><?xml version="1.0" encoding="utf-8"?>
<formControlPr xmlns="http://schemas.microsoft.com/office/spreadsheetml/2009/9/main" objectType="Drop" dropLines="5" dropStyle="combo" dx="16" fmlaLink="$Q$44" fmlaRange="'Variable Management'!$L$69:$L$73" noThreeD="1" sel="5" val="0"/>
</file>

<file path=xl/ctrlProps/ctrlProp35.xml><?xml version="1.0" encoding="utf-8"?>
<formControlPr xmlns="http://schemas.microsoft.com/office/spreadsheetml/2009/9/main" objectType="Drop" dropLines="2" dropStyle="combo" dx="16" fmlaLink="'Schematic &amp; BOM'!$R$49" fmlaRange="'Variable Management'!$Q$44:$Q$45" noThreeD="1" sel="1" val="0"/>
</file>

<file path=xl/ctrlProps/ctrlProp36.xml><?xml version="1.0" encoding="utf-8"?>
<formControlPr xmlns="http://schemas.microsoft.com/office/spreadsheetml/2009/9/main" objectType="Drop" dropLines="2" dropStyle="combo" dx="16" fmlaLink="$R$50" fmlaRange="'Variable Management'!$Q$44:$Q$45" noThreeD="1" sel="1" val="0"/>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2.xml"/><Relationship Id="rId7" Type="http://schemas.openxmlformats.org/officeDocument/2006/relationships/hyperlink" Target="http://www.ti.com/widevin" TargetMode="External"/><Relationship Id="rId2" Type="http://schemas.openxmlformats.org/officeDocument/2006/relationships/chart" Target="../charts/chart1.xml"/><Relationship Id="rId1" Type="http://schemas.openxmlformats.org/officeDocument/2006/relationships/image" Target="../media/image1.emf"/><Relationship Id="rId6" Type="http://schemas.openxmlformats.org/officeDocument/2006/relationships/image" Target="../media/image3.jpg"/><Relationship Id="rId5" Type="http://schemas.openxmlformats.org/officeDocument/2006/relationships/image" Target="../media/image2.jpg"/><Relationship Id="rId4" Type="http://schemas.openxmlformats.org/officeDocument/2006/relationships/hyperlink" Target="http://www.ti.com/power" TargetMode="External"/><Relationship Id="rId9" Type="http://schemas.openxmlformats.org/officeDocument/2006/relationships/image" Target="../media/image5.jpg"/></Relationships>
</file>

<file path=xl/drawings/_rels/drawing3.xml.rels><?xml version="1.0" encoding="UTF-8" standalone="yes"?>
<Relationships xmlns="http://schemas.openxmlformats.org/package/2006/relationships"><Relationship Id="rId1" Type="http://schemas.openxmlformats.org/officeDocument/2006/relationships/image" Target="../media/image8.emf"/></Relationships>
</file>

<file path=xl/drawings/_rels/drawing4.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image" Target="../media/image12.jpeg"/><Relationship Id="rId7" Type="http://schemas.openxmlformats.org/officeDocument/2006/relationships/image" Target="../media/image16.emf"/><Relationship Id="rId2" Type="http://schemas.openxmlformats.org/officeDocument/2006/relationships/image" Target="../media/image11.emf"/><Relationship Id="rId1" Type="http://schemas.openxmlformats.org/officeDocument/2006/relationships/image" Target="../media/image10.jpeg"/><Relationship Id="rId6" Type="http://schemas.openxmlformats.org/officeDocument/2006/relationships/image" Target="../media/image15.emf"/><Relationship Id="rId5" Type="http://schemas.openxmlformats.org/officeDocument/2006/relationships/image" Target="../media/image14.emf"/><Relationship Id="rId4" Type="http://schemas.openxmlformats.org/officeDocument/2006/relationships/image" Target="../media/image13.jpeg"/></Relationships>
</file>

<file path=xl/drawings/_rels/drawing6.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7.x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19.emf"/></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388620</xdr:colOff>
          <xdr:row>74</xdr:row>
          <xdr:rowOff>7620</xdr:rowOff>
        </xdr:from>
        <xdr:to>
          <xdr:col>3</xdr:col>
          <xdr:colOff>7620</xdr:colOff>
          <xdr:row>77</xdr:row>
          <xdr:rowOff>22860</xdr:rowOff>
        </xdr:to>
        <xdr:sp macro="" textlink="">
          <xdr:nvSpPr>
            <xdr:cNvPr id="673566" name="Button 798" hidden="1">
              <a:extLst>
                <a:ext uri="{63B3BB69-23CF-44E3-9099-C40C66FF867C}">
                  <a14:compatExt spid="_x0000_s673566"/>
                </a:ext>
                <a:ext uri="{FF2B5EF4-FFF2-40B4-BE49-F238E27FC236}">
                  <a16:creationId xmlns:a16="http://schemas.microsoft.com/office/drawing/2014/main" id="{00000000-0008-0000-0000-00001E47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900" b="1" i="0" u="none" strike="noStrike" baseline="0">
                  <a:solidFill>
                    <a:srgbClr val="000000"/>
                  </a:solidFill>
                  <a:latin typeface="Arial"/>
                  <a:cs typeface="Arial"/>
                </a:rPr>
                <a:t>RESET 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388620</xdr:colOff>
          <xdr:row>74</xdr:row>
          <xdr:rowOff>7620</xdr:rowOff>
        </xdr:from>
        <xdr:to>
          <xdr:col>3</xdr:col>
          <xdr:colOff>7620</xdr:colOff>
          <xdr:row>77</xdr:row>
          <xdr:rowOff>22860</xdr:rowOff>
        </xdr:to>
        <xdr:sp macro="" textlink="">
          <xdr:nvSpPr>
            <xdr:cNvPr id="673565" name="Button 797" hidden="1">
              <a:extLst>
                <a:ext uri="{63B3BB69-23CF-44E3-9099-C40C66FF867C}">
                  <a14:compatExt spid="_x0000_s673565"/>
                </a:ext>
                <a:ext uri="{FF2B5EF4-FFF2-40B4-BE49-F238E27FC236}">
                  <a16:creationId xmlns:a16="http://schemas.microsoft.com/office/drawing/2014/main" id="{00000000-0008-0000-0000-00001D47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900" b="1" i="0" u="none" strike="noStrike" baseline="0">
                  <a:solidFill>
                    <a:srgbClr val="000000"/>
                  </a:solidFill>
                  <a:latin typeface="Arial"/>
                  <a:cs typeface="Arial"/>
                </a:rPr>
                <a:t>FIX</a:t>
              </a:r>
            </a:p>
            <a:p>
              <a:pPr algn="ctr" rtl="0">
                <a:defRPr sz="1000"/>
              </a:pPr>
              <a:r>
                <a:rPr lang="ja-JP" altLang="en-US" sz="900" b="1" i="0" u="none" strike="noStrike" baseline="0">
                  <a:solidFill>
                    <a:srgbClr val="000000"/>
                  </a:solidFill>
                  <a:latin typeface="Arial"/>
                  <a:cs typeface="Arial"/>
                </a:rPr>
                <a:t>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1699260</xdr:colOff>
          <xdr:row>0</xdr:row>
          <xdr:rowOff>449580</xdr:rowOff>
        </xdr:from>
        <xdr:to>
          <xdr:col>16</xdr:col>
          <xdr:colOff>2080260</xdr:colOff>
          <xdr:row>1</xdr:row>
          <xdr:rowOff>30480</xdr:rowOff>
        </xdr:to>
        <xdr:sp macro="" textlink="">
          <xdr:nvSpPr>
            <xdr:cNvPr id="683100" name="Drop Down 1116" hidden="1">
              <a:extLst>
                <a:ext uri="{63B3BB69-23CF-44E3-9099-C40C66FF867C}">
                  <a14:compatExt spid="_x0000_s683100"/>
                </a:ext>
                <a:ext uri="{FF2B5EF4-FFF2-40B4-BE49-F238E27FC236}">
                  <a16:creationId xmlns:a16="http://schemas.microsoft.com/office/drawing/2014/main" id="{00000000-0008-0000-0000-00005C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408044</xdr:colOff>
          <xdr:row>4</xdr:row>
          <xdr:rowOff>244629</xdr:rowOff>
        </xdr:from>
        <xdr:to>
          <xdr:col>16</xdr:col>
          <xdr:colOff>2547247</xdr:colOff>
          <xdr:row>33</xdr:row>
          <xdr:rowOff>44380</xdr:rowOff>
        </xdr:to>
        <xdr:pic>
          <xdr:nvPicPr>
            <xdr:cNvPr id="3" name="Picture 2">
              <a:extLst>
                <a:ext uri="{FF2B5EF4-FFF2-40B4-BE49-F238E27FC236}">
                  <a16:creationId xmlns:a16="http://schemas.microsoft.com/office/drawing/2014/main" id="{00000000-0008-0000-0000-000003000000}"/>
                </a:ext>
              </a:extLst>
            </xdr:cNvPr>
            <xdr:cNvPicPr>
              <a:picLocks noChangeAspect="1"/>
              <a:extLst>
                <a:ext uri="{84589F7E-364E-4C9E-8A38-B11213B215E9}">
                  <a14:cameraTool cellRange="PICTURE10" spid="_x0000_s683184"/>
                </a:ext>
              </a:extLst>
            </xdr:cNvPicPr>
          </xdr:nvPicPr>
          <xdr:blipFill>
            <a:blip xmlns:r="http://schemas.openxmlformats.org/officeDocument/2006/relationships" r:embed="rId1"/>
            <a:stretch>
              <a:fillRect/>
            </a:stretch>
          </xdr:blipFill>
          <xdr:spPr>
            <a:xfrm>
              <a:off x="4155291" y="1401076"/>
              <a:ext cx="9113744" cy="5339939"/>
            </a:xfrm>
            <a:prstGeom prst="rect">
              <a:avLst/>
            </a:prstGeom>
          </xdr:spPr>
        </xdr:pic>
        <xdr:clientData/>
      </xdr:twoCellAnchor>
    </mc:Choice>
    <mc:Fallback/>
  </mc:AlternateContent>
  <xdr:twoCellAnchor editAs="absolute">
    <xdr:from>
      <xdr:col>6</xdr:col>
      <xdr:colOff>228601</xdr:colOff>
      <xdr:row>42</xdr:row>
      <xdr:rowOff>31025</xdr:rowOff>
    </xdr:from>
    <xdr:to>
      <xdr:col>16</xdr:col>
      <xdr:colOff>2215563</xdr:colOff>
      <xdr:row>69</xdr:row>
      <xdr:rowOff>17145</xdr:rowOff>
    </xdr:to>
    <xdr:graphicFrame macro="">
      <xdr:nvGraphicFramePr>
        <xdr:cNvPr id="65" name="Chart 12">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564178</xdr:colOff>
      <xdr:row>62</xdr:row>
      <xdr:rowOff>198576</xdr:rowOff>
    </xdr:from>
    <xdr:to>
      <xdr:col>10</xdr:col>
      <xdr:colOff>402630</xdr:colOff>
      <xdr:row>64</xdr:row>
      <xdr:rowOff>14727</xdr:rowOff>
    </xdr:to>
    <xdr:sp macro="" textlink="'Variable Management'!A260">
      <xdr:nvSpPr>
        <xdr:cNvPr id="2071" name="Text Box 23">
          <a:extLst>
            <a:ext uri="{FF2B5EF4-FFF2-40B4-BE49-F238E27FC236}">
              <a16:creationId xmlns:a16="http://schemas.microsoft.com/office/drawing/2014/main" id="{00000000-0008-0000-0000-000017080000}"/>
            </a:ext>
          </a:extLst>
        </xdr:cNvPr>
        <xdr:cNvSpPr txBox="1">
          <a:spLocks noChangeArrowheads="1" noTextEdit="1"/>
        </xdr:cNvSpPr>
      </xdr:nvSpPr>
      <xdr:spPr bwMode="auto">
        <a:xfrm>
          <a:off x="4802803" y="11876226"/>
          <a:ext cx="2067302" cy="216201"/>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10952A97-D9C5-44B7-89A3-65441574648A}" type="TxLink">
            <a:rPr lang="en-US" sz="1050" b="1" i="0" u="none" strike="noStrike" baseline="0">
              <a:solidFill>
                <a:srgbClr val="FF0000"/>
              </a:solidFill>
              <a:latin typeface="Arial"/>
              <a:cs typeface="Arial"/>
            </a:rPr>
            <a:pPr algn="l" rtl="0">
              <a:defRPr sz="1000"/>
            </a:pPr>
            <a:t>Crossover Frequency = 37 kHz</a:t>
          </a:fld>
          <a:endParaRPr lang="en-US" sz="1050" b="1" i="0" u="none" strike="noStrike" baseline="0">
            <a:solidFill>
              <a:srgbClr val="FF0000"/>
            </a:solidFill>
            <a:latin typeface="Arial"/>
            <a:cs typeface="Arial"/>
          </a:endParaRPr>
        </a:p>
      </xdr:txBody>
    </xdr:sp>
    <xdr:clientData/>
  </xdr:twoCellAnchor>
  <xdr:twoCellAnchor>
    <xdr:from>
      <xdr:col>7</xdr:col>
      <xdr:colOff>575180</xdr:colOff>
      <xdr:row>65</xdr:row>
      <xdr:rowOff>23362</xdr:rowOff>
    </xdr:from>
    <xdr:to>
      <xdr:col>9</xdr:col>
      <xdr:colOff>495300</xdr:colOff>
      <xdr:row>66</xdr:row>
      <xdr:rowOff>96064</xdr:rowOff>
    </xdr:to>
    <xdr:sp macro="" textlink="'Variable Management'!A261">
      <xdr:nvSpPr>
        <xdr:cNvPr id="2072" name="Text Box 24">
          <a:extLst>
            <a:ext uri="{FF2B5EF4-FFF2-40B4-BE49-F238E27FC236}">
              <a16:creationId xmlns:a16="http://schemas.microsoft.com/office/drawing/2014/main" id="{00000000-0008-0000-0000-000018080000}"/>
            </a:ext>
          </a:extLst>
        </xdr:cNvPr>
        <xdr:cNvSpPr txBox="1">
          <a:spLocks noChangeArrowheads="1" noTextEdit="1"/>
        </xdr:cNvSpPr>
      </xdr:nvSpPr>
      <xdr:spPr bwMode="auto">
        <a:xfrm>
          <a:off x="4813805" y="12301087"/>
          <a:ext cx="1320295" cy="244152"/>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95DD25AA-EC3B-4C80-B80E-8DC148525216}" type="TxLink">
            <a:rPr lang="en-US" sz="1050" b="1" i="0" u="none" strike="noStrike" baseline="0">
              <a:solidFill>
                <a:srgbClr val="002060"/>
              </a:solidFill>
              <a:latin typeface="Arial"/>
              <a:cs typeface="Arial"/>
            </a:rPr>
            <a:pPr algn="l" rtl="0">
              <a:defRPr sz="1000"/>
            </a:pPr>
            <a:t>Phase Margin = 67°</a:t>
          </a:fld>
          <a:endParaRPr lang="en-US" sz="1050" b="1" i="0" u="none" strike="noStrike" baseline="0">
            <a:solidFill>
              <a:srgbClr val="002060"/>
            </a:solidFill>
            <a:latin typeface="Arial"/>
            <a:cs typeface="Arial"/>
          </a:endParaRPr>
        </a:p>
      </xdr:txBody>
    </xdr:sp>
    <xdr:clientData/>
  </xdr:twoCellAnchor>
  <xdr:twoCellAnchor>
    <xdr:from>
      <xdr:col>6</xdr:col>
      <xdr:colOff>295274</xdr:colOff>
      <xdr:row>80</xdr:row>
      <xdr:rowOff>135255</xdr:rowOff>
    </xdr:from>
    <xdr:to>
      <xdr:col>16</xdr:col>
      <xdr:colOff>2343149</xdr:colOff>
      <xdr:row>107</xdr:row>
      <xdr:rowOff>49357</xdr:rowOff>
    </xdr:to>
    <xdr:graphicFrame macro="">
      <xdr:nvGraphicFramePr>
        <xdr:cNvPr id="22339318" name="Chart 253">
          <a:extLst>
            <a:ext uri="{FF2B5EF4-FFF2-40B4-BE49-F238E27FC236}">
              <a16:creationId xmlns:a16="http://schemas.microsoft.com/office/drawing/2014/main" id="{00000000-0008-0000-0000-0000F6DE5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555564</xdr:colOff>
      <xdr:row>13</xdr:row>
      <xdr:rowOff>151039</xdr:rowOff>
    </xdr:from>
    <xdr:to>
      <xdr:col>7</xdr:col>
      <xdr:colOff>202908</xdr:colOff>
      <xdr:row>14</xdr:row>
      <xdr:rowOff>203796</xdr:rowOff>
    </xdr:to>
    <xdr:sp macro="" textlink="">
      <xdr:nvSpPr>
        <xdr:cNvPr id="2272" name="Text Box 224">
          <a:extLst>
            <a:ext uri="{FF2B5EF4-FFF2-40B4-BE49-F238E27FC236}">
              <a16:creationId xmlns:a16="http://schemas.microsoft.com/office/drawing/2014/main" id="{00000000-0008-0000-0000-0000E0080000}"/>
            </a:ext>
          </a:extLst>
        </xdr:cNvPr>
        <xdr:cNvSpPr txBox="1">
          <a:spLocks noChangeArrowheads="1"/>
        </xdr:cNvSpPr>
      </xdr:nvSpPr>
      <xdr:spPr bwMode="auto">
        <a:xfrm>
          <a:off x="4302811" y="3010780"/>
          <a:ext cx="274873" cy="23205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C3</a:t>
          </a:r>
        </a:p>
      </xdr:txBody>
    </xdr:sp>
    <xdr:clientData/>
  </xdr:twoCellAnchor>
  <xdr:twoCellAnchor>
    <xdr:from>
      <xdr:col>7</xdr:col>
      <xdr:colOff>759806</xdr:colOff>
      <xdr:row>11</xdr:row>
      <xdr:rowOff>40097</xdr:rowOff>
    </xdr:from>
    <xdr:to>
      <xdr:col>8</xdr:col>
      <xdr:colOff>312532</xdr:colOff>
      <xdr:row>12</xdr:row>
      <xdr:rowOff>70462</xdr:rowOff>
    </xdr:to>
    <xdr:sp macro="" textlink="">
      <xdr:nvSpPr>
        <xdr:cNvPr id="2273" name="Text Box 225">
          <a:extLst>
            <a:ext uri="{FF2B5EF4-FFF2-40B4-BE49-F238E27FC236}">
              <a16:creationId xmlns:a16="http://schemas.microsoft.com/office/drawing/2014/main" id="{00000000-0008-0000-0000-0000E1080000}"/>
            </a:ext>
          </a:extLst>
        </xdr:cNvPr>
        <xdr:cNvSpPr txBox="1">
          <a:spLocks noChangeArrowheads="1"/>
        </xdr:cNvSpPr>
      </xdr:nvSpPr>
      <xdr:spPr bwMode="auto">
        <a:xfrm>
          <a:off x="5134582" y="2523321"/>
          <a:ext cx="368515" cy="209659"/>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xdr:from>
      <xdr:col>6</xdr:col>
      <xdr:colOff>590986</xdr:colOff>
      <xdr:row>11</xdr:row>
      <xdr:rowOff>3919</xdr:rowOff>
    </xdr:from>
    <xdr:to>
      <xdr:col>7</xdr:col>
      <xdr:colOff>242156</xdr:colOff>
      <xdr:row>12</xdr:row>
      <xdr:rowOff>74398</xdr:rowOff>
    </xdr:to>
    <xdr:sp macro="" textlink="">
      <xdr:nvSpPr>
        <xdr:cNvPr id="2275" name="Text Box 227">
          <a:extLst>
            <a:ext uri="{FF2B5EF4-FFF2-40B4-BE49-F238E27FC236}">
              <a16:creationId xmlns:a16="http://schemas.microsoft.com/office/drawing/2014/main" id="{00000000-0008-0000-0000-0000E3080000}"/>
            </a:ext>
          </a:extLst>
        </xdr:cNvPr>
        <xdr:cNvSpPr txBox="1">
          <a:spLocks noChangeArrowheads="1"/>
        </xdr:cNvSpPr>
      </xdr:nvSpPr>
      <xdr:spPr bwMode="auto">
        <a:xfrm>
          <a:off x="4338233" y="2487143"/>
          <a:ext cx="278699" cy="24977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16</xdr:col>
      <xdr:colOff>1680139</xdr:colOff>
      <xdr:row>20</xdr:row>
      <xdr:rowOff>55039</xdr:rowOff>
    </xdr:from>
    <xdr:to>
      <xdr:col>16</xdr:col>
      <xdr:colOff>2101928</xdr:colOff>
      <xdr:row>21</xdr:row>
      <xdr:rowOff>94916</xdr:rowOff>
    </xdr:to>
    <xdr:sp macro="" textlink="">
      <xdr:nvSpPr>
        <xdr:cNvPr id="2276" name="Text Box 228">
          <a:extLst>
            <a:ext uri="{FF2B5EF4-FFF2-40B4-BE49-F238E27FC236}">
              <a16:creationId xmlns:a16="http://schemas.microsoft.com/office/drawing/2014/main" id="{00000000-0008-0000-0000-0000E4080000}"/>
            </a:ext>
          </a:extLst>
        </xdr:cNvPr>
        <xdr:cNvSpPr txBox="1">
          <a:spLocks noChangeArrowheads="1"/>
        </xdr:cNvSpPr>
      </xdr:nvSpPr>
      <xdr:spPr bwMode="auto">
        <a:xfrm>
          <a:off x="12401927" y="4259486"/>
          <a:ext cx="421789" cy="22813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OUT</a:t>
          </a:r>
        </a:p>
      </xdr:txBody>
    </xdr:sp>
    <xdr:clientData/>
  </xdr:twoCellAnchor>
  <xdr:twoCellAnchor>
    <xdr:from>
      <xdr:col>13</xdr:col>
      <xdr:colOff>325065</xdr:colOff>
      <xdr:row>29</xdr:row>
      <xdr:rowOff>74937</xdr:rowOff>
    </xdr:from>
    <xdr:to>
      <xdr:col>14</xdr:col>
      <xdr:colOff>188000</xdr:colOff>
      <xdr:row>30</xdr:row>
      <xdr:rowOff>114031</xdr:rowOff>
    </xdr:to>
    <xdr:sp macro="" textlink="">
      <xdr:nvSpPr>
        <xdr:cNvPr id="2279" name="Text Box 231">
          <a:extLst>
            <a:ext uri="{FF2B5EF4-FFF2-40B4-BE49-F238E27FC236}">
              <a16:creationId xmlns:a16="http://schemas.microsoft.com/office/drawing/2014/main" id="{00000000-0008-0000-0000-0000E7080000}"/>
            </a:ext>
          </a:extLst>
        </xdr:cNvPr>
        <xdr:cNvSpPr txBox="1">
          <a:spLocks noChangeArrowheads="1"/>
        </xdr:cNvSpPr>
      </xdr:nvSpPr>
      <xdr:spPr bwMode="auto">
        <a:xfrm>
          <a:off x="9101512" y="6000608"/>
          <a:ext cx="490464" cy="27217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ILIM</a:t>
          </a:r>
        </a:p>
      </xdr:txBody>
    </xdr:sp>
    <xdr:clientData/>
  </xdr:twoCellAnchor>
  <xdr:twoCellAnchor>
    <xdr:from>
      <xdr:col>16</xdr:col>
      <xdr:colOff>877317</xdr:colOff>
      <xdr:row>14</xdr:row>
      <xdr:rowOff>229231</xdr:rowOff>
    </xdr:from>
    <xdr:to>
      <xdr:col>16</xdr:col>
      <xdr:colOff>1222388</xdr:colOff>
      <xdr:row>16</xdr:row>
      <xdr:rowOff>83471</xdr:rowOff>
    </xdr:to>
    <xdr:sp macro="" textlink="">
      <xdr:nvSpPr>
        <xdr:cNvPr id="2283" name="Text Box 235">
          <a:extLst>
            <a:ext uri="{FF2B5EF4-FFF2-40B4-BE49-F238E27FC236}">
              <a16:creationId xmlns:a16="http://schemas.microsoft.com/office/drawing/2014/main" id="{00000000-0008-0000-0000-0000EB080000}"/>
            </a:ext>
          </a:extLst>
        </xdr:cNvPr>
        <xdr:cNvSpPr txBox="1">
          <a:spLocks noChangeArrowheads="1"/>
        </xdr:cNvSpPr>
      </xdr:nvSpPr>
      <xdr:spPr bwMode="auto">
        <a:xfrm>
          <a:off x="11599105" y="3268266"/>
          <a:ext cx="345071" cy="28454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F</a:t>
          </a:r>
        </a:p>
      </xdr:txBody>
    </xdr:sp>
    <xdr:clientData/>
  </xdr:twoCellAnchor>
  <xdr:twoCellAnchor>
    <xdr:from>
      <xdr:col>16</xdr:col>
      <xdr:colOff>627859</xdr:colOff>
      <xdr:row>20</xdr:row>
      <xdr:rowOff>87726</xdr:rowOff>
    </xdr:from>
    <xdr:to>
      <xdr:col>16</xdr:col>
      <xdr:colOff>953625</xdr:colOff>
      <xdr:row>21</xdr:row>
      <xdr:rowOff>126803</xdr:rowOff>
    </xdr:to>
    <xdr:sp macro="" textlink="">
      <xdr:nvSpPr>
        <xdr:cNvPr id="2292" name="Text Box 244">
          <a:extLst>
            <a:ext uri="{FF2B5EF4-FFF2-40B4-BE49-F238E27FC236}">
              <a16:creationId xmlns:a16="http://schemas.microsoft.com/office/drawing/2014/main" id="{00000000-0008-0000-0000-0000F4080000}"/>
            </a:ext>
          </a:extLst>
        </xdr:cNvPr>
        <xdr:cNvSpPr txBox="1">
          <a:spLocks noChangeArrowheads="1"/>
        </xdr:cNvSpPr>
      </xdr:nvSpPr>
      <xdr:spPr bwMode="auto">
        <a:xfrm>
          <a:off x="11349647" y="4292173"/>
          <a:ext cx="325766" cy="22733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xdr:from>
      <xdr:col>15</xdr:col>
      <xdr:colOff>259069</xdr:colOff>
      <xdr:row>26</xdr:row>
      <xdr:rowOff>24987</xdr:rowOff>
    </xdr:from>
    <xdr:to>
      <xdr:col>15</xdr:col>
      <xdr:colOff>634071</xdr:colOff>
      <xdr:row>27</xdr:row>
      <xdr:rowOff>73564</xdr:rowOff>
    </xdr:to>
    <xdr:sp macro="" textlink="">
      <xdr:nvSpPr>
        <xdr:cNvPr id="2297" name="Text Box 249">
          <a:extLst>
            <a:ext uri="{FF2B5EF4-FFF2-40B4-BE49-F238E27FC236}">
              <a16:creationId xmlns:a16="http://schemas.microsoft.com/office/drawing/2014/main" id="{00000000-0008-0000-0000-0000F9080000}"/>
            </a:ext>
          </a:extLst>
        </xdr:cNvPr>
        <xdr:cNvSpPr txBox="1">
          <a:spLocks noChangeArrowheads="1"/>
        </xdr:cNvSpPr>
      </xdr:nvSpPr>
      <xdr:spPr bwMode="auto">
        <a:xfrm>
          <a:off x="10290575" y="5412775"/>
          <a:ext cx="375002" cy="22787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xdr:from>
      <xdr:col>9</xdr:col>
      <xdr:colOff>386419</xdr:colOff>
      <xdr:row>13</xdr:row>
      <xdr:rowOff>92828</xdr:rowOff>
    </xdr:from>
    <xdr:to>
      <xdr:col>9</xdr:col>
      <xdr:colOff>711193</xdr:colOff>
      <xdr:row>14</xdr:row>
      <xdr:rowOff>197498</xdr:rowOff>
    </xdr:to>
    <xdr:sp macro="" textlink="">
      <xdr:nvSpPr>
        <xdr:cNvPr id="2299" name="Text Box 251">
          <a:extLst>
            <a:ext uri="{FF2B5EF4-FFF2-40B4-BE49-F238E27FC236}">
              <a16:creationId xmlns:a16="http://schemas.microsoft.com/office/drawing/2014/main" id="{00000000-0008-0000-0000-0000FB080000}"/>
            </a:ext>
          </a:extLst>
        </xdr:cNvPr>
        <xdr:cNvSpPr txBox="1">
          <a:spLocks noChangeArrowheads="1"/>
        </xdr:cNvSpPr>
      </xdr:nvSpPr>
      <xdr:spPr bwMode="auto">
        <a:xfrm>
          <a:off x="6204513" y="2952569"/>
          <a:ext cx="324774" cy="28396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SS</a:t>
          </a:r>
        </a:p>
      </xdr:txBody>
    </xdr:sp>
    <xdr:clientData/>
  </xdr:twoCellAnchor>
  <xdr:twoCellAnchor>
    <xdr:from>
      <xdr:col>9</xdr:col>
      <xdr:colOff>22299</xdr:colOff>
      <xdr:row>26</xdr:row>
      <xdr:rowOff>46305</xdr:rowOff>
    </xdr:from>
    <xdr:to>
      <xdr:col>9</xdr:col>
      <xdr:colOff>402179</xdr:colOff>
      <xdr:row>26</xdr:row>
      <xdr:rowOff>46305</xdr:rowOff>
    </xdr:to>
    <xdr:sp macro="" textlink="">
      <xdr:nvSpPr>
        <xdr:cNvPr id="2300" name="Text Box 252">
          <a:extLst>
            <a:ext uri="{FF2B5EF4-FFF2-40B4-BE49-F238E27FC236}">
              <a16:creationId xmlns:a16="http://schemas.microsoft.com/office/drawing/2014/main" id="{00000000-0008-0000-0000-0000FC080000}"/>
            </a:ext>
          </a:extLst>
        </xdr:cNvPr>
        <xdr:cNvSpPr txBox="1">
          <a:spLocks noChangeArrowheads="1"/>
        </xdr:cNvSpPr>
      </xdr:nvSpPr>
      <xdr:spPr bwMode="auto">
        <a:xfrm>
          <a:off x="5840393" y="5434093"/>
          <a:ext cx="379880" cy="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100" b="0" i="0" strike="noStrike">
              <a:solidFill>
                <a:srgbClr val="000000"/>
              </a:solidFill>
              <a:latin typeface="Calibri"/>
            </a:rPr>
            <a:t>R</a:t>
          </a:r>
          <a:r>
            <a:rPr lang="en-US" sz="1100" b="0" i="0" strike="noStrike" baseline="-25000">
              <a:solidFill>
                <a:srgbClr val="000000"/>
              </a:solidFill>
              <a:latin typeface="Calibri"/>
            </a:rPr>
            <a:t>FADJ</a:t>
          </a:r>
        </a:p>
      </xdr:txBody>
    </xdr:sp>
    <xdr:clientData/>
  </xdr:twoCellAnchor>
  <xdr:twoCellAnchor>
    <xdr:from>
      <xdr:col>7</xdr:col>
      <xdr:colOff>250203</xdr:colOff>
      <xdr:row>19</xdr:row>
      <xdr:rowOff>37243</xdr:rowOff>
    </xdr:from>
    <xdr:to>
      <xdr:col>7</xdr:col>
      <xdr:colOff>645192</xdr:colOff>
      <xdr:row>20</xdr:row>
      <xdr:rowOff>77952</xdr:rowOff>
    </xdr:to>
    <xdr:sp macro="" textlink="">
      <xdr:nvSpPr>
        <xdr:cNvPr id="2303" name="Text Box 255">
          <a:extLst>
            <a:ext uri="{FF2B5EF4-FFF2-40B4-BE49-F238E27FC236}">
              <a16:creationId xmlns:a16="http://schemas.microsoft.com/office/drawing/2014/main" id="{00000000-0008-0000-0000-0000FF080000}"/>
            </a:ext>
          </a:extLst>
        </xdr:cNvPr>
        <xdr:cNvSpPr txBox="1">
          <a:spLocks noChangeArrowheads="1"/>
        </xdr:cNvSpPr>
      </xdr:nvSpPr>
      <xdr:spPr bwMode="auto">
        <a:xfrm>
          <a:off x="4624979" y="4053431"/>
          <a:ext cx="394989" cy="22896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xdr:from>
      <xdr:col>8</xdr:col>
      <xdr:colOff>21933</xdr:colOff>
      <xdr:row>17</xdr:row>
      <xdr:rowOff>144748</xdr:rowOff>
    </xdr:from>
    <xdr:to>
      <xdr:col>8</xdr:col>
      <xdr:colOff>290089</xdr:colOff>
      <xdr:row>18</xdr:row>
      <xdr:rowOff>187394</xdr:rowOff>
    </xdr:to>
    <xdr:sp macro="" textlink="">
      <xdr:nvSpPr>
        <xdr:cNvPr id="2304" name="Text Box 256">
          <a:extLst>
            <a:ext uri="{FF2B5EF4-FFF2-40B4-BE49-F238E27FC236}">
              <a16:creationId xmlns:a16="http://schemas.microsoft.com/office/drawing/2014/main" id="{00000000-0008-0000-0000-000000090000}"/>
            </a:ext>
          </a:extLst>
        </xdr:cNvPr>
        <xdr:cNvSpPr txBox="1">
          <a:spLocks noChangeArrowheads="1"/>
        </xdr:cNvSpPr>
      </xdr:nvSpPr>
      <xdr:spPr bwMode="auto">
        <a:xfrm>
          <a:off x="5212498" y="3793383"/>
          <a:ext cx="268156" cy="221940"/>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8</xdr:col>
      <xdr:colOff>519797</xdr:colOff>
      <xdr:row>13</xdr:row>
      <xdr:rowOff>148705</xdr:rowOff>
    </xdr:from>
    <xdr:to>
      <xdr:col>9</xdr:col>
      <xdr:colOff>207317</xdr:colOff>
      <xdr:row>14</xdr:row>
      <xdr:rowOff>212782</xdr:rowOff>
    </xdr:to>
    <xdr:sp macro="" textlink="">
      <xdr:nvSpPr>
        <xdr:cNvPr id="2305" name="Text Box 257">
          <a:extLst>
            <a:ext uri="{FF2B5EF4-FFF2-40B4-BE49-F238E27FC236}">
              <a16:creationId xmlns:a16="http://schemas.microsoft.com/office/drawing/2014/main" id="{00000000-0008-0000-0000-000001090000}"/>
            </a:ext>
          </a:extLst>
        </xdr:cNvPr>
        <xdr:cNvSpPr txBox="1">
          <a:spLocks noChangeArrowheads="1"/>
        </xdr:cNvSpPr>
      </xdr:nvSpPr>
      <xdr:spPr bwMode="auto">
        <a:xfrm>
          <a:off x="5710362" y="3008446"/>
          <a:ext cx="315049" cy="2433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xdr:from>
      <xdr:col>8</xdr:col>
      <xdr:colOff>35132</xdr:colOff>
      <xdr:row>13</xdr:row>
      <xdr:rowOff>129764</xdr:rowOff>
    </xdr:from>
    <xdr:to>
      <xdr:col>8</xdr:col>
      <xdr:colOff>374595</xdr:colOff>
      <xdr:row>14</xdr:row>
      <xdr:rowOff>199977</xdr:rowOff>
    </xdr:to>
    <xdr:sp macro="" textlink="">
      <xdr:nvSpPr>
        <xdr:cNvPr id="9616412" name="Text Box 258">
          <a:extLst>
            <a:ext uri="{FF2B5EF4-FFF2-40B4-BE49-F238E27FC236}">
              <a16:creationId xmlns:a16="http://schemas.microsoft.com/office/drawing/2014/main" id="{00000000-0008-0000-0000-00001CBC9200}"/>
            </a:ext>
          </a:extLst>
        </xdr:cNvPr>
        <xdr:cNvSpPr txBox="1">
          <a:spLocks noChangeArrowheads="1"/>
        </xdr:cNvSpPr>
      </xdr:nvSpPr>
      <xdr:spPr bwMode="auto">
        <a:xfrm>
          <a:off x="5225697" y="2989505"/>
          <a:ext cx="339463" cy="24950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xdr:from>
      <xdr:col>15</xdr:col>
      <xdr:colOff>246918</xdr:colOff>
      <xdr:row>27</xdr:row>
      <xdr:rowOff>76189</xdr:rowOff>
    </xdr:from>
    <xdr:to>
      <xdr:col>15</xdr:col>
      <xdr:colOff>665248</xdr:colOff>
      <xdr:row>28</xdr:row>
      <xdr:rowOff>163563</xdr:rowOff>
    </xdr:to>
    <xdr:sp macro="" textlink="">
      <xdr:nvSpPr>
        <xdr:cNvPr id="2308" name="Text Box 260">
          <a:extLst>
            <a:ext uri="{FF2B5EF4-FFF2-40B4-BE49-F238E27FC236}">
              <a16:creationId xmlns:a16="http://schemas.microsoft.com/office/drawing/2014/main" id="{00000000-0008-0000-0000-000004090000}"/>
            </a:ext>
          </a:extLst>
        </xdr:cNvPr>
        <xdr:cNvSpPr txBox="1">
          <a:spLocks noChangeArrowheads="1"/>
        </xdr:cNvSpPr>
      </xdr:nvSpPr>
      <xdr:spPr bwMode="auto">
        <a:xfrm>
          <a:off x="10278424" y="5643271"/>
          <a:ext cx="418330" cy="266668"/>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2.2</a:t>
          </a:r>
          <a:r>
            <a:rPr lang="el-GR" sz="1000" b="0" i="0" strike="noStrike">
              <a:solidFill>
                <a:srgbClr val="000000"/>
              </a:solidFill>
              <a:latin typeface="Arial" pitchFamily="34" charset="0"/>
              <a:cs typeface="Arial" pitchFamily="34" charset="0"/>
            </a:rPr>
            <a:t>μ</a:t>
          </a:r>
          <a:r>
            <a:rPr lang="en-US" sz="1000" b="0" i="0" strike="noStrike">
              <a:solidFill>
                <a:srgbClr val="000000"/>
              </a:solidFill>
              <a:latin typeface="Arial" pitchFamily="34" charset="0"/>
              <a:cs typeface="Arial" pitchFamily="34" charset="0"/>
            </a:rPr>
            <a:t>F</a:t>
          </a:r>
        </a:p>
      </xdr:txBody>
    </xdr:sp>
    <xdr:clientData/>
  </xdr:twoCellAnchor>
  <xdr:twoCellAnchor>
    <xdr:from>
      <xdr:col>8</xdr:col>
      <xdr:colOff>366144</xdr:colOff>
      <xdr:row>14</xdr:row>
      <xdr:rowOff>149052</xdr:rowOff>
    </xdr:from>
    <xdr:to>
      <xdr:col>9</xdr:col>
      <xdr:colOff>254444</xdr:colOff>
      <xdr:row>15</xdr:row>
      <xdr:rowOff>140755</xdr:rowOff>
    </xdr:to>
    <xdr:sp macro="" textlink="'Variable Management'!B254">
      <xdr:nvSpPr>
        <xdr:cNvPr id="2309" name="Text Box 261">
          <a:extLst>
            <a:ext uri="{FF2B5EF4-FFF2-40B4-BE49-F238E27FC236}">
              <a16:creationId xmlns:a16="http://schemas.microsoft.com/office/drawing/2014/main" id="{00000000-0008-0000-0000-000005090000}"/>
            </a:ext>
          </a:extLst>
        </xdr:cNvPr>
        <xdr:cNvSpPr txBox="1">
          <a:spLocks noChangeArrowheads="1" noTextEdit="1"/>
        </xdr:cNvSpPr>
      </xdr:nvSpPr>
      <xdr:spPr bwMode="auto">
        <a:xfrm>
          <a:off x="5556709" y="3188087"/>
          <a:ext cx="515829" cy="242715"/>
        </a:xfrm>
        <a:prstGeom prst="rect">
          <a:avLst/>
        </a:prstGeom>
        <a:noFill/>
        <a:ln w="9525">
          <a:noFill/>
          <a:miter lim="800000"/>
          <a:headEnd/>
          <a:tailEnd/>
        </a:ln>
      </xdr:spPr>
      <xdr:txBody>
        <a:bodyPr vertOverflow="clip" wrap="square" lIns="27432" tIns="22860" rIns="0" bIns="0" anchor="t" upright="1"/>
        <a:lstStyle/>
        <a:p>
          <a:pPr algn="r" rtl="0">
            <a:defRPr sz="1000"/>
          </a:pPr>
          <a:fld id="{491934A6-59AB-480F-A883-A2630DEA4784}" type="TxLink">
            <a:rPr lang="en-US" sz="1000" b="0" i="0" u="none" strike="noStrike" baseline="0">
              <a:solidFill>
                <a:srgbClr val="000000"/>
              </a:solidFill>
              <a:latin typeface="Arial" pitchFamily="34" charset="0"/>
              <a:cs typeface="Arial" pitchFamily="34" charset="0"/>
            </a:rPr>
            <a:pPr algn="r" rtl="0">
              <a:defRPr sz="1000"/>
            </a:pPr>
            <a:t>6.8nF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8</xdr:col>
      <xdr:colOff>487542</xdr:colOff>
      <xdr:row>17</xdr:row>
      <xdr:rowOff>145320</xdr:rowOff>
    </xdr:from>
    <xdr:to>
      <xdr:col>9</xdr:col>
      <xdr:colOff>332489</xdr:colOff>
      <xdr:row>19</xdr:row>
      <xdr:rowOff>1662</xdr:rowOff>
    </xdr:to>
    <xdr:sp macro="" textlink="'Variable Management'!B255">
      <xdr:nvSpPr>
        <xdr:cNvPr id="2310" name="Text Box 262">
          <a:extLst>
            <a:ext uri="{FF2B5EF4-FFF2-40B4-BE49-F238E27FC236}">
              <a16:creationId xmlns:a16="http://schemas.microsoft.com/office/drawing/2014/main" id="{00000000-0008-0000-0000-000006090000}"/>
            </a:ext>
          </a:extLst>
        </xdr:cNvPr>
        <xdr:cNvSpPr txBox="1">
          <a:spLocks noChangeArrowheads="1" noTextEdit="1"/>
        </xdr:cNvSpPr>
      </xdr:nvSpPr>
      <xdr:spPr bwMode="auto">
        <a:xfrm>
          <a:off x="5678107" y="3793955"/>
          <a:ext cx="472476" cy="223895"/>
        </a:xfrm>
        <a:prstGeom prst="rect">
          <a:avLst/>
        </a:prstGeom>
        <a:noFill/>
        <a:ln w="9525">
          <a:noFill/>
          <a:miter lim="800000"/>
          <a:headEnd/>
          <a:tailEnd/>
        </a:ln>
      </xdr:spPr>
      <xdr:txBody>
        <a:bodyPr vertOverflow="clip" wrap="square" lIns="27432" tIns="22860" rIns="0" bIns="0" anchor="t"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150pF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710015</xdr:colOff>
      <xdr:row>14</xdr:row>
      <xdr:rowOff>168174</xdr:rowOff>
    </xdr:from>
    <xdr:to>
      <xdr:col>8</xdr:col>
      <xdr:colOff>434385</xdr:colOff>
      <xdr:row>15</xdr:row>
      <xdr:rowOff>149088</xdr:rowOff>
    </xdr:to>
    <xdr:sp macro="" textlink="'Variable Management'!B253">
      <xdr:nvSpPr>
        <xdr:cNvPr id="2311" name="Text Box 263">
          <a:extLst>
            <a:ext uri="{FF2B5EF4-FFF2-40B4-BE49-F238E27FC236}">
              <a16:creationId xmlns:a16="http://schemas.microsoft.com/office/drawing/2014/main" id="{00000000-0008-0000-0000-000007090000}"/>
            </a:ext>
          </a:extLst>
        </xdr:cNvPr>
        <xdr:cNvSpPr txBox="1">
          <a:spLocks noChangeArrowheads="1" noTextEdit="1"/>
        </xdr:cNvSpPr>
      </xdr:nvSpPr>
      <xdr:spPr bwMode="auto">
        <a:xfrm>
          <a:off x="5084791" y="3207209"/>
          <a:ext cx="540159" cy="231926"/>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6.8kΩ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567860</xdr:colOff>
      <xdr:row>20</xdr:row>
      <xdr:rowOff>92775</xdr:rowOff>
    </xdr:from>
    <xdr:to>
      <xdr:col>7</xdr:col>
      <xdr:colOff>551680</xdr:colOff>
      <xdr:row>21</xdr:row>
      <xdr:rowOff>142630</xdr:rowOff>
    </xdr:to>
    <xdr:sp macro="" textlink="'Variable Management'!B259">
      <xdr:nvSpPr>
        <xdr:cNvPr id="2312" name="Text Box 264">
          <a:extLst>
            <a:ext uri="{FF2B5EF4-FFF2-40B4-BE49-F238E27FC236}">
              <a16:creationId xmlns:a16="http://schemas.microsoft.com/office/drawing/2014/main" id="{00000000-0008-0000-0000-000008090000}"/>
            </a:ext>
          </a:extLst>
        </xdr:cNvPr>
        <xdr:cNvSpPr txBox="1">
          <a:spLocks noChangeArrowheads="1" noTextEdit="1"/>
        </xdr:cNvSpPr>
      </xdr:nvSpPr>
      <xdr:spPr bwMode="auto">
        <a:xfrm>
          <a:off x="4315107" y="4297222"/>
          <a:ext cx="611349" cy="238114"/>
        </a:xfrm>
        <a:prstGeom prst="rect">
          <a:avLst/>
        </a:prstGeom>
        <a:noFill/>
        <a:ln w="9525">
          <a:noFill/>
          <a:miter lim="800000"/>
          <a:headEnd/>
          <a:tailEnd/>
        </a:ln>
      </xdr:spPr>
      <xdr:txBody>
        <a:bodyPr vertOverflow="clip" wrap="square" lIns="27432" tIns="22860" rIns="0" bIns="0" anchor="t"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3.32kΩ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449671</xdr:colOff>
      <xdr:row>12</xdr:row>
      <xdr:rowOff>37083</xdr:rowOff>
    </xdr:from>
    <xdr:to>
      <xdr:col>7</xdr:col>
      <xdr:colOff>236237</xdr:colOff>
      <xdr:row>13</xdr:row>
      <xdr:rowOff>112369</xdr:rowOff>
    </xdr:to>
    <xdr:sp macro="" textlink="'Variable Management'!B256">
      <xdr:nvSpPr>
        <xdr:cNvPr id="2313" name="Text Box 265">
          <a:extLst>
            <a:ext uri="{FF2B5EF4-FFF2-40B4-BE49-F238E27FC236}">
              <a16:creationId xmlns:a16="http://schemas.microsoft.com/office/drawing/2014/main" id="{00000000-0008-0000-0000-000009090000}"/>
            </a:ext>
          </a:extLst>
        </xdr:cNvPr>
        <xdr:cNvSpPr txBox="1">
          <a:spLocks noChangeArrowheads="1" noTextEdit="1"/>
        </xdr:cNvSpPr>
      </xdr:nvSpPr>
      <xdr:spPr bwMode="auto">
        <a:xfrm>
          <a:off x="4196918" y="2699601"/>
          <a:ext cx="414095" cy="272509"/>
        </a:xfrm>
        <a:prstGeom prst="rect">
          <a:avLst/>
        </a:prstGeom>
        <a:noFill/>
        <a:ln w="9525">
          <a:noFill/>
          <a:miter lim="800000"/>
          <a:headEnd/>
          <a:tailEnd/>
        </a:ln>
      </xdr:spPr>
      <xdr:txBody>
        <a:bodyPr vertOverflow="clip" wrap="square" lIns="27432" tIns="22860" rIns="0" bIns="0" anchor="t" upright="1"/>
        <a:lstStyle/>
        <a:p>
          <a:pPr algn="r" rtl="0">
            <a:defRPr sz="1000"/>
          </a:pPr>
          <a:fld id="{8A5847E3-10F5-4FFF-8A55-57AE8AD8F48A}" type="TxLink">
            <a:rPr lang="el-GR" sz="1000" b="0" i="0" u="none" strike="noStrike" baseline="0">
              <a:solidFill>
                <a:srgbClr val="000000"/>
              </a:solidFill>
              <a:latin typeface="Arial" pitchFamily="34" charset="0"/>
              <a:cs typeface="Arial" pitchFamily="34" charset="0"/>
            </a:rPr>
            <a:pPr algn="r" rtl="0">
              <a:defRPr sz="1000"/>
            </a:pPr>
            <a:t>560Ω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409584</xdr:colOff>
      <xdr:row>14</xdr:row>
      <xdr:rowOff>178913</xdr:rowOff>
    </xdr:from>
    <xdr:to>
      <xdr:col>7</xdr:col>
      <xdr:colOff>278518</xdr:colOff>
      <xdr:row>15</xdr:row>
      <xdr:rowOff>121046</xdr:rowOff>
    </xdr:to>
    <xdr:sp macro="" textlink="'Variable Management'!B257">
      <xdr:nvSpPr>
        <xdr:cNvPr id="2314" name="Text Box 266">
          <a:extLst>
            <a:ext uri="{FF2B5EF4-FFF2-40B4-BE49-F238E27FC236}">
              <a16:creationId xmlns:a16="http://schemas.microsoft.com/office/drawing/2014/main" id="{00000000-0008-0000-0000-00000A090000}"/>
            </a:ext>
          </a:extLst>
        </xdr:cNvPr>
        <xdr:cNvSpPr txBox="1">
          <a:spLocks noChangeArrowheads="1" noTextEdit="1"/>
        </xdr:cNvSpPr>
      </xdr:nvSpPr>
      <xdr:spPr bwMode="auto">
        <a:xfrm>
          <a:off x="4156831" y="3217948"/>
          <a:ext cx="496463" cy="193145"/>
        </a:xfrm>
        <a:prstGeom prst="rect">
          <a:avLst/>
        </a:prstGeom>
        <a:noFill/>
        <a:ln w="9525">
          <a:noFill/>
          <a:miter lim="800000"/>
          <a:headEnd/>
          <a:tailEnd/>
        </a:ln>
      </xdr:spPr>
      <xdr:txBody>
        <a:bodyPr vertOverflow="clip" wrap="square" lIns="27432" tIns="22860" rIns="0" bIns="0" anchor="t" upright="1"/>
        <a:lstStyle/>
        <a:p>
          <a:pPr algn="r" rtl="0">
            <a:defRPr sz="1000"/>
          </a:pPr>
          <a:fld id="{6C3BF70F-B67A-49A8-941F-821453611716}" type="TxLink">
            <a:rPr lang="en-US" sz="1000" b="0" i="0" u="none" strike="noStrike" baseline="0">
              <a:solidFill>
                <a:srgbClr val="000000"/>
              </a:solidFill>
              <a:latin typeface="Arial" pitchFamily="34" charset="0"/>
              <a:cs typeface="Arial" pitchFamily="34" charset="0"/>
            </a:rPr>
            <a:pPr algn="r" rtl="0">
              <a:defRPr sz="1000"/>
            </a:pPr>
            <a:t>2200pF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1596141</xdr:colOff>
      <xdr:row>21</xdr:row>
      <xdr:rowOff>108054</xdr:rowOff>
    </xdr:from>
    <xdr:to>
      <xdr:col>16</xdr:col>
      <xdr:colOff>2286142</xdr:colOff>
      <xdr:row>22</xdr:row>
      <xdr:rowOff>175707</xdr:rowOff>
    </xdr:to>
    <xdr:sp macro="" textlink="'Variable Management'!E243">
      <xdr:nvSpPr>
        <xdr:cNvPr id="2315" name="Text Box 267">
          <a:extLst>
            <a:ext uri="{FF2B5EF4-FFF2-40B4-BE49-F238E27FC236}">
              <a16:creationId xmlns:a16="http://schemas.microsoft.com/office/drawing/2014/main" id="{00000000-0008-0000-0000-00000B090000}"/>
            </a:ext>
          </a:extLst>
        </xdr:cNvPr>
        <xdr:cNvSpPr txBox="1">
          <a:spLocks noChangeArrowheads="1" noTextEdit="1"/>
        </xdr:cNvSpPr>
      </xdr:nvSpPr>
      <xdr:spPr bwMode="auto">
        <a:xfrm>
          <a:off x="12317929" y="4500760"/>
          <a:ext cx="690001" cy="246947"/>
        </a:xfrm>
        <a:prstGeom prst="rect">
          <a:avLst/>
        </a:prstGeom>
        <a:noFill/>
        <a:ln w="9525">
          <a:noFill/>
          <a:miter lim="800000"/>
          <a:headEnd/>
          <a:tailEnd/>
        </a:ln>
      </xdr:spPr>
      <xdr:txBody>
        <a:bodyPr vertOverflow="clip" wrap="square" lIns="27432" tIns="22860" rIns="0" bIns="0" anchor="ctr" upright="1"/>
        <a:lstStyle/>
        <a:p>
          <a:pPr algn="l" rtl="0">
            <a:defRPr sz="1000"/>
          </a:pPr>
          <a:fld id="{B1C96643-9062-44BD-9D18-137667D0E8FF}" type="TxLink">
            <a:rPr lang="en-US" sz="1000" b="0" i="0" u="none" strike="noStrike" baseline="0">
              <a:solidFill>
                <a:srgbClr val="000000"/>
              </a:solidFill>
              <a:latin typeface="Arial"/>
              <a:cs typeface="Arial"/>
            </a:rPr>
            <a:pPr algn="l" rtl="0">
              <a:defRPr sz="1000"/>
            </a:pPr>
            <a:t>3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773901</xdr:colOff>
      <xdr:row>12</xdr:row>
      <xdr:rowOff>30614</xdr:rowOff>
    </xdr:from>
    <xdr:to>
      <xdr:col>8</xdr:col>
      <xdr:colOff>512153</xdr:colOff>
      <xdr:row>13</xdr:row>
      <xdr:rowOff>142936</xdr:rowOff>
    </xdr:to>
    <xdr:sp macro="" textlink="'Variable Management'!B258">
      <xdr:nvSpPr>
        <xdr:cNvPr id="2316" name="Text Box 268">
          <a:extLst>
            <a:ext uri="{FF2B5EF4-FFF2-40B4-BE49-F238E27FC236}">
              <a16:creationId xmlns:a16="http://schemas.microsoft.com/office/drawing/2014/main" id="{00000000-0008-0000-0000-00000C090000}"/>
            </a:ext>
          </a:extLst>
        </xdr:cNvPr>
        <xdr:cNvSpPr txBox="1">
          <a:spLocks noChangeArrowheads="1" noTextEdit="1"/>
        </xdr:cNvSpPr>
      </xdr:nvSpPr>
      <xdr:spPr bwMode="auto">
        <a:xfrm>
          <a:off x="5148677" y="2693132"/>
          <a:ext cx="554041" cy="309545"/>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18kΩ</a:t>
          </a:fld>
          <a:endParaRPr lang="el-GR" sz="1000" b="0" i="0" strike="noStrike">
            <a:solidFill>
              <a:srgbClr val="000000"/>
            </a:solidFill>
            <a:latin typeface="Arial" pitchFamily="34" charset="0"/>
            <a:cs typeface="Arial" pitchFamily="34" charset="0"/>
          </a:endParaRPr>
        </a:p>
      </xdr:txBody>
    </xdr:sp>
    <xdr:clientData/>
  </xdr:twoCellAnchor>
  <xdr:twoCellAnchor>
    <xdr:from>
      <xdr:col>13</xdr:col>
      <xdr:colOff>317672</xdr:colOff>
      <xdr:row>30</xdr:row>
      <xdr:rowOff>59671</xdr:rowOff>
    </xdr:from>
    <xdr:to>
      <xdr:col>14</xdr:col>
      <xdr:colOff>278742</xdr:colOff>
      <xdr:row>31</xdr:row>
      <xdr:rowOff>105842</xdr:rowOff>
    </xdr:to>
    <xdr:sp macro="" textlink="'Variable Management'!B268">
      <xdr:nvSpPr>
        <xdr:cNvPr id="2318" name="Text Box 270">
          <a:extLst>
            <a:ext uri="{FF2B5EF4-FFF2-40B4-BE49-F238E27FC236}">
              <a16:creationId xmlns:a16="http://schemas.microsoft.com/office/drawing/2014/main" id="{00000000-0008-0000-0000-00000E090000}"/>
            </a:ext>
          </a:extLst>
        </xdr:cNvPr>
        <xdr:cNvSpPr txBox="1">
          <a:spLocks noChangeArrowheads="1" noTextEdit="1"/>
        </xdr:cNvSpPr>
      </xdr:nvSpPr>
      <xdr:spPr bwMode="auto">
        <a:xfrm>
          <a:off x="9094119" y="6218424"/>
          <a:ext cx="588599" cy="225465"/>
        </a:xfrm>
        <a:prstGeom prst="rect">
          <a:avLst/>
        </a:prstGeom>
        <a:noFill/>
        <a:ln w="9525">
          <a:noFill/>
          <a:miter lim="800000"/>
          <a:headEnd/>
          <a:tailEnd/>
        </a:ln>
      </xdr:spPr>
      <xdr:txBody>
        <a:bodyPr vertOverflow="clip" wrap="square" lIns="27432" tIns="22860" rIns="0" bIns="0" anchor="t" upright="1"/>
        <a:lstStyle/>
        <a:p>
          <a:pPr algn="l" rtl="0">
            <a:defRPr sz="1000"/>
          </a:pPr>
          <a:fld id="{07E99D9F-90DD-4315-B69B-BBFCCDB8D767}" type="TxLink">
            <a:rPr lang="en-US" sz="1000" b="0" i="0" u="none" strike="noStrike" baseline="0">
              <a:solidFill>
                <a:srgbClr val="000000"/>
              </a:solidFill>
              <a:latin typeface="Arial"/>
              <a:cs typeface="Arial"/>
            </a:rPr>
            <a:pPr algn="l" rtl="0">
              <a:defRPr sz="1000"/>
            </a:pPr>
            <a:t>274Ω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782306</xdr:colOff>
      <xdr:row>17</xdr:row>
      <xdr:rowOff>128493</xdr:rowOff>
    </xdr:from>
    <xdr:to>
      <xdr:col>16</xdr:col>
      <xdr:colOff>1236466</xdr:colOff>
      <xdr:row>19</xdr:row>
      <xdr:rowOff>41799</xdr:rowOff>
    </xdr:to>
    <xdr:sp macro="" textlink="'Variable Management'!B238">
      <xdr:nvSpPr>
        <xdr:cNvPr id="2323" name="Text Box 275">
          <a:extLst>
            <a:ext uri="{FF2B5EF4-FFF2-40B4-BE49-F238E27FC236}">
              <a16:creationId xmlns:a16="http://schemas.microsoft.com/office/drawing/2014/main" id="{00000000-0008-0000-0000-000013090000}"/>
            </a:ext>
          </a:extLst>
        </xdr:cNvPr>
        <xdr:cNvSpPr txBox="1">
          <a:spLocks noChangeArrowheads="1" noTextEdit="1"/>
        </xdr:cNvSpPr>
      </xdr:nvSpPr>
      <xdr:spPr bwMode="auto">
        <a:xfrm>
          <a:off x="11504094" y="3777128"/>
          <a:ext cx="454160" cy="280859"/>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7.4µH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582353</xdr:colOff>
      <xdr:row>21</xdr:row>
      <xdr:rowOff>101486</xdr:rowOff>
    </xdr:from>
    <xdr:to>
      <xdr:col>16</xdr:col>
      <xdr:colOff>1220379</xdr:colOff>
      <xdr:row>22</xdr:row>
      <xdr:rowOff>160385</xdr:rowOff>
    </xdr:to>
    <xdr:sp macro="" textlink="'Variable Management'!E250">
      <xdr:nvSpPr>
        <xdr:cNvPr id="2324" name="Text Box 276">
          <a:extLst>
            <a:ext uri="{FF2B5EF4-FFF2-40B4-BE49-F238E27FC236}">
              <a16:creationId xmlns:a16="http://schemas.microsoft.com/office/drawing/2014/main" id="{00000000-0008-0000-0000-000014090000}"/>
            </a:ext>
          </a:extLst>
        </xdr:cNvPr>
        <xdr:cNvSpPr txBox="1">
          <a:spLocks noChangeArrowheads="1" noTextEdit="1"/>
        </xdr:cNvSpPr>
      </xdr:nvSpPr>
      <xdr:spPr bwMode="auto">
        <a:xfrm>
          <a:off x="11304141" y="4494192"/>
          <a:ext cx="638026" cy="238193"/>
        </a:xfrm>
        <a:prstGeom prst="rect">
          <a:avLst/>
        </a:prstGeom>
        <a:noFill/>
        <a:ln w="9525">
          <a:noFill/>
          <a:miter lim="800000"/>
          <a:headEnd/>
          <a:tailEnd/>
        </a:ln>
      </xdr:spPr>
      <xdr:txBody>
        <a:bodyPr vertOverflow="clip" wrap="square" lIns="27432" tIns="22860" rIns="0" bIns="0" anchor="ctr" upright="1"/>
        <a:lstStyle/>
        <a:p>
          <a:pPr algn="l" rtl="0">
            <a:defRPr sz="1000"/>
          </a:pPr>
          <a:fld id="{1B4FF237-4FCE-4391-A30E-D8A66113D8BC}" type="TxLink">
            <a:rPr lang="en-US" sz="1000" b="0" i="0" u="none" strike="noStrike" baseline="0">
              <a:solidFill>
                <a:srgbClr val="000000"/>
              </a:solidFill>
              <a:latin typeface="Arial"/>
              <a:cs typeface="Arial"/>
            </a:rPr>
            <a:pPr algn="l" rtl="0">
              <a:defRPr sz="1000"/>
            </a:pPr>
            <a:t>24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15</xdr:col>
      <xdr:colOff>124830</xdr:colOff>
      <xdr:row>10</xdr:row>
      <xdr:rowOff>136599</xdr:rowOff>
    </xdr:from>
    <xdr:to>
      <xdr:col>15</xdr:col>
      <xdr:colOff>508235</xdr:colOff>
      <xdr:row>12</xdr:row>
      <xdr:rowOff>17055</xdr:rowOff>
    </xdr:to>
    <xdr:sp macro="" textlink="">
      <xdr:nvSpPr>
        <xdr:cNvPr id="2327" name="Text Box 279">
          <a:extLst>
            <a:ext uri="{FF2B5EF4-FFF2-40B4-BE49-F238E27FC236}">
              <a16:creationId xmlns:a16="http://schemas.microsoft.com/office/drawing/2014/main" id="{00000000-0008-0000-0000-000017090000}"/>
            </a:ext>
          </a:extLst>
        </xdr:cNvPr>
        <xdr:cNvSpPr txBox="1">
          <a:spLocks noChangeArrowheads="1"/>
        </xdr:cNvSpPr>
      </xdr:nvSpPr>
      <xdr:spPr bwMode="auto">
        <a:xfrm>
          <a:off x="10156336" y="2440528"/>
          <a:ext cx="383405" cy="239045"/>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xdr:from>
      <xdr:col>9</xdr:col>
      <xdr:colOff>361975</xdr:colOff>
      <xdr:row>14</xdr:row>
      <xdr:rowOff>183310</xdr:rowOff>
    </xdr:from>
    <xdr:to>
      <xdr:col>9</xdr:col>
      <xdr:colOff>715599</xdr:colOff>
      <xdr:row>15</xdr:row>
      <xdr:rowOff>171154</xdr:rowOff>
    </xdr:to>
    <xdr:sp macro="" textlink="'Variable Management'!B276">
      <xdr:nvSpPr>
        <xdr:cNvPr id="2329" name="Text Box 281">
          <a:extLst>
            <a:ext uri="{FF2B5EF4-FFF2-40B4-BE49-F238E27FC236}">
              <a16:creationId xmlns:a16="http://schemas.microsoft.com/office/drawing/2014/main" id="{00000000-0008-0000-0000-000019090000}"/>
            </a:ext>
          </a:extLst>
        </xdr:cNvPr>
        <xdr:cNvSpPr txBox="1">
          <a:spLocks noChangeArrowheads="1" noTextEdit="1"/>
        </xdr:cNvSpPr>
      </xdr:nvSpPr>
      <xdr:spPr bwMode="auto">
        <a:xfrm>
          <a:off x="6180069" y="3222345"/>
          <a:ext cx="353624" cy="238856"/>
        </a:xfrm>
        <a:prstGeom prst="rect">
          <a:avLst/>
        </a:prstGeom>
        <a:noFill/>
        <a:ln w="9525">
          <a:noFill/>
          <a:miter lim="800000"/>
          <a:headEnd/>
          <a:tailEnd/>
        </a:ln>
      </xdr:spPr>
      <xdr:txBody>
        <a:bodyPr vertOverflow="clip" wrap="square" lIns="27432" tIns="22860" rIns="0" bIns="0" anchor="t" upright="1"/>
        <a:lstStyle/>
        <a:p>
          <a:pPr algn="l" rtl="0">
            <a:defRPr sz="1000"/>
          </a:pPr>
          <a:fld id="{77460045-3ADA-4E36-A50B-8C5C548E137C}" type="TxLink">
            <a:rPr lang="en-US" sz="1000" b="0" i="0" u="none" strike="noStrike">
              <a:solidFill>
                <a:srgbClr val="000000"/>
              </a:solidFill>
              <a:latin typeface="Arial" pitchFamily="34" charset="0"/>
              <a:cs typeface="Arial" pitchFamily="34" charset="0"/>
            </a:rPr>
            <a:pPr algn="l"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xdr:from>
      <xdr:col>16</xdr:col>
      <xdr:colOff>623073</xdr:colOff>
      <xdr:row>9</xdr:row>
      <xdr:rowOff>117905</xdr:rowOff>
    </xdr:from>
    <xdr:to>
      <xdr:col>16</xdr:col>
      <xdr:colOff>991413</xdr:colOff>
      <xdr:row>11</xdr:row>
      <xdr:rowOff>12846</xdr:rowOff>
    </xdr:to>
    <xdr:sp macro="" textlink="'Variable Management'!B280">
      <xdr:nvSpPr>
        <xdr:cNvPr id="2331" name="Text Box 283">
          <a:extLst>
            <a:ext uri="{FF2B5EF4-FFF2-40B4-BE49-F238E27FC236}">
              <a16:creationId xmlns:a16="http://schemas.microsoft.com/office/drawing/2014/main" id="{00000000-0008-0000-0000-00001B090000}"/>
            </a:ext>
          </a:extLst>
        </xdr:cNvPr>
        <xdr:cNvSpPr txBox="1">
          <a:spLocks noChangeArrowheads="1" noTextEdit="1"/>
        </xdr:cNvSpPr>
      </xdr:nvSpPr>
      <xdr:spPr bwMode="auto">
        <a:xfrm>
          <a:off x="11344861" y="2242540"/>
          <a:ext cx="368340" cy="253530"/>
        </a:xfrm>
        <a:prstGeom prst="rect">
          <a:avLst/>
        </a:prstGeom>
        <a:noFill/>
        <a:ln w="9525">
          <a:noFill/>
          <a:miter lim="800000"/>
          <a:headEnd/>
          <a:tailEnd/>
        </a:ln>
      </xdr:spPr>
      <xdr:txBody>
        <a:bodyPr vertOverflow="clip" wrap="square" lIns="27432" tIns="22860" rIns="0" bIns="0" anchor="t" upright="1"/>
        <a:lstStyle/>
        <a:p>
          <a:pPr algn="l" rtl="0">
            <a:defRPr sz="1000"/>
          </a:pPr>
          <a:fld id="{211B0151-B00E-493E-8C8F-6E492416D93B}" type="TxLink">
            <a:rPr lang="en-US" sz="1200" b="1" i="0" u="none" strike="noStrike">
              <a:solidFill>
                <a:srgbClr val="FF0000"/>
              </a:solidFill>
              <a:latin typeface="Arial" pitchFamily="34" charset="0"/>
              <a:cs typeface="Arial" pitchFamily="34" charset="0"/>
            </a:rPr>
            <a:pPr algn="l" rtl="0">
              <a:defRPr sz="1000"/>
            </a:pPr>
            <a:t>24V</a:t>
          </a:fld>
          <a:endParaRPr lang="en-US" sz="1200" b="1" i="0" strike="noStrike">
            <a:solidFill>
              <a:srgbClr val="FF0000"/>
            </a:solidFill>
            <a:latin typeface="Arial" pitchFamily="34" charset="0"/>
            <a:cs typeface="Arial" pitchFamily="34" charset="0"/>
          </a:endParaRPr>
        </a:p>
      </xdr:txBody>
    </xdr:sp>
    <xdr:clientData/>
  </xdr:twoCellAnchor>
  <xdr:twoCellAnchor>
    <xdr:from>
      <xdr:col>16</xdr:col>
      <xdr:colOff>1842170</xdr:colOff>
      <xdr:row>18</xdr:row>
      <xdr:rowOff>76087</xdr:rowOff>
    </xdr:from>
    <xdr:to>
      <xdr:col>17</xdr:col>
      <xdr:colOff>5124</xdr:colOff>
      <xdr:row>19</xdr:row>
      <xdr:rowOff>128149</xdr:rowOff>
    </xdr:to>
    <xdr:sp macro="" textlink="'Variable Management'!B241">
      <xdr:nvSpPr>
        <xdr:cNvPr id="2333" name="Text Box 285">
          <a:extLst>
            <a:ext uri="{FF2B5EF4-FFF2-40B4-BE49-F238E27FC236}">
              <a16:creationId xmlns:a16="http://schemas.microsoft.com/office/drawing/2014/main" id="{00000000-0008-0000-0000-00001D090000}"/>
            </a:ext>
          </a:extLst>
        </xdr:cNvPr>
        <xdr:cNvSpPr txBox="1">
          <a:spLocks noChangeArrowheads="1" noTextEdit="1"/>
        </xdr:cNvSpPr>
      </xdr:nvSpPr>
      <xdr:spPr bwMode="auto">
        <a:xfrm>
          <a:off x="12563958" y="3904016"/>
          <a:ext cx="1031660" cy="240321"/>
        </a:xfrm>
        <a:prstGeom prst="rect">
          <a:avLst/>
        </a:prstGeom>
        <a:noFill/>
        <a:ln w="9525">
          <a:noFill/>
          <a:miter lim="800000"/>
          <a:headEnd/>
          <a:tailEnd/>
        </a:ln>
      </xdr:spPr>
      <xdr:txBody>
        <a:bodyPr vertOverflow="clip" wrap="square" lIns="27432" tIns="22860" rIns="0" bIns="0" anchor="t" upright="1"/>
        <a:lstStyle/>
        <a:p>
          <a:pPr algn="l" rtl="0">
            <a:defRPr sz="1000"/>
          </a:pPr>
          <a:fld id="{702C2B8A-7C4B-4FDB-B229-3170089D9686}" type="TxLink">
            <a:rPr lang="en-US" sz="1200" b="1" i="0" u="none" strike="noStrike" baseline="0">
              <a:solidFill>
                <a:srgbClr val="FF0000"/>
              </a:solidFill>
              <a:latin typeface="Arial" pitchFamily="34" charset="0"/>
              <a:cs typeface="Arial" pitchFamily="34" charset="0"/>
            </a:rPr>
            <a:pPr algn="l" rtl="0">
              <a:defRPr sz="1000"/>
            </a:pPr>
            <a:t>5.1V</a:t>
          </a:fld>
          <a:endParaRPr lang="en-US" sz="1200" b="1" i="0" u="none" strike="noStrike" baseline="0">
            <a:solidFill>
              <a:srgbClr val="FF0000"/>
            </a:solidFill>
            <a:latin typeface="Arial" pitchFamily="34" charset="0"/>
            <a:cs typeface="Arial" pitchFamily="34" charset="0"/>
          </a:endParaRPr>
        </a:p>
      </xdr:txBody>
    </xdr:sp>
    <xdr:clientData/>
  </xdr:twoCellAnchor>
  <xdr:twoCellAnchor>
    <xdr:from>
      <xdr:col>16</xdr:col>
      <xdr:colOff>1842170</xdr:colOff>
      <xdr:row>19</xdr:row>
      <xdr:rowOff>103233</xdr:rowOff>
    </xdr:from>
    <xdr:to>
      <xdr:col>17</xdr:col>
      <xdr:colOff>16788</xdr:colOff>
      <xdr:row>20</xdr:row>
      <xdr:rowOff>159248</xdr:rowOff>
    </xdr:to>
    <xdr:sp macro="" textlink="'Variable Management'!B279">
      <xdr:nvSpPr>
        <xdr:cNvPr id="2334" name="Text Box 286">
          <a:extLst>
            <a:ext uri="{FF2B5EF4-FFF2-40B4-BE49-F238E27FC236}">
              <a16:creationId xmlns:a16="http://schemas.microsoft.com/office/drawing/2014/main" id="{00000000-0008-0000-0000-00001E090000}"/>
            </a:ext>
          </a:extLst>
        </xdr:cNvPr>
        <xdr:cNvSpPr txBox="1">
          <a:spLocks noChangeArrowheads="1" noTextEdit="1"/>
        </xdr:cNvSpPr>
      </xdr:nvSpPr>
      <xdr:spPr bwMode="auto">
        <a:xfrm>
          <a:off x="12563958" y="4119421"/>
          <a:ext cx="1043324" cy="244274"/>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200" b="1" i="0" u="none" strike="noStrike">
              <a:solidFill>
                <a:srgbClr val="FF0000"/>
              </a:solidFill>
              <a:latin typeface="Arial" pitchFamily="34" charset="0"/>
              <a:cs typeface="Arial" pitchFamily="34" charset="0"/>
            </a:rPr>
            <a:pPr algn="l" rtl="0">
              <a:defRPr sz="1000"/>
            </a:pPr>
            <a:t>6A</a:t>
          </a:fld>
          <a:endParaRPr lang="en-US" sz="1200" b="1" i="0" strike="noStrike">
            <a:solidFill>
              <a:srgbClr val="FF0000"/>
            </a:solidFill>
            <a:latin typeface="Arial" pitchFamily="34" charset="0"/>
            <a:cs typeface="Arial" pitchFamily="34" charset="0"/>
          </a:endParaRPr>
        </a:p>
      </xdr:txBody>
    </xdr:sp>
    <xdr:clientData/>
  </xdr:twoCellAnchor>
  <xdr:twoCellAnchor>
    <xdr:from>
      <xdr:col>10</xdr:col>
      <xdr:colOff>244736</xdr:colOff>
      <xdr:row>26</xdr:row>
      <xdr:rowOff>46305</xdr:rowOff>
    </xdr:from>
    <xdr:to>
      <xdr:col>10</xdr:col>
      <xdr:colOff>463811</xdr:colOff>
      <xdr:row>26</xdr:row>
      <xdr:rowOff>46305</xdr:rowOff>
    </xdr:to>
    <xdr:sp macro="" textlink="'Variable Management'!B292">
      <xdr:nvSpPr>
        <xdr:cNvPr id="2347" name="Text Box 299">
          <a:extLst>
            <a:ext uri="{FF2B5EF4-FFF2-40B4-BE49-F238E27FC236}">
              <a16:creationId xmlns:a16="http://schemas.microsoft.com/office/drawing/2014/main" id="{00000000-0008-0000-0000-00002B090000}"/>
            </a:ext>
          </a:extLst>
        </xdr:cNvPr>
        <xdr:cNvSpPr txBox="1">
          <a:spLocks noChangeArrowheads="1" noTextEdit="1"/>
        </xdr:cNvSpPr>
      </xdr:nvSpPr>
      <xdr:spPr bwMode="auto">
        <a:xfrm>
          <a:off x="6914477" y="5434093"/>
          <a:ext cx="219075" cy="0"/>
        </a:xfrm>
        <a:prstGeom prst="rect">
          <a:avLst/>
        </a:prstGeom>
        <a:noFill/>
        <a:ln w="9525">
          <a:noFill/>
          <a:miter lim="800000"/>
          <a:headEnd/>
          <a:tailEnd/>
        </a:ln>
      </xdr:spPr>
      <xdr:txBody>
        <a:bodyPr vertOverflow="clip" wrap="square" lIns="27432" tIns="22860" rIns="0" bIns="0" anchor="t" upright="1"/>
        <a:lstStyle/>
        <a:p>
          <a:pPr algn="l" rtl="0">
            <a:defRPr sz="1000"/>
          </a:pPr>
          <a:fld id="{497BFBE6-0671-4D0F-A59C-D9187795E36B}" type="TxLink">
            <a:rPr lang="en-US" sz="1000" b="0" i="0" u="none" strike="noStrike">
              <a:solidFill>
                <a:srgbClr val="000000"/>
              </a:solidFill>
              <a:latin typeface="Calibri"/>
              <a:cs typeface="Arial"/>
            </a:rPr>
            <a:pPr algn="l" rtl="0">
              <a:defRPr sz="1000"/>
            </a:pPr>
            <a:t>13</a:t>
          </a:fld>
          <a:endParaRPr lang="en-US" sz="1000" b="0" i="0" strike="noStrike">
            <a:solidFill>
              <a:srgbClr val="000000"/>
            </a:solidFill>
            <a:latin typeface="Calibri"/>
          </a:endParaRPr>
        </a:p>
      </xdr:txBody>
    </xdr:sp>
    <xdr:clientData/>
  </xdr:twoCellAnchor>
  <xdr:twoCellAnchor>
    <xdr:from>
      <xdr:col>9</xdr:col>
      <xdr:colOff>568607</xdr:colOff>
      <xdr:row>10</xdr:row>
      <xdr:rowOff>38586</xdr:rowOff>
    </xdr:from>
    <xdr:to>
      <xdr:col>10</xdr:col>
      <xdr:colOff>98287</xdr:colOff>
      <xdr:row>11</xdr:row>
      <xdr:rowOff>123857</xdr:rowOff>
    </xdr:to>
    <xdr:sp macro="" textlink="">
      <xdr:nvSpPr>
        <xdr:cNvPr id="90" name="Text Box 251">
          <a:extLst>
            <a:ext uri="{FF2B5EF4-FFF2-40B4-BE49-F238E27FC236}">
              <a16:creationId xmlns:a16="http://schemas.microsoft.com/office/drawing/2014/main" id="{00000000-0008-0000-0000-00005A000000}"/>
            </a:ext>
          </a:extLst>
        </xdr:cNvPr>
        <xdr:cNvSpPr txBox="1">
          <a:spLocks noChangeArrowheads="1"/>
        </xdr:cNvSpPr>
      </xdr:nvSpPr>
      <xdr:spPr bwMode="auto">
        <a:xfrm>
          <a:off x="6386701" y="2342515"/>
          <a:ext cx="381327" cy="26456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RT</a:t>
          </a:r>
        </a:p>
      </xdr:txBody>
    </xdr:sp>
    <xdr:clientData/>
  </xdr:twoCellAnchor>
  <xdr:twoCellAnchor>
    <xdr:from>
      <xdr:col>9</xdr:col>
      <xdr:colOff>433888</xdr:colOff>
      <xdr:row>11</xdr:row>
      <xdr:rowOff>83690</xdr:rowOff>
    </xdr:from>
    <xdr:to>
      <xdr:col>10</xdr:col>
      <xdr:colOff>115603</xdr:colOff>
      <xdr:row>12</xdr:row>
      <xdr:rowOff>151150</xdr:rowOff>
    </xdr:to>
    <xdr:sp macro="" textlink="'Variable Management'!B275">
      <xdr:nvSpPr>
        <xdr:cNvPr id="91" name="Text Box 281">
          <a:extLst>
            <a:ext uri="{FF2B5EF4-FFF2-40B4-BE49-F238E27FC236}">
              <a16:creationId xmlns:a16="http://schemas.microsoft.com/office/drawing/2014/main" id="{00000000-0008-0000-0000-00005B000000}"/>
            </a:ext>
          </a:extLst>
        </xdr:cNvPr>
        <xdr:cNvSpPr txBox="1">
          <a:spLocks noChangeArrowheads="1" noTextEdit="1"/>
        </xdr:cNvSpPr>
      </xdr:nvSpPr>
      <xdr:spPr bwMode="auto">
        <a:xfrm>
          <a:off x="6251982" y="2566914"/>
          <a:ext cx="533362" cy="246754"/>
        </a:xfrm>
        <a:prstGeom prst="rect">
          <a:avLst/>
        </a:prstGeom>
        <a:noFill/>
        <a:ln w="9525">
          <a:noFill/>
          <a:miter lim="800000"/>
          <a:headEnd/>
          <a:tailEnd/>
        </a:ln>
      </xdr:spPr>
      <xdr:txBody>
        <a:bodyPr vertOverflow="clip" wrap="square" lIns="27432" tIns="22860" rIns="0" bIns="0" anchor="t" upright="1"/>
        <a:lstStyle/>
        <a:p>
          <a:pPr algn="ctr" rtl="0">
            <a:defRPr sz="1000"/>
          </a:pPr>
          <a:fld id="{84EB9262-B954-486D-9975-AAB24967BDAC}" type="TxLink">
            <a:rPr lang="en-US" sz="1000" b="0" i="0" u="none" strike="noStrike">
              <a:solidFill>
                <a:srgbClr val="000000"/>
              </a:solidFill>
              <a:latin typeface="Arial" pitchFamily="34" charset="0"/>
              <a:cs typeface="Arial" pitchFamily="34" charset="0"/>
            </a:rPr>
            <a:pPr algn="ctr" rtl="0">
              <a:defRPr sz="1000"/>
            </a:pPr>
            <a:t>33.2kΩ</a:t>
          </a:fld>
          <a:endParaRPr lang="en-US" sz="1000" b="0" i="0" strike="noStrike">
            <a:solidFill>
              <a:srgbClr val="000000"/>
            </a:solidFill>
            <a:latin typeface="Arial" pitchFamily="34" charset="0"/>
            <a:cs typeface="Arial" pitchFamily="34" charset="0"/>
          </a:endParaRPr>
        </a:p>
      </xdr:txBody>
    </xdr:sp>
    <xdr:clientData/>
  </xdr:twoCellAnchor>
  <xdr:twoCellAnchor>
    <xdr:from>
      <xdr:col>15</xdr:col>
      <xdr:colOff>99631</xdr:colOff>
      <xdr:row>9</xdr:row>
      <xdr:rowOff>126447</xdr:rowOff>
    </xdr:from>
    <xdr:to>
      <xdr:col>15</xdr:col>
      <xdr:colOff>503574</xdr:colOff>
      <xdr:row>10</xdr:row>
      <xdr:rowOff>176075</xdr:rowOff>
    </xdr:to>
    <xdr:sp macro="" textlink="">
      <xdr:nvSpPr>
        <xdr:cNvPr id="2295" name="Text Box 247">
          <a:extLst>
            <a:ext uri="{FF2B5EF4-FFF2-40B4-BE49-F238E27FC236}">
              <a16:creationId xmlns:a16="http://schemas.microsoft.com/office/drawing/2014/main" id="{00000000-0008-0000-0000-0000F7080000}"/>
            </a:ext>
          </a:extLst>
        </xdr:cNvPr>
        <xdr:cNvSpPr txBox="1">
          <a:spLocks noChangeArrowheads="1"/>
        </xdr:cNvSpPr>
      </xdr:nvSpPr>
      <xdr:spPr bwMode="auto">
        <a:xfrm>
          <a:off x="10131137" y="2251082"/>
          <a:ext cx="403943" cy="22892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a:t>
          </a:r>
        </a:p>
      </xdr:txBody>
    </xdr:sp>
    <xdr:clientData/>
  </xdr:twoCellAnchor>
  <xdr:twoCellAnchor>
    <xdr:from>
      <xdr:col>16</xdr:col>
      <xdr:colOff>90349</xdr:colOff>
      <xdr:row>18</xdr:row>
      <xdr:rowOff>17007</xdr:rowOff>
    </xdr:from>
    <xdr:to>
      <xdr:col>16</xdr:col>
      <xdr:colOff>413194</xdr:colOff>
      <xdr:row>19</xdr:row>
      <xdr:rowOff>128344</xdr:rowOff>
    </xdr:to>
    <xdr:sp macro="" textlink="">
      <xdr:nvSpPr>
        <xdr:cNvPr id="97" name="Text Box 244">
          <a:extLst>
            <a:ext uri="{FF2B5EF4-FFF2-40B4-BE49-F238E27FC236}">
              <a16:creationId xmlns:a16="http://schemas.microsoft.com/office/drawing/2014/main" id="{00000000-0008-0000-0000-000061000000}"/>
            </a:ext>
          </a:extLst>
        </xdr:cNvPr>
        <xdr:cNvSpPr txBox="1">
          <a:spLocks noChangeArrowheads="1"/>
        </xdr:cNvSpPr>
      </xdr:nvSpPr>
      <xdr:spPr bwMode="auto">
        <a:xfrm>
          <a:off x="10812137" y="3844936"/>
          <a:ext cx="322845" cy="29959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xdr:from>
      <xdr:col>16</xdr:col>
      <xdr:colOff>80474</xdr:colOff>
      <xdr:row>13</xdr:row>
      <xdr:rowOff>17014</xdr:rowOff>
    </xdr:from>
    <xdr:to>
      <xdr:col>16</xdr:col>
      <xdr:colOff>403319</xdr:colOff>
      <xdr:row>14</xdr:row>
      <xdr:rowOff>112859</xdr:rowOff>
    </xdr:to>
    <xdr:sp macro="" textlink="">
      <xdr:nvSpPr>
        <xdr:cNvPr id="102" name="Text Box 244">
          <a:extLst>
            <a:ext uri="{FF2B5EF4-FFF2-40B4-BE49-F238E27FC236}">
              <a16:creationId xmlns:a16="http://schemas.microsoft.com/office/drawing/2014/main" id="{00000000-0008-0000-0000-000066000000}"/>
            </a:ext>
          </a:extLst>
        </xdr:cNvPr>
        <xdr:cNvSpPr txBox="1">
          <a:spLocks noChangeArrowheads="1"/>
        </xdr:cNvSpPr>
      </xdr:nvSpPr>
      <xdr:spPr bwMode="auto">
        <a:xfrm>
          <a:off x="10802262" y="2876755"/>
          <a:ext cx="322845" cy="27513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xdr:from>
      <xdr:col>10</xdr:col>
      <xdr:colOff>535368</xdr:colOff>
      <xdr:row>6</xdr:row>
      <xdr:rowOff>39262</xdr:rowOff>
    </xdr:from>
    <xdr:to>
      <xdr:col>11</xdr:col>
      <xdr:colOff>481378</xdr:colOff>
      <xdr:row>7</xdr:row>
      <xdr:rowOff>83672</xdr:rowOff>
    </xdr:to>
    <xdr:sp macro="" textlink="'Variable Management'!G98">
      <xdr:nvSpPr>
        <xdr:cNvPr id="66" name="Text Box 264">
          <a:extLst>
            <a:ext uri="{FF2B5EF4-FFF2-40B4-BE49-F238E27FC236}">
              <a16:creationId xmlns:a16="http://schemas.microsoft.com/office/drawing/2014/main" id="{00000000-0008-0000-0000-000042000000}"/>
            </a:ext>
          </a:extLst>
        </xdr:cNvPr>
        <xdr:cNvSpPr txBox="1">
          <a:spLocks noChangeArrowheads="1" noTextEdit="1"/>
        </xdr:cNvSpPr>
      </xdr:nvSpPr>
      <xdr:spPr bwMode="auto">
        <a:xfrm>
          <a:off x="7205109" y="1626015"/>
          <a:ext cx="573540" cy="223704"/>
        </a:xfrm>
        <a:prstGeom prst="rect">
          <a:avLst/>
        </a:prstGeom>
        <a:noFill/>
        <a:ln w="9525">
          <a:noFill/>
          <a:miter lim="800000"/>
          <a:headEnd/>
          <a:tailEnd/>
        </a:ln>
      </xdr:spPr>
      <xdr:txBody>
        <a:bodyPr vertOverflow="clip" wrap="square" lIns="27432" tIns="22860" rIns="0" bIns="0" anchor="t" upright="1"/>
        <a:lstStyle/>
        <a:p>
          <a:pPr algn="r" rtl="0">
            <a:defRPr sz="1000"/>
          </a:pPr>
          <a:fld id="{123D91BC-1DE9-4CAD-9801-8A70C08E2402}" type="TxLink">
            <a:rPr lang="en-US" sz="1000" b="0" i="0" u="none" strike="noStrike" baseline="0">
              <a:solidFill>
                <a:srgbClr val="000000"/>
              </a:solidFill>
              <a:latin typeface="Arialri"/>
              <a:cs typeface="Arial" pitchFamily="34" charset="0"/>
            </a:rPr>
            <a:pPr algn="r" rtl="0">
              <a:defRPr sz="1000"/>
            </a:pPr>
            <a:t>12.7kΩ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84897</xdr:colOff>
      <xdr:row>5</xdr:row>
      <xdr:rowOff>8247</xdr:rowOff>
    </xdr:from>
    <xdr:to>
      <xdr:col>11</xdr:col>
      <xdr:colOff>505966</xdr:colOff>
      <xdr:row>6</xdr:row>
      <xdr:rowOff>38645</xdr:rowOff>
    </xdr:to>
    <xdr:sp macro="" textlink="">
      <xdr:nvSpPr>
        <xdr:cNvPr id="68" name="Text Box 255">
          <a:extLst>
            <a:ext uri="{FF2B5EF4-FFF2-40B4-BE49-F238E27FC236}">
              <a16:creationId xmlns:a16="http://schemas.microsoft.com/office/drawing/2014/main" id="{00000000-0008-0000-0000-000044000000}"/>
            </a:ext>
          </a:extLst>
        </xdr:cNvPr>
        <xdr:cNvSpPr txBox="1">
          <a:spLocks noChangeArrowheads="1"/>
        </xdr:cNvSpPr>
      </xdr:nvSpPr>
      <xdr:spPr bwMode="auto">
        <a:xfrm>
          <a:off x="7382168" y="1415706"/>
          <a:ext cx="421069" cy="20969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UV2</a:t>
          </a:r>
        </a:p>
      </xdr:txBody>
    </xdr:sp>
    <xdr:clientData/>
  </xdr:twoCellAnchor>
  <xdr:twoCellAnchor>
    <xdr:from>
      <xdr:col>11</xdr:col>
      <xdr:colOff>661946</xdr:colOff>
      <xdr:row>6</xdr:row>
      <xdr:rowOff>29009</xdr:rowOff>
    </xdr:from>
    <xdr:to>
      <xdr:col>12</xdr:col>
      <xdr:colOff>395661</xdr:colOff>
      <xdr:row>7</xdr:row>
      <xdr:rowOff>65707</xdr:rowOff>
    </xdr:to>
    <xdr:sp macro="" textlink="'Variable Management'!G97">
      <xdr:nvSpPr>
        <xdr:cNvPr id="69" name="Text Box 264">
          <a:extLst>
            <a:ext uri="{FF2B5EF4-FFF2-40B4-BE49-F238E27FC236}">
              <a16:creationId xmlns:a16="http://schemas.microsoft.com/office/drawing/2014/main" id="{00000000-0008-0000-0000-000045000000}"/>
            </a:ext>
          </a:extLst>
        </xdr:cNvPr>
        <xdr:cNvSpPr txBox="1">
          <a:spLocks noChangeArrowheads="1" noTextEdit="1"/>
        </xdr:cNvSpPr>
      </xdr:nvSpPr>
      <xdr:spPr bwMode="auto">
        <a:xfrm>
          <a:off x="7959217" y="1615762"/>
          <a:ext cx="585362" cy="215992"/>
        </a:xfrm>
        <a:prstGeom prst="rect">
          <a:avLst/>
        </a:prstGeom>
        <a:noFill/>
        <a:ln w="9525">
          <a:noFill/>
          <a:miter lim="800000"/>
          <a:headEnd/>
          <a:tailEnd/>
        </a:ln>
      </xdr:spPr>
      <xdr:txBody>
        <a:bodyPr vertOverflow="clip" wrap="square" lIns="27432" tIns="22860" rIns="0" bIns="0" anchor="t" upright="1"/>
        <a:lstStyle/>
        <a:p>
          <a:pPr algn="r" rtl="0">
            <a:defRPr sz="1000"/>
          </a:pPr>
          <a:fld id="{302BC79D-87FA-43D3-B7A3-AC5513B978CE}" type="TxLink">
            <a:rPr lang="en-US" sz="1000" b="0" i="0" u="none" strike="noStrike" baseline="0">
              <a:solidFill>
                <a:srgbClr val="000000"/>
              </a:solidFill>
              <a:latin typeface="Arialri"/>
              <a:cs typeface="Arial" pitchFamily="34" charset="0"/>
            </a:rPr>
            <a:pPr algn="r" rtl="0">
              <a:defRPr sz="1000"/>
            </a:pPr>
            <a:t>75kΩ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795787</xdr:colOff>
      <xdr:row>4</xdr:row>
      <xdr:rowOff>242103</xdr:rowOff>
    </xdr:from>
    <xdr:to>
      <xdr:col>12</xdr:col>
      <xdr:colOff>375327</xdr:colOff>
      <xdr:row>6</xdr:row>
      <xdr:rowOff>28879</xdr:rowOff>
    </xdr:to>
    <xdr:sp macro="" textlink="">
      <xdr:nvSpPr>
        <xdr:cNvPr id="70" name="Text Box 255">
          <a:extLst>
            <a:ext uri="{FF2B5EF4-FFF2-40B4-BE49-F238E27FC236}">
              <a16:creationId xmlns:a16="http://schemas.microsoft.com/office/drawing/2014/main" id="{00000000-0008-0000-0000-000046000000}"/>
            </a:ext>
          </a:extLst>
        </xdr:cNvPr>
        <xdr:cNvSpPr txBox="1">
          <a:spLocks noChangeArrowheads="1"/>
        </xdr:cNvSpPr>
      </xdr:nvSpPr>
      <xdr:spPr bwMode="auto">
        <a:xfrm>
          <a:off x="8093058" y="1398550"/>
          <a:ext cx="431187" cy="217082"/>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UV1</a:t>
          </a:r>
        </a:p>
      </xdr:txBody>
    </xdr:sp>
    <xdr:clientData/>
  </xdr:twoCellAnchor>
  <xdr:twoCellAnchor>
    <xdr:from>
      <xdr:col>16</xdr:col>
      <xdr:colOff>754541</xdr:colOff>
      <xdr:row>18</xdr:row>
      <xdr:rowOff>162716</xdr:rowOff>
    </xdr:from>
    <xdr:to>
      <xdr:col>16</xdr:col>
      <xdr:colOff>1270654</xdr:colOff>
      <xdr:row>20</xdr:row>
      <xdr:rowOff>55909</xdr:rowOff>
    </xdr:to>
    <xdr:sp macro="" textlink="'Variable Management'!B239">
      <xdr:nvSpPr>
        <xdr:cNvPr id="142" name="Text Box 275">
          <a:extLst>
            <a:ext uri="{FF2B5EF4-FFF2-40B4-BE49-F238E27FC236}">
              <a16:creationId xmlns:a16="http://schemas.microsoft.com/office/drawing/2014/main" id="{00000000-0008-0000-0000-00008E000000}"/>
            </a:ext>
          </a:extLst>
        </xdr:cNvPr>
        <xdr:cNvSpPr txBox="1">
          <a:spLocks noChangeArrowheads="1" noTextEdit="1"/>
        </xdr:cNvSpPr>
      </xdr:nvSpPr>
      <xdr:spPr bwMode="auto">
        <a:xfrm>
          <a:off x="11476329" y="3990645"/>
          <a:ext cx="516113" cy="269711"/>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5mΩ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799138</xdr:colOff>
      <xdr:row>28</xdr:row>
      <xdr:rowOff>53618</xdr:rowOff>
    </xdr:from>
    <xdr:to>
      <xdr:col>12</xdr:col>
      <xdr:colOff>455323</xdr:colOff>
      <xdr:row>29</xdr:row>
      <xdr:rowOff>110794</xdr:rowOff>
    </xdr:to>
    <xdr:sp macro="" textlink="">
      <xdr:nvSpPr>
        <xdr:cNvPr id="145" name="Text Box 245">
          <a:extLst>
            <a:ext uri="{FF2B5EF4-FFF2-40B4-BE49-F238E27FC236}">
              <a16:creationId xmlns:a16="http://schemas.microsoft.com/office/drawing/2014/main" id="{00000000-0008-0000-0000-000091000000}"/>
            </a:ext>
          </a:extLst>
        </xdr:cNvPr>
        <xdr:cNvSpPr txBox="1">
          <a:spLocks noChangeArrowheads="1"/>
        </xdr:cNvSpPr>
      </xdr:nvSpPr>
      <xdr:spPr bwMode="auto">
        <a:xfrm>
          <a:off x="8096409" y="5799994"/>
          <a:ext cx="507832" cy="2364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PGOOD</a:t>
          </a:r>
        </a:p>
      </xdr:txBody>
    </xdr:sp>
    <xdr:clientData/>
  </xdr:twoCellAnchor>
  <xdr:twoCellAnchor>
    <xdr:from>
      <xdr:col>11</xdr:col>
      <xdr:colOff>816486</xdr:colOff>
      <xdr:row>29</xdr:row>
      <xdr:rowOff>62180</xdr:rowOff>
    </xdr:from>
    <xdr:to>
      <xdr:col>12</xdr:col>
      <xdr:colOff>596113</xdr:colOff>
      <xdr:row>30</xdr:row>
      <xdr:rowOff>78493</xdr:rowOff>
    </xdr:to>
    <xdr:sp macro="" textlink="'Variable Management'!B274">
      <xdr:nvSpPr>
        <xdr:cNvPr id="146" name="Text Box 281">
          <a:extLst>
            <a:ext uri="{FF2B5EF4-FFF2-40B4-BE49-F238E27FC236}">
              <a16:creationId xmlns:a16="http://schemas.microsoft.com/office/drawing/2014/main" id="{00000000-0008-0000-0000-000092000000}"/>
            </a:ext>
          </a:extLst>
        </xdr:cNvPr>
        <xdr:cNvSpPr txBox="1">
          <a:spLocks noChangeArrowheads="1" noTextEdit="1"/>
        </xdr:cNvSpPr>
      </xdr:nvSpPr>
      <xdr:spPr bwMode="auto">
        <a:xfrm>
          <a:off x="8113757" y="5987851"/>
          <a:ext cx="631274" cy="249395"/>
        </a:xfrm>
        <a:prstGeom prst="rect">
          <a:avLst/>
        </a:prstGeom>
        <a:noFill/>
        <a:ln w="9525">
          <a:noFill/>
          <a:miter lim="800000"/>
          <a:headEnd/>
          <a:tailEnd/>
        </a:ln>
      </xdr:spPr>
      <xdr:txBody>
        <a:bodyPr vertOverflow="clip" wrap="square" lIns="27432" tIns="22860" rIns="0" bIns="0" anchor="ctr" upright="1"/>
        <a:lstStyle/>
        <a:p>
          <a:pPr algn="l" rtl="0">
            <a:defRPr sz="1000"/>
          </a:pPr>
          <a:fld id="{89760BEF-9E88-4172-89E5-A2E0AD0D10FF}" type="TxLink">
            <a:rPr lang="en-US" sz="1000" b="0" i="0" u="none" strike="noStrike">
              <a:solidFill>
                <a:srgbClr val="000000"/>
              </a:solidFill>
              <a:latin typeface="Arialri"/>
              <a:cs typeface="Arial" pitchFamily="34" charset="0"/>
            </a:rPr>
            <a:pPr algn="l" rtl="0">
              <a:defRPr sz="1000"/>
            </a:pPr>
            <a:t>20kΩ</a:t>
          </a:fld>
          <a:endParaRPr lang="en-US" sz="1000" b="0" i="0" strike="noStrike">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xdr:from>
          <xdr:col>5</xdr:col>
          <xdr:colOff>0</xdr:colOff>
          <xdr:row>59</xdr:row>
          <xdr:rowOff>160020</xdr:rowOff>
        </xdr:from>
        <xdr:to>
          <xdr:col>5</xdr:col>
          <xdr:colOff>182880</xdr:colOff>
          <xdr:row>61</xdr:row>
          <xdr:rowOff>7620</xdr:rowOff>
        </xdr:to>
        <xdr:sp macro="" textlink="">
          <xdr:nvSpPr>
            <xdr:cNvPr id="672829" name="Spinner 61" hidden="1">
              <a:extLst>
                <a:ext uri="{63B3BB69-23CF-44E3-9099-C40C66FF867C}">
                  <a14:compatExt spid="_x0000_s672829"/>
                </a:ext>
                <a:ext uri="{FF2B5EF4-FFF2-40B4-BE49-F238E27FC236}">
                  <a16:creationId xmlns:a16="http://schemas.microsoft.com/office/drawing/2014/main" id="{00000000-0008-0000-0000-00003D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66</xdr:row>
          <xdr:rowOff>0</xdr:rowOff>
        </xdr:from>
        <xdr:to>
          <xdr:col>5</xdr:col>
          <xdr:colOff>182880</xdr:colOff>
          <xdr:row>67</xdr:row>
          <xdr:rowOff>0</xdr:rowOff>
        </xdr:to>
        <xdr:sp macro="" textlink="">
          <xdr:nvSpPr>
            <xdr:cNvPr id="672830" name="Spinner 62" hidden="1">
              <a:extLst>
                <a:ext uri="{63B3BB69-23CF-44E3-9099-C40C66FF867C}">
                  <a14:compatExt spid="_x0000_s672830"/>
                </a:ext>
                <a:ext uri="{FF2B5EF4-FFF2-40B4-BE49-F238E27FC236}">
                  <a16:creationId xmlns:a16="http://schemas.microsoft.com/office/drawing/2014/main" id="{00000000-0008-0000-0000-00003E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67</xdr:row>
          <xdr:rowOff>0</xdr:rowOff>
        </xdr:from>
        <xdr:to>
          <xdr:col>5</xdr:col>
          <xdr:colOff>182880</xdr:colOff>
          <xdr:row>67</xdr:row>
          <xdr:rowOff>190500</xdr:rowOff>
        </xdr:to>
        <xdr:sp macro="" textlink="">
          <xdr:nvSpPr>
            <xdr:cNvPr id="672831" name="Spinner 63" hidden="1">
              <a:extLst>
                <a:ext uri="{63B3BB69-23CF-44E3-9099-C40C66FF867C}">
                  <a14:compatExt spid="_x0000_s672831"/>
                </a:ext>
                <a:ext uri="{FF2B5EF4-FFF2-40B4-BE49-F238E27FC236}">
                  <a16:creationId xmlns:a16="http://schemas.microsoft.com/office/drawing/2014/main" id="{00000000-0008-0000-0000-00003F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68</xdr:row>
          <xdr:rowOff>0</xdr:rowOff>
        </xdr:from>
        <xdr:to>
          <xdr:col>5</xdr:col>
          <xdr:colOff>182880</xdr:colOff>
          <xdr:row>68</xdr:row>
          <xdr:rowOff>190500</xdr:rowOff>
        </xdr:to>
        <xdr:sp macro="" textlink="">
          <xdr:nvSpPr>
            <xdr:cNvPr id="672832" name="Spinner 64" hidden="1">
              <a:extLst>
                <a:ext uri="{63B3BB69-23CF-44E3-9099-C40C66FF867C}">
                  <a14:compatExt spid="_x0000_s672832"/>
                </a:ext>
                <a:ext uri="{FF2B5EF4-FFF2-40B4-BE49-F238E27FC236}">
                  <a16:creationId xmlns:a16="http://schemas.microsoft.com/office/drawing/2014/main" id="{00000000-0008-0000-0000-000040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69</xdr:row>
          <xdr:rowOff>0</xdr:rowOff>
        </xdr:from>
        <xdr:to>
          <xdr:col>5</xdr:col>
          <xdr:colOff>182880</xdr:colOff>
          <xdr:row>69</xdr:row>
          <xdr:rowOff>190500</xdr:rowOff>
        </xdr:to>
        <xdr:sp macro="" textlink="">
          <xdr:nvSpPr>
            <xdr:cNvPr id="672833" name="Spinner 65" hidden="1">
              <a:extLst>
                <a:ext uri="{63B3BB69-23CF-44E3-9099-C40C66FF867C}">
                  <a14:compatExt spid="_x0000_s672833"/>
                </a:ext>
                <a:ext uri="{FF2B5EF4-FFF2-40B4-BE49-F238E27FC236}">
                  <a16:creationId xmlns:a16="http://schemas.microsoft.com/office/drawing/2014/main" id="{00000000-0008-0000-0000-000041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0</xdr:col>
      <xdr:colOff>85725</xdr:colOff>
      <xdr:row>0</xdr:row>
      <xdr:rowOff>47625</xdr:rowOff>
    </xdr:from>
    <xdr:to>
      <xdr:col>3</xdr:col>
      <xdr:colOff>292346</xdr:colOff>
      <xdr:row>0</xdr:row>
      <xdr:rowOff>586281</xdr:rowOff>
    </xdr:to>
    <xdr:pic macro="[0]!OpenLM27403ProductFolder">
      <xdr:nvPicPr>
        <xdr:cNvPr id="80" name="Picture 79">
          <a:hlinkClick xmlns:r="http://schemas.openxmlformats.org/officeDocument/2006/relationships" r:id="rId4"/>
          <a:extLst>
            <a:ext uri="{FF2B5EF4-FFF2-40B4-BE49-F238E27FC236}">
              <a16:creationId xmlns:a16="http://schemas.microsoft.com/office/drawing/2014/main" id="{00000000-0008-0000-0000-00005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t="4896" b="8304"/>
        <a:stretch/>
      </xdr:blipFill>
      <xdr:spPr>
        <a:xfrm>
          <a:off x="85725" y="47625"/>
          <a:ext cx="2283071" cy="53865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7620</xdr:colOff>
          <xdr:row>23</xdr:row>
          <xdr:rowOff>0</xdr:rowOff>
        </xdr:from>
        <xdr:to>
          <xdr:col>1</xdr:col>
          <xdr:colOff>525780</xdr:colOff>
          <xdr:row>24</xdr:row>
          <xdr:rowOff>394</xdr:rowOff>
        </xdr:to>
        <xdr:sp macro="" textlink="">
          <xdr:nvSpPr>
            <xdr:cNvPr id="672871" name="Drop Down 103" hidden="1">
              <a:extLst>
                <a:ext uri="{63B3BB69-23CF-44E3-9099-C40C66FF867C}">
                  <a14:compatExt spid="_x0000_s672871"/>
                </a:ext>
                <a:ext uri="{FF2B5EF4-FFF2-40B4-BE49-F238E27FC236}">
                  <a16:creationId xmlns:a16="http://schemas.microsoft.com/office/drawing/2014/main" id="{00000000-0008-0000-0000-0000674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305281</xdr:colOff>
      <xdr:row>23</xdr:row>
      <xdr:rowOff>39249</xdr:rowOff>
    </xdr:from>
    <xdr:to>
      <xdr:col>16</xdr:col>
      <xdr:colOff>878968</xdr:colOff>
      <xdr:row>24</xdr:row>
      <xdr:rowOff>155985</xdr:rowOff>
    </xdr:to>
    <xdr:sp macro="" textlink="'Variable Management'!B269">
      <xdr:nvSpPr>
        <xdr:cNvPr id="88" name="Text Box 270">
          <a:extLst>
            <a:ext uri="{FF2B5EF4-FFF2-40B4-BE49-F238E27FC236}">
              <a16:creationId xmlns:a16="http://schemas.microsoft.com/office/drawing/2014/main" id="{00000000-0008-0000-0000-000058000000}"/>
            </a:ext>
          </a:extLst>
        </xdr:cNvPr>
        <xdr:cNvSpPr txBox="1">
          <a:spLocks noChangeArrowheads="1" noTextEdit="1"/>
        </xdr:cNvSpPr>
      </xdr:nvSpPr>
      <xdr:spPr bwMode="auto">
        <a:xfrm>
          <a:off x="11027069" y="4862261"/>
          <a:ext cx="573687" cy="304995"/>
        </a:xfrm>
        <a:prstGeom prst="rect">
          <a:avLst/>
        </a:prstGeom>
        <a:noFill/>
        <a:ln w="9525">
          <a:noFill/>
          <a:miter lim="800000"/>
          <a:headEnd/>
          <a:tailEnd/>
        </a:ln>
      </xdr:spPr>
      <xdr:txBody>
        <a:bodyPr vertOverflow="clip" wrap="square" lIns="27432" tIns="22860" rIns="0" bIns="0" anchor="t" upright="1"/>
        <a:lstStyle/>
        <a:p>
          <a:pPr algn="l" rtl="0">
            <a:defRPr sz="1000"/>
          </a:pPr>
          <a:fld id="{B99E8AFA-CC9D-495E-8F5C-E82A30AF7894}"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371956</xdr:colOff>
      <xdr:row>22</xdr:row>
      <xdr:rowOff>72867</xdr:rowOff>
    </xdr:from>
    <xdr:to>
      <xdr:col>16</xdr:col>
      <xdr:colOff>945643</xdr:colOff>
      <xdr:row>23</xdr:row>
      <xdr:rowOff>46129</xdr:rowOff>
    </xdr:to>
    <xdr:sp macro="" textlink="'Variable Management'!A269">
      <xdr:nvSpPr>
        <xdr:cNvPr id="92" name="Text Box 270">
          <a:extLst>
            <a:ext uri="{FF2B5EF4-FFF2-40B4-BE49-F238E27FC236}">
              <a16:creationId xmlns:a16="http://schemas.microsoft.com/office/drawing/2014/main" id="{00000000-0008-0000-0000-00005C000000}"/>
            </a:ext>
          </a:extLst>
        </xdr:cNvPr>
        <xdr:cNvSpPr txBox="1">
          <a:spLocks noChangeArrowheads="1" noTextEdit="1"/>
        </xdr:cNvSpPr>
      </xdr:nvSpPr>
      <xdr:spPr bwMode="auto">
        <a:xfrm>
          <a:off x="11093744" y="4644867"/>
          <a:ext cx="573687" cy="224274"/>
        </a:xfrm>
        <a:prstGeom prst="rect">
          <a:avLst/>
        </a:prstGeom>
        <a:noFill/>
        <a:ln w="9525">
          <a:noFill/>
          <a:miter lim="800000"/>
          <a:headEnd/>
          <a:tailEnd/>
        </a:ln>
      </xdr:spPr>
      <xdr:txBody>
        <a:bodyPr vertOverflow="clip" wrap="square" lIns="27432" tIns="22860" rIns="0" bIns="0" anchor="t" upright="1"/>
        <a:lstStyle/>
        <a:p>
          <a:pPr algn="l" rtl="0">
            <a:defRPr sz="1000"/>
          </a:pPr>
          <a:fld id="{70DB96BF-E1DF-48E4-A6D6-40F1646A7E3C}"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790575</xdr:colOff>
      <xdr:row>84</xdr:row>
      <xdr:rowOff>0</xdr:rowOff>
    </xdr:from>
    <xdr:to>
      <xdr:col>16</xdr:col>
      <xdr:colOff>1212518</xdr:colOff>
      <xdr:row>85</xdr:row>
      <xdr:rowOff>47625</xdr:rowOff>
    </xdr:to>
    <xdr:sp macro="" textlink="'Variable Management'!B308">
      <xdr:nvSpPr>
        <xdr:cNvPr id="62" name="Text Box 24">
          <a:extLst>
            <a:ext uri="{FF2B5EF4-FFF2-40B4-BE49-F238E27FC236}">
              <a16:creationId xmlns:a16="http://schemas.microsoft.com/office/drawing/2014/main" id="{00000000-0008-0000-0000-00003E000000}"/>
            </a:ext>
          </a:extLst>
        </xdr:cNvPr>
        <xdr:cNvSpPr txBox="1">
          <a:spLocks noChangeArrowheads="1" noTextEdit="1"/>
        </xdr:cNvSpPr>
      </xdr:nvSpPr>
      <xdr:spPr bwMode="auto">
        <a:xfrm>
          <a:off x="11106150" y="15935325"/>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5E2734BE-9F4E-46E2-95E4-7A6A07C9A939}" type="TxLink">
            <a:rPr lang="en-US" sz="1000" b="0" i="0" u="none" strike="noStrike" baseline="0">
              <a:solidFill>
                <a:srgbClr val="000000"/>
              </a:solidFill>
              <a:latin typeface="Arial"/>
              <a:cs typeface="Arial"/>
            </a:rPr>
            <a:pPr algn="l" rtl="0">
              <a:defRPr sz="1000"/>
            </a:pPr>
            <a:t>94.1%</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266700</xdr:colOff>
      <xdr:row>83</xdr:row>
      <xdr:rowOff>219075</xdr:rowOff>
    </xdr:from>
    <xdr:to>
      <xdr:col>13</xdr:col>
      <xdr:colOff>79043</xdr:colOff>
      <xdr:row>85</xdr:row>
      <xdr:rowOff>38100</xdr:rowOff>
    </xdr:to>
    <xdr:sp macro="" textlink="'Variable Management'!B309">
      <xdr:nvSpPr>
        <xdr:cNvPr id="63" name="Text Box 24">
          <a:extLst>
            <a:ext uri="{FF2B5EF4-FFF2-40B4-BE49-F238E27FC236}">
              <a16:creationId xmlns:a16="http://schemas.microsoft.com/office/drawing/2014/main" id="{00000000-0008-0000-0000-00003F000000}"/>
            </a:ext>
          </a:extLst>
        </xdr:cNvPr>
        <xdr:cNvSpPr txBox="1">
          <a:spLocks noChangeArrowheads="1" noTextEdit="1"/>
        </xdr:cNvSpPr>
      </xdr:nvSpPr>
      <xdr:spPr bwMode="auto">
        <a:xfrm>
          <a:off x="8077200" y="15925800"/>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54471BB4-2258-4940-9924-F43A04D031AE}" type="TxLink">
            <a:rPr lang="en-US" sz="1000" b="0" i="0" u="none" strike="noStrike" baseline="0">
              <a:solidFill>
                <a:srgbClr val="000000"/>
              </a:solidFill>
              <a:latin typeface="Arial"/>
              <a:cs typeface="Arial"/>
            </a:rPr>
            <a:pPr algn="l" rtl="0">
              <a:defRPr sz="1000"/>
            </a:pPr>
            <a:t>91.9%</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177630</xdr:colOff>
      <xdr:row>30</xdr:row>
      <xdr:rowOff>13788</xdr:rowOff>
    </xdr:from>
    <xdr:to>
      <xdr:col>13</xdr:col>
      <xdr:colOff>34872</xdr:colOff>
      <xdr:row>31</xdr:row>
      <xdr:rowOff>107497</xdr:rowOff>
    </xdr:to>
    <xdr:sp macro="" textlink="'Variable Management'!A270">
      <xdr:nvSpPr>
        <xdr:cNvPr id="64" name="Text Box 231">
          <a:extLst>
            <a:ext uri="{FF2B5EF4-FFF2-40B4-BE49-F238E27FC236}">
              <a16:creationId xmlns:a16="http://schemas.microsoft.com/office/drawing/2014/main" id="{00000000-0008-0000-0000-000040000000}"/>
            </a:ext>
          </a:extLst>
        </xdr:cNvPr>
        <xdr:cNvSpPr txBox="1">
          <a:spLocks noChangeArrowheads="1"/>
        </xdr:cNvSpPr>
      </xdr:nvSpPr>
      <xdr:spPr bwMode="auto">
        <a:xfrm>
          <a:off x="8326548" y="6172541"/>
          <a:ext cx="484771" cy="273003"/>
        </a:xfrm>
        <a:prstGeom prst="rect">
          <a:avLst/>
        </a:prstGeom>
        <a:noFill/>
        <a:ln w="9525">
          <a:noFill/>
          <a:miter lim="800000"/>
          <a:headEnd/>
          <a:tailEnd/>
        </a:ln>
      </xdr:spPr>
      <xdr:txBody>
        <a:bodyPr vertOverflow="clip" wrap="square" lIns="27432" tIns="27432" rIns="0" bIns="0" anchor="t" upright="1"/>
        <a:lstStyle/>
        <a:p>
          <a:pPr algn="l" rtl="0">
            <a:defRPr sz="1000"/>
          </a:pPr>
          <a:fld id="{6DDDD961-FD77-4006-A9BF-86BA94AAC47A}" type="TxLink">
            <a:rPr lang="en-US" sz="1000" b="0" i="0" u="none" strike="noStrike">
              <a:solidFill>
                <a:srgbClr val="000000"/>
              </a:solidFill>
              <a:latin typeface="Arial"/>
              <a:cs typeface="Arial"/>
            </a:rPr>
            <a:pPr algn="l" rtl="0">
              <a:defRPr sz="1000"/>
            </a:pPr>
            <a:t>Cilim</a:t>
          </a:fld>
          <a:endParaRPr lang="en-US" sz="1000" b="0" i="0" strike="noStrike" baseline="-25000">
            <a:solidFill>
              <a:srgbClr val="000000"/>
            </a:solidFill>
            <a:latin typeface="Arial" pitchFamily="34" charset="0"/>
            <a:cs typeface="Arial" pitchFamily="34" charset="0"/>
          </a:endParaRPr>
        </a:p>
      </xdr:txBody>
    </xdr:sp>
    <xdr:clientData/>
  </xdr:twoCellAnchor>
  <xdr:twoCellAnchor>
    <xdr:from>
      <xdr:col>12</xdr:col>
      <xdr:colOff>169823</xdr:colOff>
      <xdr:row>31</xdr:row>
      <xdr:rowOff>50238</xdr:rowOff>
    </xdr:from>
    <xdr:to>
      <xdr:col>13</xdr:col>
      <xdr:colOff>125593</xdr:colOff>
      <xdr:row>32</xdr:row>
      <xdr:rowOff>96408</xdr:rowOff>
    </xdr:to>
    <xdr:sp macro="" textlink="'Variable Management'!B270">
      <xdr:nvSpPr>
        <xdr:cNvPr id="67" name="Text Box 270">
          <a:extLst>
            <a:ext uri="{FF2B5EF4-FFF2-40B4-BE49-F238E27FC236}">
              <a16:creationId xmlns:a16="http://schemas.microsoft.com/office/drawing/2014/main" id="{00000000-0008-0000-0000-000043000000}"/>
            </a:ext>
          </a:extLst>
        </xdr:cNvPr>
        <xdr:cNvSpPr txBox="1">
          <a:spLocks noChangeArrowheads="1" noTextEdit="1"/>
        </xdr:cNvSpPr>
      </xdr:nvSpPr>
      <xdr:spPr bwMode="auto">
        <a:xfrm>
          <a:off x="8318741" y="6388285"/>
          <a:ext cx="583299" cy="225464"/>
        </a:xfrm>
        <a:prstGeom prst="rect">
          <a:avLst/>
        </a:prstGeom>
        <a:noFill/>
        <a:ln w="9525">
          <a:noFill/>
          <a:miter lim="800000"/>
          <a:headEnd/>
          <a:tailEnd/>
        </a:ln>
      </xdr:spPr>
      <xdr:txBody>
        <a:bodyPr vertOverflow="clip" wrap="square" lIns="27432" tIns="22860" rIns="0" bIns="0" anchor="t" upright="1"/>
        <a:lstStyle/>
        <a:p>
          <a:pPr algn="l" rtl="0">
            <a:defRPr sz="1000"/>
          </a:pPr>
          <a:fld id="{F1AA52B6-2C20-478B-832B-81CF265F500F}" type="TxLink">
            <a:rPr lang="en-US" sz="1000" b="0" i="0" u="none" strike="noStrike" baseline="0">
              <a:solidFill>
                <a:srgbClr val="000000"/>
              </a:solidFill>
              <a:latin typeface="Arial"/>
              <a:cs typeface="Arial"/>
            </a:rPr>
            <a:pPr algn="l" rtl="0">
              <a:defRPr sz="1000"/>
            </a:pPr>
            <a:t>22pF</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617200</xdr:colOff>
      <xdr:row>10</xdr:row>
      <xdr:rowOff>173656</xdr:rowOff>
    </xdr:from>
    <xdr:to>
      <xdr:col>16</xdr:col>
      <xdr:colOff>1765580</xdr:colOff>
      <xdr:row>12</xdr:row>
      <xdr:rowOff>63149</xdr:rowOff>
    </xdr:to>
    <xdr:sp macro="" textlink="'Variable Management'!B281">
      <xdr:nvSpPr>
        <xdr:cNvPr id="71" name="Text Box 283">
          <a:extLst>
            <a:ext uri="{FF2B5EF4-FFF2-40B4-BE49-F238E27FC236}">
              <a16:creationId xmlns:a16="http://schemas.microsoft.com/office/drawing/2014/main" id="{00000000-0008-0000-0000-000047000000}"/>
            </a:ext>
          </a:extLst>
        </xdr:cNvPr>
        <xdr:cNvSpPr txBox="1">
          <a:spLocks noChangeArrowheads="1" noTextEdit="1"/>
        </xdr:cNvSpPr>
      </xdr:nvSpPr>
      <xdr:spPr bwMode="auto">
        <a:xfrm>
          <a:off x="11338988" y="2477585"/>
          <a:ext cx="1148380" cy="248082"/>
        </a:xfrm>
        <a:prstGeom prst="rect">
          <a:avLst/>
        </a:prstGeom>
        <a:noFill/>
        <a:ln w="9525">
          <a:noFill/>
          <a:miter lim="800000"/>
          <a:headEnd/>
          <a:tailEnd/>
        </a:ln>
      </xdr:spPr>
      <xdr:txBody>
        <a:bodyPr vertOverflow="clip" wrap="square" lIns="27432" tIns="22860" rIns="0" bIns="0" anchor="t" upright="1"/>
        <a:lstStyle/>
        <a:p>
          <a:pPr algn="l" rtl="0">
            <a:defRPr sz="1000"/>
          </a:pPr>
          <a:fld id="{EF361795-4FFE-464C-BBFA-7CAE15CC7442}" type="TxLink">
            <a:rPr lang="en-US" sz="1200" b="1" i="0" u="none" strike="noStrike">
              <a:solidFill>
                <a:srgbClr val="0000FF"/>
              </a:solidFill>
              <a:latin typeface="Arial"/>
              <a:cs typeface="Arial"/>
            </a:rPr>
            <a:pPr algn="l" rtl="0">
              <a:defRPr sz="1000"/>
            </a:pPr>
            <a:t>18V to 36V</a:t>
          </a:fld>
          <a:endParaRPr lang="en-US" sz="2400" b="1" i="0" strike="noStrike">
            <a:solidFill>
              <a:srgbClr val="0000FF"/>
            </a:solidFill>
            <a:latin typeface="Arial" pitchFamily="34" charset="0"/>
            <a:cs typeface="Arial" pitchFamily="34" charset="0"/>
          </a:endParaRPr>
        </a:p>
      </xdr:txBody>
    </xdr:sp>
    <xdr:clientData/>
  </xdr:twoCellAnchor>
  <xdr:twoCellAnchor editAs="oneCell">
    <xdr:from>
      <xdr:col>16</xdr:col>
      <xdr:colOff>1085850</xdr:colOff>
      <xdr:row>0</xdr:row>
      <xdr:rowOff>0</xdr:rowOff>
    </xdr:from>
    <xdr:to>
      <xdr:col>17</xdr:col>
      <xdr:colOff>1822</xdr:colOff>
      <xdr:row>3</xdr:row>
      <xdr:rowOff>61728</xdr:rowOff>
    </xdr:to>
    <xdr:pic>
      <xdr:nvPicPr>
        <xdr:cNvPr id="72" name="Picture 71">
          <a:hlinkClick xmlns:r="http://schemas.openxmlformats.org/officeDocument/2006/relationships" r:id="rId4"/>
          <a:extLst>
            <a:ext uri="{FF2B5EF4-FFF2-40B4-BE49-F238E27FC236}">
              <a16:creationId xmlns:a16="http://schemas.microsoft.com/office/drawing/2014/main" id="{00000000-0008-0000-0000-00004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791950" y="0"/>
          <a:ext cx="1788712" cy="1037088"/>
        </a:xfrm>
        <a:prstGeom prst="rect">
          <a:avLst/>
        </a:prstGeom>
      </xdr:spPr>
    </xdr:pic>
    <xdr:clientData/>
  </xdr:twoCellAnchor>
  <xdr:twoCellAnchor editAs="oneCell">
    <xdr:from>
      <xdr:col>16</xdr:col>
      <xdr:colOff>993530</xdr:colOff>
      <xdr:row>71</xdr:row>
      <xdr:rowOff>227465</xdr:rowOff>
    </xdr:from>
    <xdr:to>
      <xdr:col>16</xdr:col>
      <xdr:colOff>2784229</xdr:colOff>
      <xdr:row>78</xdr:row>
      <xdr:rowOff>37116</xdr:rowOff>
    </xdr:to>
    <xdr:pic>
      <xdr:nvPicPr>
        <xdr:cNvPr id="73" name="Picture 72">
          <a:hlinkClick xmlns:r="http://schemas.openxmlformats.org/officeDocument/2006/relationships" r:id="rId7"/>
          <a:extLst>
            <a:ext uri="{FF2B5EF4-FFF2-40B4-BE49-F238E27FC236}">
              <a16:creationId xmlns:a16="http://schemas.microsoft.com/office/drawing/2014/main" id="{00000000-0008-0000-0000-00004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1404355" y="13657715"/>
          <a:ext cx="1790699" cy="1131721"/>
        </a:xfrm>
        <a:prstGeom prst="rect">
          <a:avLst/>
        </a:prstGeom>
      </xdr:spPr>
    </xdr:pic>
    <xdr:clientData/>
  </xdr:twoCellAnchor>
  <xdr:twoCellAnchor editAs="oneCell">
    <xdr:from>
      <xdr:col>16</xdr:col>
      <xdr:colOff>111673</xdr:colOff>
      <xdr:row>0</xdr:row>
      <xdr:rowOff>0</xdr:rowOff>
    </xdr:from>
    <xdr:to>
      <xdr:col>16</xdr:col>
      <xdr:colOff>971551</xdr:colOff>
      <xdr:row>1</xdr:row>
      <xdr:rowOff>676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0523483" y="0"/>
          <a:ext cx="859878" cy="63129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38100</xdr:colOff>
          <xdr:row>3</xdr:row>
          <xdr:rowOff>175260</xdr:rowOff>
        </xdr:from>
        <xdr:to>
          <xdr:col>6</xdr:col>
          <xdr:colOff>325</xdr:colOff>
          <xdr:row>4</xdr:row>
          <xdr:rowOff>236220</xdr:rowOff>
        </xdr:to>
        <xdr:sp macro="" textlink="">
          <xdr:nvSpPr>
            <xdr:cNvPr id="683041" name="Drop Down 1057" hidden="1">
              <a:extLst>
                <a:ext uri="{63B3BB69-23CF-44E3-9099-C40C66FF867C}">
                  <a14:compatExt spid="_x0000_s683041"/>
                </a:ext>
                <a:ext uri="{FF2B5EF4-FFF2-40B4-BE49-F238E27FC236}">
                  <a16:creationId xmlns:a16="http://schemas.microsoft.com/office/drawing/2014/main" id="{00000000-0008-0000-0000-000021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11</xdr:col>
      <xdr:colOff>508170</xdr:colOff>
      <xdr:row>17</xdr:row>
      <xdr:rowOff>112251</xdr:rowOff>
    </xdr:from>
    <xdr:to>
      <xdr:col>13</xdr:col>
      <xdr:colOff>84928</xdr:colOff>
      <xdr:row>19</xdr:row>
      <xdr:rowOff>105398</xdr:rowOff>
    </xdr:to>
    <xdr:sp macro="" textlink="'Variable Management'!U12">
      <xdr:nvSpPr>
        <xdr:cNvPr id="74" name="Text Box 24">
          <a:extLst>
            <a:ext uri="{FF2B5EF4-FFF2-40B4-BE49-F238E27FC236}">
              <a16:creationId xmlns:a16="http://schemas.microsoft.com/office/drawing/2014/main" id="{00000000-0008-0000-0000-00004A000000}"/>
            </a:ext>
          </a:extLst>
        </xdr:cNvPr>
        <xdr:cNvSpPr txBox="1">
          <a:spLocks noChangeArrowheads="1" noTextEdit="1"/>
        </xdr:cNvSpPr>
      </xdr:nvSpPr>
      <xdr:spPr bwMode="auto">
        <a:xfrm>
          <a:off x="7805441" y="3760886"/>
          <a:ext cx="1055934" cy="360700"/>
        </a:xfrm>
        <a:prstGeom prst="rect">
          <a:avLst/>
        </a:prstGeom>
        <a:solidFill>
          <a:srgbClr val="7DC4D6"/>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FE4215C9-6CF6-4ED6-BE24-17A843393DAB}" type="TxLink">
            <a:rPr lang="en-US" sz="1400" b="1" i="0" u="none" strike="noStrike" baseline="0">
              <a:solidFill>
                <a:srgbClr val="FF0000"/>
              </a:solidFill>
              <a:latin typeface="Arial"/>
              <a:cs typeface="Arial"/>
            </a:rPr>
            <a:pPr algn="ctr" rtl="0">
              <a:defRPr sz="1000"/>
            </a:pPr>
            <a:t>LM25145</a:t>
          </a:fld>
          <a:endParaRPr lang="en-US" sz="2000" b="1" i="0" u="none" strike="noStrike" baseline="0">
            <a:solidFill>
              <a:srgbClr val="FF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22860</xdr:colOff>
          <xdr:row>108</xdr:row>
          <xdr:rowOff>0</xdr:rowOff>
        </xdr:from>
        <xdr:to>
          <xdr:col>2</xdr:col>
          <xdr:colOff>198120</xdr:colOff>
          <xdr:row>109</xdr:row>
          <xdr:rowOff>15240</xdr:rowOff>
        </xdr:to>
        <xdr:sp macro="" textlink="">
          <xdr:nvSpPr>
            <xdr:cNvPr id="683134" name="Drop Down 1150" hidden="1">
              <a:extLst>
                <a:ext uri="{63B3BB69-23CF-44E3-9099-C40C66FF867C}">
                  <a14:compatExt spid="_x0000_s683134"/>
                </a:ext>
                <a:ext uri="{FF2B5EF4-FFF2-40B4-BE49-F238E27FC236}">
                  <a16:creationId xmlns:a16="http://schemas.microsoft.com/office/drawing/2014/main" id="{00000000-0008-0000-0000-00007E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0.08796</cdr:x>
      <cdr:y>0.49238</cdr:y>
    </cdr:from>
    <cdr:to>
      <cdr:x>0.92197</cdr:x>
      <cdr:y>0.49409</cdr:y>
    </cdr:to>
    <cdr:sp macro="" textlink="">
      <cdr:nvSpPr>
        <cdr:cNvPr id="8195" name="Line 3"/>
        <cdr:cNvSpPr>
          <a:spLocks xmlns:a="http://schemas.openxmlformats.org/drawingml/2006/main" noChangeShapeType="1"/>
        </cdr:cNvSpPr>
      </cdr:nvSpPr>
      <cdr:spPr bwMode="auto">
        <a:xfrm xmlns:a="http://schemas.openxmlformats.org/drawingml/2006/main">
          <a:off x="753099" y="2185131"/>
          <a:ext cx="7141085" cy="7622"/>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0.92062</cdr:x>
      <cdr:y>0.58763</cdr:y>
    </cdr:from>
    <cdr:to>
      <cdr:x>0.95653</cdr:x>
      <cdr:y>0.64353</cdr:y>
    </cdr:to>
    <cdr:sp macro="" textlink="'Variable Management'!$B$261">
      <cdr:nvSpPr>
        <cdr:cNvPr id="3" name="Text Box 24"/>
        <cdr:cNvSpPr txBox="1">
          <a:spLocks xmlns:a="http://schemas.openxmlformats.org/drawingml/2006/main" noChangeArrowheads="1" noTextEdit="1"/>
        </cdr:cNvSpPr>
      </cdr:nvSpPr>
      <cdr:spPr bwMode="auto">
        <a:xfrm xmlns:a="http://schemas.openxmlformats.org/drawingml/2006/main">
          <a:off x="7976234" y="2610019"/>
          <a:ext cx="311124" cy="248286"/>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67°</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48</xdr:row>
          <xdr:rowOff>0</xdr:rowOff>
        </xdr:from>
        <xdr:to>
          <xdr:col>8</xdr:col>
          <xdr:colOff>0</xdr:colOff>
          <xdr:row>48</xdr:row>
          <xdr:rowOff>198120</xdr:rowOff>
        </xdr:to>
        <xdr:sp macro="" textlink="">
          <xdr:nvSpPr>
            <xdr:cNvPr id="673839" name="Drop Down 47" hidden="1">
              <a:extLst>
                <a:ext uri="{63B3BB69-23CF-44E3-9099-C40C66FF867C}">
                  <a14:compatExt spid="_x0000_s673839"/>
                </a:ext>
                <a:ext uri="{FF2B5EF4-FFF2-40B4-BE49-F238E27FC236}">
                  <a16:creationId xmlns:a16="http://schemas.microsoft.com/office/drawing/2014/main" id="{00000000-0008-0000-0100-00002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49</xdr:row>
          <xdr:rowOff>0</xdr:rowOff>
        </xdr:from>
        <xdr:to>
          <xdr:col>8</xdr:col>
          <xdr:colOff>0</xdr:colOff>
          <xdr:row>49</xdr:row>
          <xdr:rowOff>198120</xdr:rowOff>
        </xdr:to>
        <xdr:sp macro="" textlink="">
          <xdr:nvSpPr>
            <xdr:cNvPr id="673840" name="Drop Down 48" hidden="1">
              <a:extLst>
                <a:ext uri="{63B3BB69-23CF-44E3-9099-C40C66FF867C}">
                  <a14:compatExt spid="_x0000_s673840"/>
                </a:ext>
                <a:ext uri="{FF2B5EF4-FFF2-40B4-BE49-F238E27FC236}">
                  <a16:creationId xmlns:a16="http://schemas.microsoft.com/office/drawing/2014/main" id="{00000000-0008-0000-0100-000030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37</xdr:row>
          <xdr:rowOff>0</xdr:rowOff>
        </xdr:from>
        <xdr:to>
          <xdr:col>7</xdr:col>
          <xdr:colOff>876300</xdr:colOff>
          <xdr:row>37</xdr:row>
          <xdr:rowOff>198120</xdr:rowOff>
        </xdr:to>
        <xdr:sp macro="" textlink="">
          <xdr:nvSpPr>
            <xdr:cNvPr id="673855" name="Drop Down 63" hidden="1">
              <a:extLst>
                <a:ext uri="{63B3BB69-23CF-44E3-9099-C40C66FF867C}">
                  <a14:compatExt spid="_x0000_s673855"/>
                </a:ext>
                <a:ext uri="{FF2B5EF4-FFF2-40B4-BE49-F238E27FC236}">
                  <a16:creationId xmlns:a16="http://schemas.microsoft.com/office/drawing/2014/main" id="{00000000-0008-0000-0100-00003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38</xdr:row>
          <xdr:rowOff>0</xdr:rowOff>
        </xdr:from>
        <xdr:to>
          <xdr:col>7</xdr:col>
          <xdr:colOff>876300</xdr:colOff>
          <xdr:row>38</xdr:row>
          <xdr:rowOff>198120</xdr:rowOff>
        </xdr:to>
        <xdr:sp macro="" textlink="">
          <xdr:nvSpPr>
            <xdr:cNvPr id="673857" name="Drop Down 65" hidden="1">
              <a:extLst>
                <a:ext uri="{63B3BB69-23CF-44E3-9099-C40C66FF867C}">
                  <a14:compatExt spid="_x0000_s673857"/>
                </a:ext>
                <a:ext uri="{FF2B5EF4-FFF2-40B4-BE49-F238E27FC236}">
                  <a16:creationId xmlns:a16="http://schemas.microsoft.com/office/drawing/2014/main" id="{00000000-0008-0000-0100-000041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39</xdr:row>
          <xdr:rowOff>0</xdr:rowOff>
        </xdr:from>
        <xdr:to>
          <xdr:col>7</xdr:col>
          <xdr:colOff>876300</xdr:colOff>
          <xdr:row>39</xdr:row>
          <xdr:rowOff>198120</xdr:rowOff>
        </xdr:to>
        <xdr:sp macro="" textlink="">
          <xdr:nvSpPr>
            <xdr:cNvPr id="673858" name="Drop Down 66" hidden="1">
              <a:extLst>
                <a:ext uri="{63B3BB69-23CF-44E3-9099-C40C66FF867C}">
                  <a14:compatExt spid="_x0000_s673858"/>
                </a:ext>
                <a:ext uri="{FF2B5EF4-FFF2-40B4-BE49-F238E27FC236}">
                  <a16:creationId xmlns:a16="http://schemas.microsoft.com/office/drawing/2014/main" id="{00000000-0008-0000-0100-000042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40</xdr:row>
          <xdr:rowOff>0</xdr:rowOff>
        </xdr:from>
        <xdr:to>
          <xdr:col>7</xdr:col>
          <xdr:colOff>876300</xdr:colOff>
          <xdr:row>40</xdr:row>
          <xdr:rowOff>198120</xdr:rowOff>
        </xdr:to>
        <xdr:sp macro="" textlink="">
          <xdr:nvSpPr>
            <xdr:cNvPr id="673859" name="Drop Down 67" hidden="1">
              <a:extLst>
                <a:ext uri="{63B3BB69-23CF-44E3-9099-C40C66FF867C}">
                  <a14:compatExt spid="_x0000_s673859"/>
                </a:ext>
                <a:ext uri="{FF2B5EF4-FFF2-40B4-BE49-F238E27FC236}">
                  <a16:creationId xmlns:a16="http://schemas.microsoft.com/office/drawing/2014/main" id="{00000000-0008-0000-0100-000043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41</xdr:row>
          <xdr:rowOff>0</xdr:rowOff>
        </xdr:from>
        <xdr:to>
          <xdr:col>7</xdr:col>
          <xdr:colOff>876300</xdr:colOff>
          <xdr:row>41</xdr:row>
          <xdr:rowOff>198120</xdr:rowOff>
        </xdr:to>
        <xdr:sp macro="" textlink="">
          <xdr:nvSpPr>
            <xdr:cNvPr id="673860" name="Drop Down 68" hidden="1">
              <a:extLst>
                <a:ext uri="{63B3BB69-23CF-44E3-9099-C40C66FF867C}">
                  <a14:compatExt spid="_x0000_s673860"/>
                </a:ext>
                <a:ext uri="{FF2B5EF4-FFF2-40B4-BE49-F238E27FC236}">
                  <a16:creationId xmlns:a16="http://schemas.microsoft.com/office/drawing/2014/main" id="{00000000-0008-0000-0100-000044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0</xdr:rowOff>
        </xdr:from>
        <xdr:to>
          <xdr:col>7</xdr:col>
          <xdr:colOff>876300</xdr:colOff>
          <xdr:row>44</xdr:row>
          <xdr:rowOff>198120</xdr:rowOff>
        </xdr:to>
        <xdr:sp macro="" textlink="">
          <xdr:nvSpPr>
            <xdr:cNvPr id="673861" name="Drop Down 69" hidden="1">
              <a:extLst>
                <a:ext uri="{63B3BB69-23CF-44E3-9099-C40C66FF867C}">
                  <a14:compatExt spid="_x0000_s673861"/>
                </a:ext>
                <a:ext uri="{FF2B5EF4-FFF2-40B4-BE49-F238E27FC236}">
                  <a16:creationId xmlns:a16="http://schemas.microsoft.com/office/drawing/2014/main" id="{00000000-0008-0000-0100-000045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45</xdr:row>
          <xdr:rowOff>0</xdr:rowOff>
        </xdr:from>
        <xdr:to>
          <xdr:col>7</xdr:col>
          <xdr:colOff>876300</xdr:colOff>
          <xdr:row>45</xdr:row>
          <xdr:rowOff>198120</xdr:rowOff>
        </xdr:to>
        <xdr:sp macro="" textlink="">
          <xdr:nvSpPr>
            <xdr:cNvPr id="673862" name="Drop Down 70" hidden="1">
              <a:extLst>
                <a:ext uri="{63B3BB69-23CF-44E3-9099-C40C66FF867C}">
                  <a14:compatExt spid="_x0000_s673862"/>
                </a:ext>
                <a:ext uri="{FF2B5EF4-FFF2-40B4-BE49-F238E27FC236}">
                  <a16:creationId xmlns:a16="http://schemas.microsoft.com/office/drawing/2014/main" id="{00000000-0008-0000-0100-000046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46</xdr:row>
          <xdr:rowOff>0</xdr:rowOff>
        </xdr:from>
        <xdr:to>
          <xdr:col>7</xdr:col>
          <xdr:colOff>876300</xdr:colOff>
          <xdr:row>46</xdr:row>
          <xdr:rowOff>198120</xdr:rowOff>
        </xdr:to>
        <xdr:sp macro="" textlink="">
          <xdr:nvSpPr>
            <xdr:cNvPr id="673863" name="Drop Down 71" hidden="1">
              <a:extLst>
                <a:ext uri="{63B3BB69-23CF-44E3-9099-C40C66FF867C}">
                  <a14:compatExt spid="_x0000_s673863"/>
                </a:ext>
                <a:ext uri="{FF2B5EF4-FFF2-40B4-BE49-F238E27FC236}">
                  <a16:creationId xmlns:a16="http://schemas.microsoft.com/office/drawing/2014/main" id="{00000000-0008-0000-0100-000047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51</xdr:row>
          <xdr:rowOff>0</xdr:rowOff>
        </xdr:from>
        <xdr:to>
          <xdr:col>7</xdr:col>
          <xdr:colOff>876300</xdr:colOff>
          <xdr:row>51</xdr:row>
          <xdr:rowOff>198120</xdr:rowOff>
        </xdr:to>
        <xdr:sp macro="" textlink="">
          <xdr:nvSpPr>
            <xdr:cNvPr id="673865" name="Drop Down 73" hidden="1">
              <a:extLst>
                <a:ext uri="{63B3BB69-23CF-44E3-9099-C40C66FF867C}">
                  <a14:compatExt spid="_x0000_s673865"/>
                </a:ext>
                <a:ext uri="{FF2B5EF4-FFF2-40B4-BE49-F238E27FC236}">
                  <a16:creationId xmlns:a16="http://schemas.microsoft.com/office/drawing/2014/main" id="{00000000-0008-0000-0100-000049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52</xdr:row>
          <xdr:rowOff>0</xdr:rowOff>
        </xdr:from>
        <xdr:to>
          <xdr:col>7</xdr:col>
          <xdr:colOff>876300</xdr:colOff>
          <xdr:row>52</xdr:row>
          <xdr:rowOff>198120</xdr:rowOff>
        </xdr:to>
        <xdr:sp macro="" textlink="">
          <xdr:nvSpPr>
            <xdr:cNvPr id="673866" name="Drop Down 74" hidden="1">
              <a:extLst>
                <a:ext uri="{63B3BB69-23CF-44E3-9099-C40C66FF867C}">
                  <a14:compatExt spid="_x0000_s673866"/>
                </a:ext>
                <a:ext uri="{FF2B5EF4-FFF2-40B4-BE49-F238E27FC236}">
                  <a16:creationId xmlns:a16="http://schemas.microsoft.com/office/drawing/2014/main" id="{00000000-0008-0000-0100-00004A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53</xdr:row>
          <xdr:rowOff>0</xdr:rowOff>
        </xdr:from>
        <xdr:to>
          <xdr:col>7</xdr:col>
          <xdr:colOff>876300</xdr:colOff>
          <xdr:row>53</xdr:row>
          <xdr:rowOff>198120</xdr:rowOff>
        </xdr:to>
        <xdr:sp macro="" textlink="">
          <xdr:nvSpPr>
            <xdr:cNvPr id="673867" name="Drop Down 75" hidden="1">
              <a:extLst>
                <a:ext uri="{63B3BB69-23CF-44E3-9099-C40C66FF867C}">
                  <a14:compatExt spid="_x0000_s673867"/>
                </a:ext>
                <a:ext uri="{FF2B5EF4-FFF2-40B4-BE49-F238E27FC236}">
                  <a16:creationId xmlns:a16="http://schemas.microsoft.com/office/drawing/2014/main" id="{00000000-0008-0000-0100-00004B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xdr:row>
          <xdr:rowOff>0</xdr:rowOff>
        </xdr:from>
        <xdr:to>
          <xdr:col>7</xdr:col>
          <xdr:colOff>876300</xdr:colOff>
          <xdr:row>54</xdr:row>
          <xdr:rowOff>198120</xdr:rowOff>
        </xdr:to>
        <xdr:sp macro="" textlink="">
          <xdr:nvSpPr>
            <xdr:cNvPr id="673868" name="Drop Down 76" hidden="1">
              <a:extLst>
                <a:ext uri="{63B3BB69-23CF-44E3-9099-C40C66FF867C}">
                  <a14:compatExt spid="_x0000_s673868"/>
                </a:ext>
                <a:ext uri="{FF2B5EF4-FFF2-40B4-BE49-F238E27FC236}">
                  <a16:creationId xmlns:a16="http://schemas.microsoft.com/office/drawing/2014/main" id="{00000000-0008-0000-0100-00004C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55</xdr:row>
          <xdr:rowOff>0</xdr:rowOff>
        </xdr:from>
        <xdr:to>
          <xdr:col>7</xdr:col>
          <xdr:colOff>876300</xdr:colOff>
          <xdr:row>55</xdr:row>
          <xdr:rowOff>198120</xdr:rowOff>
        </xdr:to>
        <xdr:sp macro="" textlink="">
          <xdr:nvSpPr>
            <xdr:cNvPr id="673869" name="Drop Down 77" hidden="1">
              <a:extLst>
                <a:ext uri="{63B3BB69-23CF-44E3-9099-C40C66FF867C}">
                  <a14:compatExt spid="_x0000_s673869"/>
                </a:ext>
                <a:ext uri="{FF2B5EF4-FFF2-40B4-BE49-F238E27FC236}">
                  <a16:creationId xmlns:a16="http://schemas.microsoft.com/office/drawing/2014/main" id="{00000000-0008-0000-0100-00004D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56</xdr:row>
          <xdr:rowOff>0</xdr:rowOff>
        </xdr:from>
        <xdr:to>
          <xdr:col>7</xdr:col>
          <xdr:colOff>876300</xdr:colOff>
          <xdr:row>56</xdr:row>
          <xdr:rowOff>198120</xdr:rowOff>
        </xdr:to>
        <xdr:sp macro="" textlink="">
          <xdr:nvSpPr>
            <xdr:cNvPr id="673870" name="Drop Down 78" hidden="1">
              <a:extLst>
                <a:ext uri="{63B3BB69-23CF-44E3-9099-C40C66FF867C}">
                  <a14:compatExt spid="_x0000_s673870"/>
                </a:ext>
                <a:ext uri="{FF2B5EF4-FFF2-40B4-BE49-F238E27FC236}">
                  <a16:creationId xmlns:a16="http://schemas.microsoft.com/office/drawing/2014/main" id="{00000000-0008-0000-0100-00004E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57</xdr:row>
          <xdr:rowOff>0</xdr:rowOff>
        </xdr:from>
        <xdr:to>
          <xdr:col>7</xdr:col>
          <xdr:colOff>876300</xdr:colOff>
          <xdr:row>57</xdr:row>
          <xdr:rowOff>198120</xdr:rowOff>
        </xdr:to>
        <xdr:sp macro="" textlink="">
          <xdr:nvSpPr>
            <xdr:cNvPr id="673871" name="Drop Down 79" hidden="1">
              <a:extLst>
                <a:ext uri="{63B3BB69-23CF-44E3-9099-C40C66FF867C}">
                  <a14:compatExt spid="_x0000_s673871"/>
                </a:ext>
                <a:ext uri="{FF2B5EF4-FFF2-40B4-BE49-F238E27FC236}">
                  <a16:creationId xmlns:a16="http://schemas.microsoft.com/office/drawing/2014/main" id="{00000000-0008-0000-0100-00004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59</xdr:row>
          <xdr:rowOff>0</xdr:rowOff>
        </xdr:from>
        <xdr:to>
          <xdr:col>7</xdr:col>
          <xdr:colOff>876300</xdr:colOff>
          <xdr:row>59</xdr:row>
          <xdr:rowOff>198120</xdr:rowOff>
        </xdr:to>
        <xdr:sp macro="" textlink="">
          <xdr:nvSpPr>
            <xdr:cNvPr id="673872" name="Drop Down 80" hidden="1">
              <a:extLst>
                <a:ext uri="{63B3BB69-23CF-44E3-9099-C40C66FF867C}">
                  <a14:compatExt spid="_x0000_s673872"/>
                </a:ext>
                <a:ext uri="{FF2B5EF4-FFF2-40B4-BE49-F238E27FC236}">
                  <a16:creationId xmlns:a16="http://schemas.microsoft.com/office/drawing/2014/main" id="{00000000-0008-0000-0100-000050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60</xdr:row>
          <xdr:rowOff>0</xdr:rowOff>
        </xdr:from>
        <xdr:to>
          <xdr:col>7</xdr:col>
          <xdr:colOff>876300</xdr:colOff>
          <xdr:row>60</xdr:row>
          <xdr:rowOff>198120</xdr:rowOff>
        </xdr:to>
        <xdr:sp macro="" textlink="">
          <xdr:nvSpPr>
            <xdr:cNvPr id="673873" name="Drop Down 81" hidden="1">
              <a:extLst>
                <a:ext uri="{63B3BB69-23CF-44E3-9099-C40C66FF867C}">
                  <a14:compatExt spid="_x0000_s673873"/>
                </a:ext>
                <a:ext uri="{FF2B5EF4-FFF2-40B4-BE49-F238E27FC236}">
                  <a16:creationId xmlns:a16="http://schemas.microsoft.com/office/drawing/2014/main" id="{00000000-0008-0000-0100-000051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61</xdr:row>
          <xdr:rowOff>0</xdr:rowOff>
        </xdr:from>
        <xdr:to>
          <xdr:col>7</xdr:col>
          <xdr:colOff>876300</xdr:colOff>
          <xdr:row>61</xdr:row>
          <xdr:rowOff>198120</xdr:rowOff>
        </xdr:to>
        <xdr:sp macro="" textlink="">
          <xdr:nvSpPr>
            <xdr:cNvPr id="673874" name="Drop Down 82" hidden="1">
              <a:extLst>
                <a:ext uri="{63B3BB69-23CF-44E3-9099-C40C66FF867C}">
                  <a14:compatExt spid="_x0000_s673874"/>
                </a:ext>
                <a:ext uri="{FF2B5EF4-FFF2-40B4-BE49-F238E27FC236}">
                  <a16:creationId xmlns:a16="http://schemas.microsoft.com/office/drawing/2014/main" id="{00000000-0008-0000-0100-000052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47</xdr:row>
          <xdr:rowOff>0</xdr:rowOff>
        </xdr:from>
        <xdr:to>
          <xdr:col>7</xdr:col>
          <xdr:colOff>876300</xdr:colOff>
          <xdr:row>47</xdr:row>
          <xdr:rowOff>198120</xdr:rowOff>
        </xdr:to>
        <xdr:sp macro="" textlink="">
          <xdr:nvSpPr>
            <xdr:cNvPr id="673877" name="Drop Down 85" hidden="1">
              <a:extLst>
                <a:ext uri="{63B3BB69-23CF-44E3-9099-C40C66FF867C}">
                  <a14:compatExt spid="_x0000_s673877"/>
                </a:ext>
                <a:ext uri="{FF2B5EF4-FFF2-40B4-BE49-F238E27FC236}">
                  <a16:creationId xmlns:a16="http://schemas.microsoft.com/office/drawing/2014/main" id="{00000000-0008-0000-0100-000055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42</xdr:row>
          <xdr:rowOff>0</xdr:rowOff>
        </xdr:from>
        <xdr:to>
          <xdr:col>7</xdr:col>
          <xdr:colOff>876300</xdr:colOff>
          <xdr:row>42</xdr:row>
          <xdr:rowOff>198120</xdr:rowOff>
        </xdr:to>
        <xdr:sp macro="" textlink="">
          <xdr:nvSpPr>
            <xdr:cNvPr id="673878" name="Drop Down 86" hidden="1">
              <a:extLst>
                <a:ext uri="{63B3BB69-23CF-44E3-9099-C40C66FF867C}">
                  <a14:compatExt spid="_x0000_s673878"/>
                </a:ext>
                <a:ext uri="{FF2B5EF4-FFF2-40B4-BE49-F238E27FC236}">
                  <a16:creationId xmlns:a16="http://schemas.microsoft.com/office/drawing/2014/main" id="{00000000-0008-0000-0100-000056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43</xdr:row>
          <xdr:rowOff>0</xdr:rowOff>
        </xdr:from>
        <xdr:to>
          <xdr:col>7</xdr:col>
          <xdr:colOff>876300</xdr:colOff>
          <xdr:row>43</xdr:row>
          <xdr:rowOff>198120</xdr:rowOff>
        </xdr:to>
        <xdr:sp macro="" textlink="">
          <xdr:nvSpPr>
            <xdr:cNvPr id="673879" name="Drop Down 87" hidden="1">
              <a:extLst>
                <a:ext uri="{63B3BB69-23CF-44E3-9099-C40C66FF867C}">
                  <a14:compatExt spid="_x0000_s673879"/>
                </a:ext>
                <a:ext uri="{FF2B5EF4-FFF2-40B4-BE49-F238E27FC236}">
                  <a16:creationId xmlns:a16="http://schemas.microsoft.com/office/drawing/2014/main" id="{00000000-0008-0000-0100-000057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1173480</xdr:colOff>
          <xdr:row>48</xdr:row>
          <xdr:rowOff>7620</xdr:rowOff>
        </xdr:from>
        <xdr:to>
          <xdr:col>6</xdr:col>
          <xdr:colOff>640080</xdr:colOff>
          <xdr:row>49</xdr:row>
          <xdr:rowOff>0</xdr:rowOff>
        </xdr:to>
        <xdr:sp macro="" textlink="">
          <xdr:nvSpPr>
            <xdr:cNvPr id="674328" name="Drop Down 536" hidden="1">
              <a:extLst>
                <a:ext uri="{63B3BB69-23CF-44E3-9099-C40C66FF867C}">
                  <a14:compatExt spid="_x0000_s674328"/>
                </a:ext>
                <a:ext uri="{FF2B5EF4-FFF2-40B4-BE49-F238E27FC236}">
                  <a16:creationId xmlns:a16="http://schemas.microsoft.com/office/drawing/2014/main" id="{00000000-0008-0000-0100-000018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1173480</xdr:colOff>
          <xdr:row>49</xdr:row>
          <xdr:rowOff>0</xdr:rowOff>
        </xdr:from>
        <xdr:to>
          <xdr:col>6</xdr:col>
          <xdr:colOff>640080</xdr:colOff>
          <xdr:row>49</xdr:row>
          <xdr:rowOff>198120</xdr:rowOff>
        </xdr:to>
        <xdr:sp macro="" textlink="">
          <xdr:nvSpPr>
            <xdr:cNvPr id="674330" name="Drop Down 538" hidden="1">
              <a:extLst>
                <a:ext uri="{63B3BB69-23CF-44E3-9099-C40C66FF867C}">
                  <a14:compatExt spid="_x0000_s674330"/>
                </a:ext>
                <a:ext uri="{FF2B5EF4-FFF2-40B4-BE49-F238E27FC236}">
                  <a16:creationId xmlns:a16="http://schemas.microsoft.com/office/drawing/2014/main" id="{00000000-0008-0000-0100-00001A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233082</xdr:colOff>
          <xdr:row>1</xdr:row>
          <xdr:rowOff>11491</xdr:rowOff>
        </xdr:from>
        <xdr:to>
          <xdr:col>8</xdr:col>
          <xdr:colOff>859491</xdr:colOff>
          <xdr:row>32</xdr:row>
          <xdr:rowOff>21016</xdr:rowOff>
        </xdr:to>
        <xdr:pic>
          <xdr:nvPicPr>
            <xdr:cNvPr id="151" name="Picture 150">
              <a:extLst>
                <a:ext uri="{FF2B5EF4-FFF2-40B4-BE49-F238E27FC236}">
                  <a16:creationId xmlns:a16="http://schemas.microsoft.com/office/drawing/2014/main" id="{00000000-0008-0000-0100-000097000000}"/>
                </a:ext>
              </a:extLst>
            </xdr:cNvPr>
            <xdr:cNvPicPr>
              <a:picLocks noChangeAspect="1"/>
              <a:extLst>
                <a:ext uri="{84589F7E-364E-4C9E-8A38-B11213B215E9}">
                  <a14:cameraTool cellRange="PICTURE10" spid="_x0000_s674702"/>
                </a:ext>
              </a:extLst>
            </xdr:cNvPicPr>
          </xdr:nvPicPr>
          <xdr:blipFill>
            <a:blip xmlns:r="http://schemas.openxmlformats.org/officeDocument/2006/relationships" r:embed="rId1"/>
            <a:stretch>
              <a:fillRect/>
            </a:stretch>
          </xdr:blipFill>
          <xdr:spPr>
            <a:xfrm>
              <a:off x="233082" y="181820"/>
              <a:ext cx="9089091" cy="5289737"/>
            </a:xfrm>
            <a:prstGeom prst="rect">
              <a:avLst/>
            </a:prstGeom>
          </xdr:spPr>
        </xdr:pic>
        <xdr:clientData/>
      </xdr:twoCellAnchor>
    </mc:Choice>
    <mc:Fallback/>
  </mc:AlternateContent>
  <xdr:twoCellAnchor>
    <xdr:from>
      <xdr:col>0</xdr:col>
      <xdr:colOff>380602</xdr:colOff>
      <xdr:row>10</xdr:row>
      <xdr:rowOff>74334</xdr:rowOff>
    </xdr:from>
    <xdr:to>
      <xdr:col>1</xdr:col>
      <xdr:colOff>63804</xdr:colOff>
      <xdr:row>11</xdr:row>
      <xdr:rowOff>140089</xdr:rowOff>
    </xdr:to>
    <xdr:sp macro="" textlink="">
      <xdr:nvSpPr>
        <xdr:cNvPr id="152" name="Text Box 224">
          <a:extLst>
            <a:ext uri="{FF2B5EF4-FFF2-40B4-BE49-F238E27FC236}">
              <a16:creationId xmlns:a16="http://schemas.microsoft.com/office/drawing/2014/main" id="{00000000-0008-0000-0100-000098000000}"/>
            </a:ext>
          </a:extLst>
        </xdr:cNvPr>
        <xdr:cNvSpPr txBox="1">
          <a:spLocks noChangeArrowheads="1"/>
        </xdr:cNvSpPr>
      </xdr:nvSpPr>
      <xdr:spPr bwMode="auto">
        <a:xfrm>
          <a:off x="380602" y="1777628"/>
          <a:ext cx="274873" cy="23608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C3</a:t>
          </a:r>
        </a:p>
      </xdr:txBody>
    </xdr:sp>
    <xdr:clientData/>
  </xdr:twoCellAnchor>
  <xdr:twoCellAnchor>
    <xdr:from>
      <xdr:col>1</xdr:col>
      <xdr:colOff>625632</xdr:colOff>
      <xdr:row>7</xdr:row>
      <xdr:rowOff>106380</xdr:rowOff>
    </xdr:from>
    <xdr:to>
      <xdr:col>1</xdr:col>
      <xdr:colOff>994596</xdr:colOff>
      <xdr:row>8</xdr:row>
      <xdr:rowOff>141228</xdr:rowOff>
    </xdr:to>
    <xdr:sp macro="" textlink="">
      <xdr:nvSpPr>
        <xdr:cNvPr id="153" name="Text Box 225">
          <a:extLst>
            <a:ext uri="{FF2B5EF4-FFF2-40B4-BE49-F238E27FC236}">
              <a16:creationId xmlns:a16="http://schemas.microsoft.com/office/drawing/2014/main" id="{00000000-0008-0000-0100-000099000000}"/>
            </a:ext>
          </a:extLst>
        </xdr:cNvPr>
        <xdr:cNvSpPr txBox="1">
          <a:spLocks noChangeArrowheads="1"/>
        </xdr:cNvSpPr>
      </xdr:nvSpPr>
      <xdr:spPr bwMode="auto">
        <a:xfrm>
          <a:off x="1217303" y="1298686"/>
          <a:ext cx="368964" cy="2051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xdr:from>
      <xdr:col>0</xdr:col>
      <xdr:colOff>416024</xdr:colOff>
      <xdr:row>7</xdr:row>
      <xdr:rowOff>70202</xdr:rowOff>
    </xdr:from>
    <xdr:to>
      <xdr:col>1</xdr:col>
      <xdr:colOff>109775</xdr:colOff>
      <xdr:row>8</xdr:row>
      <xdr:rowOff>145164</xdr:rowOff>
    </xdr:to>
    <xdr:sp macro="" textlink="">
      <xdr:nvSpPr>
        <xdr:cNvPr id="154" name="Text Box 227">
          <a:extLst>
            <a:ext uri="{FF2B5EF4-FFF2-40B4-BE49-F238E27FC236}">
              <a16:creationId xmlns:a16="http://schemas.microsoft.com/office/drawing/2014/main" id="{00000000-0008-0000-0100-00009A000000}"/>
            </a:ext>
          </a:extLst>
        </xdr:cNvPr>
        <xdr:cNvSpPr txBox="1">
          <a:spLocks noChangeArrowheads="1"/>
        </xdr:cNvSpPr>
      </xdr:nvSpPr>
      <xdr:spPr bwMode="auto">
        <a:xfrm>
          <a:off x="416024" y="1262508"/>
          <a:ext cx="285422" cy="24529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7</xdr:col>
      <xdr:colOff>1100419</xdr:colOff>
      <xdr:row>17</xdr:row>
      <xdr:rowOff>111012</xdr:rowOff>
    </xdr:from>
    <xdr:to>
      <xdr:col>8</xdr:col>
      <xdr:colOff>416861</xdr:colOff>
      <xdr:row>18</xdr:row>
      <xdr:rowOff>158510</xdr:rowOff>
    </xdr:to>
    <xdr:sp macro="" textlink="">
      <xdr:nvSpPr>
        <xdr:cNvPr id="155" name="Text Box 228">
          <a:extLst>
            <a:ext uri="{FF2B5EF4-FFF2-40B4-BE49-F238E27FC236}">
              <a16:creationId xmlns:a16="http://schemas.microsoft.com/office/drawing/2014/main" id="{00000000-0008-0000-0100-00009B000000}"/>
            </a:ext>
          </a:extLst>
        </xdr:cNvPr>
        <xdr:cNvSpPr txBox="1">
          <a:spLocks noChangeArrowheads="1"/>
        </xdr:cNvSpPr>
      </xdr:nvSpPr>
      <xdr:spPr bwMode="auto">
        <a:xfrm>
          <a:off x="8460443" y="3006612"/>
          <a:ext cx="419100" cy="217827"/>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OUT</a:t>
          </a:r>
        </a:p>
      </xdr:txBody>
    </xdr:sp>
    <xdr:clientData/>
  </xdr:twoCellAnchor>
  <xdr:twoCellAnchor>
    <xdr:from>
      <xdr:col>4</xdr:col>
      <xdr:colOff>1074364</xdr:colOff>
      <xdr:row>27</xdr:row>
      <xdr:rowOff>132255</xdr:rowOff>
    </xdr:from>
    <xdr:to>
      <xdr:col>5</xdr:col>
      <xdr:colOff>369833</xdr:colOff>
      <xdr:row>29</xdr:row>
      <xdr:rowOff>63773</xdr:rowOff>
    </xdr:to>
    <xdr:sp macro="" textlink="">
      <xdr:nvSpPr>
        <xdr:cNvPr id="156" name="Text Box 231">
          <a:extLst>
            <a:ext uri="{FF2B5EF4-FFF2-40B4-BE49-F238E27FC236}">
              <a16:creationId xmlns:a16="http://schemas.microsoft.com/office/drawing/2014/main" id="{00000000-0008-0000-0100-00009C000000}"/>
            </a:ext>
          </a:extLst>
        </xdr:cNvPr>
        <xdr:cNvSpPr txBox="1">
          <a:spLocks noChangeArrowheads="1"/>
        </xdr:cNvSpPr>
      </xdr:nvSpPr>
      <xdr:spPr bwMode="auto">
        <a:xfrm>
          <a:off x="5171235" y="4731149"/>
          <a:ext cx="487774" cy="27217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ILIM</a:t>
          </a:r>
        </a:p>
      </xdr:txBody>
    </xdr:sp>
    <xdr:clientData/>
  </xdr:twoCellAnchor>
  <xdr:twoCellAnchor>
    <xdr:from>
      <xdr:col>7</xdr:col>
      <xdr:colOff>300287</xdr:colOff>
      <xdr:row>11</xdr:row>
      <xdr:rowOff>165524</xdr:rowOff>
    </xdr:from>
    <xdr:to>
      <xdr:col>7</xdr:col>
      <xdr:colOff>642668</xdr:colOff>
      <xdr:row>13</xdr:row>
      <xdr:rowOff>98655</xdr:rowOff>
    </xdr:to>
    <xdr:sp macro="" textlink="">
      <xdr:nvSpPr>
        <xdr:cNvPr id="157" name="Text Box 235">
          <a:extLst>
            <a:ext uri="{FF2B5EF4-FFF2-40B4-BE49-F238E27FC236}">
              <a16:creationId xmlns:a16="http://schemas.microsoft.com/office/drawing/2014/main" id="{00000000-0008-0000-0100-00009D000000}"/>
            </a:ext>
          </a:extLst>
        </xdr:cNvPr>
        <xdr:cNvSpPr txBox="1">
          <a:spLocks noChangeArrowheads="1"/>
        </xdr:cNvSpPr>
      </xdr:nvSpPr>
      <xdr:spPr bwMode="auto">
        <a:xfrm>
          <a:off x="7660311" y="2039148"/>
          <a:ext cx="342381" cy="273789"/>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F</a:t>
          </a:r>
        </a:p>
      </xdr:txBody>
    </xdr:sp>
    <xdr:clientData/>
  </xdr:twoCellAnchor>
  <xdr:twoCellAnchor>
    <xdr:from>
      <xdr:col>7</xdr:col>
      <xdr:colOff>50829</xdr:colOff>
      <xdr:row>17</xdr:row>
      <xdr:rowOff>139665</xdr:rowOff>
    </xdr:from>
    <xdr:to>
      <xdr:col>7</xdr:col>
      <xdr:colOff>376595</xdr:colOff>
      <xdr:row>19</xdr:row>
      <xdr:rowOff>20067</xdr:rowOff>
    </xdr:to>
    <xdr:sp macro="" textlink="">
      <xdr:nvSpPr>
        <xdr:cNvPr id="158" name="Text Box 244">
          <a:extLst>
            <a:ext uri="{FF2B5EF4-FFF2-40B4-BE49-F238E27FC236}">
              <a16:creationId xmlns:a16="http://schemas.microsoft.com/office/drawing/2014/main" id="{00000000-0008-0000-0100-00009E000000}"/>
            </a:ext>
          </a:extLst>
        </xdr:cNvPr>
        <xdr:cNvSpPr txBox="1">
          <a:spLocks noChangeArrowheads="1"/>
        </xdr:cNvSpPr>
      </xdr:nvSpPr>
      <xdr:spPr bwMode="auto">
        <a:xfrm>
          <a:off x="7410853" y="3035265"/>
          <a:ext cx="325766" cy="22106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xdr:from>
      <xdr:col>5</xdr:col>
      <xdr:colOff>1071122</xdr:colOff>
      <xdr:row>24</xdr:row>
      <xdr:rowOff>55410</xdr:rowOff>
    </xdr:from>
    <xdr:to>
      <xdr:col>6</xdr:col>
      <xdr:colOff>35975</xdr:colOff>
      <xdr:row>25</xdr:row>
      <xdr:rowOff>112952</xdr:rowOff>
    </xdr:to>
    <xdr:sp macro="" textlink="">
      <xdr:nvSpPr>
        <xdr:cNvPr id="159" name="Text Box 249">
          <a:extLst>
            <a:ext uri="{FF2B5EF4-FFF2-40B4-BE49-F238E27FC236}">
              <a16:creationId xmlns:a16="http://schemas.microsoft.com/office/drawing/2014/main" id="{00000000-0008-0000-0100-00009F000000}"/>
            </a:ext>
          </a:extLst>
        </xdr:cNvPr>
        <xdr:cNvSpPr txBox="1">
          <a:spLocks noChangeArrowheads="1"/>
        </xdr:cNvSpPr>
      </xdr:nvSpPr>
      <xdr:spPr bwMode="auto">
        <a:xfrm>
          <a:off x="6360298" y="4143316"/>
          <a:ext cx="372312" cy="22787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xdr:from>
      <xdr:col>2</xdr:col>
      <xdr:colOff>669553</xdr:colOff>
      <xdr:row>10</xdr:row>
      <xdr:rowOff>20157</xdr:rowOff>
    </xdr:from>
    <xdr:to>
      <xdr:col>2</xdr:col>
      <xdr:colOff>994327</xdr:colOff>
      <xdr:row>11</xdr:row>
      <xdr:rowOff>133791</xdr:rowOff>
    </xdr:to>
    <xdr:sp macro="" textlink="">
      <xdr:nvSpPr>
        <xdr:cNvPr id="160" name="Text Box 251">
          <a:extLst>
            <a:ext uri="{FF2B5EF4-FFF2-40B4-BE49-F238E27FC236}">
              <a16:creationId xmlns:a16="http://schemas.microsoft.com/office/drawing/2014/main" id="{00000000-0008-0000-0100-0000A0000000}"/>
            </a:ext>
          </a:extLst>
        </xdr:cNvPr>
        <xdr:cNvSpPr txBox="1">
          <a:spLocks noChangeArrowheads="1"/>
        </xdr:cNvSpPr>
      </xdr:nvSpPr>
      <xdr:spPr bwMode="auto">
        <a:xfrm>
          <a:off x="2283200" y="1723451"/>
          <a:ext cx="324774" cy="28396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SS</a:t>
          </a:r>
        </a:p>
      </xdr:txBody>
    </xdr:sp>
    <xdr:clientData/>
  </xdr:twoCellAnchor>
  <xdr:twoCellAnchor>
    <xdr:from>
      <xdr:col>2</xdr:col>
      <xdr:colOff>305434</xdr:colOff>
      <xdr:row>24</xdr:row>
      <xdr:rowOff>76728</xdr:rowOff>
    </xdr:from>
    <xdr:to>
      <xdr:col>2</xdr:col>
      <xdr:colOff>685313</xdr:colOff>
      <xdr:row>24</xdr:row>
      <xdr:rowOff>76728</xdr:rowOff>
    </xdr:to>
    <xdr:sp macro="" textlink="">
      <xdr:nvSpPr>
        <xdr:cNvPr id="161" name="Text Box 252">
          <a:extLst>
            <a:ext uri="{FF2B5EF4-FFF2-40B4-BE49-F238E27FC236}">
              <a16:creationId xmlns:a16="http://schemas.microsoft.com/office/drawing/2014/main" id="{00000000-0008-0000-0100-0000A1000000}"/>
            </a:ext>
          </a:extLst>
        </xdr:cNvPr>
        <xdr:cNvSpPr txBox="1">
          <a:spLocks noChangeArrowheads="1"/>
        </xdr:cNvSpPr>
      </xdr:nvSpPr>
      <xdr:spPr bwMode="auto">
        <a:xfrm>
          <a:off x="1919081" y="4164634"/>
          <a:ext cx="379879" cy="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100" b="0" i="0" strike="noStrike">
              <a:solidFill>
                <a:srgbClr val="000000"/>
              </a:solidFill>
              <a:latin typeface="Calibri"/>
            </a:rPr>
            <a:t>R</a:t>
          </a:r>
          <a:r>
            <a:rPr lang="en-US" sz="1100" b="0" i="0" strike="noStrike" baseline="-25000">
              <a:solidFill>
                <a:srgbClr val="000000"/>
              </a:solidFill>
              <a:latin typeface="Calibri"/>
            </a:rPr>
            <a:t>FADJ</a:t>
          </a:r>
        </a:p>
      </xdr:txBody>
    </xdr:sp>
    <xdr:clientData/>
  </xdr:twoCellAnchor>
  <xdr:twoCellAnchor>
    <xdr:from>
      <xdr:col>1</xdr:col>
      <xdr:colOff>117822</xdr:colOff>
      <xdr:row>16</xdr:row>
      <xdr:rowOff>81562</xdr:rowOff>
    </xdr:from>
    <xdr:to>
      <xdr:col>1</xdr:col>
      <xdr:colOff>511018</xdr:colOff>
      <xdr:row>17</xdr:row>
      <xdr:rowOff>129891</xdr:rowOff>
    </xdr:to>
    <xdr:sp macro="" textlink="">
      <xdr:nvSpPr>
        <xdr:cNvPr id="162" name="Text Box 255">
          <a:extLst>
            <a:ext uri="{FF2B5EF4-FFF2-40B4-BE49-F238E27FC236}">
              <a16:creationId xmlns:a16="http://schemas.microsoft.com/office/drawing/2014/main" id="{00000000-0008-0000-0100-0000A2000000}"/>
            </a:ext>
          </a:extLst>
        </xdr:cNvPr>
        <xdr:cNvSpPr txBox="1">
          <a:spLocks noChangeArrowheads="1"/>
        </xdr:cNvSpPr>
      </xdr:nvSpPr>
      <xdr:spPr bwMode="auto">
        <a:xfrm>
          <a:off x="709493" y="2806833"/>
          <a:ext cx="393196" cy="21865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xdr:from>
      <xdr:col>1</xdr:col>
      <xdr:colOff>703548</xdr:colOff>
      <xdr:row>14</xdr:row>
      <xdr:rowOff>166655</xdr:rowOff>
    </xdr:from>
    <xdr:to>
      <xdr:col>1</xdr:col>
      <xdr:colOff>972153</xdr:colOff>
      <xdr:row>16</xdr:row>
      <xdr:rowOff>43902</xdr:rowOff>
    </xdr:to>
    <xdr:sp macro="" textlink="">
      <xdr:nvSpPr>
        <xdr:cNvPr id="163" name="Text Box 256">
          <a:extLst>
            <a:ext uri="{FF2B5EF4-FFF2-40B4-BE49-F238E27FC236}">
              <a16:creationId xmlns:a16="http://schemas.microsoft.com/office/drawing/2014/main" id="{00000000-0008-0000-0100-0000A3000000}"/>
            </a:ext>
          </a:extLst>
        </xdr:cNvPr>
        <xdr:cNvSpPr txBox="1">
          <a:spLocks noChangeArrowheads="1"/>
        </xdr:cNvSpPr>
      </xdr:nvSpPr>
      <xdr:spPr bwMode="auto">
        <a:xfrm>
          <a:off x="1295219" y="2551267"/>
          <a:ext cx="268605" cy="217906"/>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2</xdr:col>
      <xdr:colOff>175403</xdr:colOff>
      <xdr:row>10</xdr:row>
      <xdr:rowOff>72000</xdr:rowOff>
    </xdr:from>
    <xdr:to>
      <xdr:col>2</xdr:col>
      <xdr:colOff>490452</xdr:colOff>
      <xdr:row>11</xdr:row>
      <xdr:rowOff>149075</xdr:rowOff>
    </xdr:to>
    <xdr:sp macro="" textlink="">
      <xdr:nvSpPr>
        <xdr:cNvPr id="164" name="Text Box 257">
          <a:extLst>
            <a:ext uri="{FF2B5EF4-FFF2-40B4-BE49-F238E27FC236}">
              <a16:creationId xmlns:a16="http://schemas.microsoft.com/office/drawing/2014/main" id="{00000000-0008-0000-0100-0000A4000000}"/>
            </a:ext>
          </a:extLst>
        </xdr:cNvPr>
        <xdr:cNvSpPr txBox="1">
          <a:spLocks noChangeArrowheads="1"/>
        </xdr:cNvSpPr>
      </xdr:nvSpPr>
      <xdr:spPr bwMode="auto">
        <a:xfrm>
          <a:off x="1789050" y="1775294"/>
          <a:ext cx="315049" cy="24740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xdr:from>
      <xdr:col>1</xdr:col>
      <xdr:colOff>716747</xdr:colOff>
      <xdr:row>10</xdr:row>
      <xdr:rowOff>53059</xdr:rowOff>
    </xdr:from>
    <xdr:to>
      <xdr:col>2</xdr:col>
      <xdr:colOff>30201</xdr:colOff>
      <xdr:row>11</xdr:row>
      <xdr:rowOff>136270</xdr:rowOff>
    </xdr:to>
    <xdr:sp macro="" textlink="">
      <xdr:nvSpPr>
        <xdr:cNvPr id="165" name="Text Box 258">
          <a:extLst>
            <a:ext uri="{FF2B5EF4-FFF2-40B4-BE49-F238E27FC236}">
              <a16:creationId xmlns:a16="http://schemas.microsoft.com/office/drawing/2014/main" id="{00000000-0008-0000-0100-0000A5000000}"/>
            </a:ext>
          </a:extLst>
        </xdr:cNvPr>
        <xdr:cNvSpPr txBox="1">
          <a:spLocks noChangeArrowheads="1"/>
        </xdr:cNvSpPr>
      </xdr:nvSpPr>
      <xdr:spPr bwMode="auto">
        <a:xfrm>
          <a:off x="1308418" y="1756353"/>
          <a:ext cx="335430" cy="25354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xdr:from>
      <xdr:col>5</xdr:col>
      <xdr:colOff>1056281</xdr:colOff>
      <xdr:row>25</xdr:row>
      <xdr:rowOff>115577</xdr:rowOff>
    </xdr:from>
    <xdr:to>
      <xdr:col>6</xdr:col>
      <xdr:colOff>67152</xdr:colOff>
      <xdr:row>27</xdr:row>
      <xdr:rowOff>41586</xdr:rowOff>
    </xdr:to>
    <xdr:sp macro="" textlink="">
      <xdr:nvSpPr>
        <xdr:cNvPr id="166" name="Text Box 260">
          <a:extLst>
            <a:ext uri="{FF2B5EF4-FFF2-40B4-BE49-F238E27FC236}">
              <a16:creationId xmlns:a16="http://schemas.microsoft.com/office/drawing/2014/main" id="{00000000-0008-0000-0100-0000A6000000}"/>
            </a:ext>
          </a:extLst>
        </xdr:cNvPr>
        <xdr:cNvSpPr txBox="1">
          <a:spLocks noChangeArrowheads="1"/>
        </xdr:cNvSpPr>
      </xdr:nvSpPr>
      <xdr:spPr bwMode="auto">
        <a:xfrm>
          <a:off x="6345457" y="4373812"/>
          <a:ext cx="418330" cy="266668"/>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2.2</a:t>
          </a:r>
          <a:r>
            <a:rPr lang="el-GR" sz="1000" b="0" i="0" strike="noStrike">
              <a:solidFill>
                <a:srgbClr val="000000"/>
              </a:solidFill>
              <a:latin typeface="Arial" pitchFamily="34" charset="0"/>
              <a:cs typeface="Arial" pitchFamily="34" charset="0"/>
            </a:rPr>
            <a:t>μ</a:t>
          </a:r>
          <a:r>
            <a:rPr lang="en-US" sz="1000" b="0" i="0" strike="noStrike">
              <a:solidFill>
                <a:srgbClr val="000000"/>
              </a:solidFill>
              <a:latin typeface="Arial" pitchFamily="34" charset="0"/>
              <a:cs typeface="Arial" pitchFamily="34" charset="0"/>
            </a:rPr>
            <a:t>F</a:t>
          </a:r>
        </a:p>
      </xdr:txBody>
    </xdr:sp>
    <xdr:clientData/>
  </xdr:twoCellAnchor>
  <xdr:twoCellAnchor>
    <xdr:from>
      <xdr:col>2</xdr:col>
      <xdr:colOff>21750</xdr:colOff>
      <xdr:row>11</xdr:row>
      <xdr:rowOff>81311</xdr:rowOff>
    </xdr:from>
    <xdr:to>
      <xdr:col>2</xdr:col>
      <xdr:colOff>540268</xdr:colOff>
      <xdr:row>12</xdr:row>
      <xdr:rowOff>151456</xdr:rowOff>
    </xdr:to>
    <xdr:sp macro="" textlink="'Variable Management'!B254">
      <xdr:nvSpPr>
        <xdr:cNvPr id="167" name="Text Box 261">
          <a:extLst>
            <a:ext uri="{FF2B5EF4-FFF2-40B4-BE49-F238E27FC236}">
              <a16:creationId xmlns:a16="http://schemas.microsoft.com/office/drawing/2014/main" id="{00000000-0008-0000-0100-0000A7000000}"/>
            </a:ext>
          </a:extLst>
        </xdr:cNvPr>
        <xdr:cNvSpPr txBox="1">
          <a:spLocks noChangeArrowheads="1" noTextEdit="1"/>
        </xdr:cNvSpPr>
      </xdr:nvSpPr>
      <xdr:spPr bwMode="auto">
        <a:xfrm>
          <a:off x="1635397" y="1954935"/>
          <a:ext cx="518518" cy="240474"/>
        </a:xfrm>
        <a:prstGeom prst="rect">
          <a:avLst/>
        </a:prstGeom>
        <a:noFill/>
        <a:ln w="9525">
          <a:noFill/>
          <a:miter lim="800000"/>
          <a:headEnd/>
          <a:tailEnd/>
        </a:ln>
      </xdr:spPr>
      <xdr:txBody>
        <a:bodyPr vertOverflow="clip" wrap="square" lIns="27432" tIns="22860" rIns="0" bIns="0" anchor="t" upright="1"/>
        <a:lstStyle/>
        <a:p>
          <a:pPr algn="r" rtl="0">
            <a:defRPr sz="1000"/>
          </a:pPr>
          <a:fld id="{491934A6-59AB-480F-A883-A2630DEA4784}" type="TxLink">
            <a:rPr lang="en-US" sz="1000" b="0" i="0" u="none" strike="noStrike" baseline="0">
              <a:solidFill>
                <a:srgbClr val="000000"/>
              </a:solidFill>
              <a:latin typeface="Arial" pitchFamily="34" charset="0"/>
              <a:cs typeface="Arial" pitchFamily="34" charset="0"/>
            </a:rPr>
            <a:pPr algn="r" rtl="0">
              <a:defRPr sz="1000"/>
            </a:pPr>
            <a:t>6.8nF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2</xdr:col>
      <xdr:colOff>143148</xdr:colOff>
      <xdr:row>14</xdr:row>
      <xdr:rowOff>167227</xdr:rowOff>
    </xdr:from>
    <xdr:to>
      <xdr:col>2</xdr:col>
      <xdr:colOff>615623</xdr:colOff>
      <xdr:row>16</xdr:row>
      <xdr:rowOff>46429</xdr:rowOff>
    </xdr:to>
    <xdr:sp macro="" textlink="'Variable Management'!B255">
      <xdr:nvSpPr>
        <xdr:cNvPr id="168" name="Text Box 262">
          <a:extLst>
            <a:ext uri="{FF2B5EF4-FFF2-40B4-BE49-F238E27FC236}">
              <a16:creationId xmlns:a16="http://schemas.microsoft.com/office/drawing/2014/main" id="{00000000-0008-0000-0100-0000A8000000}"/>
            </a:ext>
          </a:extLst>
        </xdr:cNvPr>
        <xdr:cNvSpPr txBox="1">
          <a:spLocks noChangeArrowheads="1" noTextEdit="1"/>
        </xdr:cNvSpPr>
      </xdr:nvSpPr>
      <xdr:spPr bwMode="auto">
        <a:xfrm>
          <a:off x="1756795" y="2551839"/>
          <a:ext cx="472475" cy="219861"/>
        </a:xfrm>
        <a:prstGeom prst="rect">
          <a:avLst/>
        </a:prstGeom>
        <a:noFill/>
        <a:ln w="9525">
          <a:noFill/>
          <a:miter lim="800000"/>
          <a:headEnd/>
          <a:tailEnd/>
        </a:ln>
      </xdr:spPr>
      <xdr:txBody>
        <a:bodyPr vertOverflow="clip" wrap="square" lIns="27432" tIns="22860" rIns="0" bIns="0" anchor="t"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150pF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575841</xdr:colOff>
      <xdr:row>11</xdr:row>
      <xdr:rowOff>100433</xdr:rowOff>
    </xdr:from>
    <xdr:to>
      <xdr:col>2</xdr:col>
      <xdr:colOff>89991</xdr:colOff>
      <xdr:row>12</xdr:row>
      <xdr:rowOff>159789</xdr:rowOff>
    </xdr:to>
    <xdr:sp macro="" textlink="'Variable Management'!B253">
      <xdr:nvSpPr>
        <xdr:cNvPr id="169" name="Text Box 263">
          <a:extLst>
            <a:ext uri="{FF2B5EF4-FFF2-40B4-BE49-F238E27FC236}">
              <a16:creationId xmlns:a16="http://schemas.microsoft.com/office/drawing/2014/main" id="{00000000-0008-0000-0100-0000A9000000}"/>
            </a:ext>
          </a:extLst>
        </xdr:cNvPr>
        <xdr:cNvSpPr txBox="1">
          <a:spLocks noChangeArrowheads="1" noTextEdit="1"/>
        </xdr:cNvSpPr>
      </xdr:nvSpPr>
      <xdr:spPr bwMode="auto">
        <a:xfrm>
          <a:off x="1167512" y="1974057"/>
          <a:ext cx="536126" cy="229685"/>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6.8kΩ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392898</xdr:colOff>
      <xdr:row>17</xdr:row>
      <xdr:rowOff>144714</xdr:rowOff>
    </xdr:from>
    <xdr:to>
      <xdr:col>1</xdr:col>
      <xdr:colOff>417506</xdr:colOff>
      <xdr:row>19</xdr:row>
      <xdr:rowOff>35894</xdr:rowOff>
    </xdr:to>
    <xdr:sp macro="" textlink="'Variable Management'!B259">
      <xdr:nvSpPr>
        <xdr:cNvPr id="170" name="Text Box 264">
          <a:extLst>
            <a:ext uri="{FF2B5EF4-FFF2-40B4-BE49-F238E27FC236}">
              <a16:creationId xmlns:a16="http://schemas.microsoft.com/office/drawing/2014/main" id="{00000000-0008-0000-0100-0000AA000000}"/>
            </a:ext>
          </a:extLst>
        </xdr:cNvPr>
        <xdr:cNvSpPr txBox="1">
          <a:spLocks noChangeArrowheads="1" noTextEdit="1"/>
        </xdr:cNvSpPr>
      </xdr:nvSpPr>
      <xdr:spPr bwMode="auto">
        <a:xfrm>
          <a:off x="392898" y="3040314"/>
          <a:ext cx="616279" cy="231839"/>
        </a:xfrm>
        <a:prstGeom prst="rect">
          <a:avLst/>
        </a:prstGeom>
        <a:noFill/>
        <a:ln w="9525">
          <a:noFill/>
          <a:miter lim="800000"/>
          <a:headEnd/>
          <a:tailEnd/>
        </a:ln>
      </xdr:spPr>
      <xdr:txBody>
        <a:bodyPr vertOverflow="clip" wrap="square" lIns="27432" tIns="22860" rIns="0" bIns="0" anchor="t"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3.32kΩ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274709</xdr:colOff>
      <xdr:row>8</xdr:row>
      <xdr:rowOff>107849</xdr:rowOff>
    </xdr:from>
    <xdr:to>
      <xdr:col>1</xdr:col>
      <xdr:colOff>97133</xdr:colOff>
      <xdr:row>10</xdr:row>
      <xdr:rowOff>35664</xdr:rowOff>
    </xdr:to>
    <xdr:sp macro="" textlink="'Variable Management'!B256">
      <xdr:nvSpPr>
        <xdr:cNvPr id="171" name="Text Box 265">
          <a:extLst>
            <a:ext uri="{FF2B5EF4-FFF2-40B4-BE49-F238E27FC236}">
              <a16:creationId xmlns:a16="http://schemas.microsoft.com/office/drawing/2014/main" id="{00000000-0008-0000-0100-0000AB000000}"/>
            </a:ext>
          </a:extLst>
        </xdr:cNvPr>
        <xdr:cNvSpPr txBox="1">
          <a:spLocks noChangeArrowheads="1" noTextEdit="1"/>
        </xdr:cNvSpPr>
      </xdr:nvSpPr>
      <xdr:spPr bwMode="auto">
        <a:xfrm>
          <a:off x="274709" y="1470484"/>
          <a:ext cx="414095" cy="268474"/>
        </a:xfrm>
        <a:prstGeom prst="rect">
          <a:avLst/>
        </a:prstGeom>
        <a:noFill/>
        <a:ln w="9525">
          <a:noFill/>
          <a:miter lim="800000"/>
          <a:headEnd/>
          <a:tailEnd/>
        </a:ln>
      </xdr:spPr>
      <xdr:txBody>
        <a:bodyPr vertOverflow="clip" wrap="square" lIns="27432" tIns="22860" rIns="0" bIns="0" anchor="t" upright="1"/>
        <a:lstStyle/>
        <a:p>
          <a:pPr algn="r" rtl="0">
            <a:defRPr sz="1000"/>
          </a:pPr>
          <a:fld id="{8A5847E3-10F5-4FFF-8A55-57AE8AD8F48A}" type="TxLink">
            <a:rPr lang="el-GR" sz="1000" b="0" i="0" u="none" strike="noStrike" baseline="0">
              <a:solidFill>
                <a:srgbClr val="000000"/>
              </a:solidFill>
              <a:latin typeface="Arial" pitchFamily="34" charset="0"/>
              <a:cs typeface="Arial" pitchFamily="34" charset="0"/>
            </a:rPr>
            <a:pPr algn="r" rtl="0">
              <a:defRPr sz="1000"/>
            </a:pPr>
            <a:t>560Ω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234622</xdr:colOff>
      <xdr:row>11</xdr:row>
      <xdr:rowOff>111172</xdr:rowOff>
    </xdr:from>
    <xdr:to>
      <xdr:col>1</xdr:col>
      <xdr:colOff>146137</xdr:colOff>
      <xdr:row>12</xdr:row>
      <xdr:rowOff>133988</xdr:rowOff>
    </xdr:to>
    <xdr:sp macro="" textlink="'Variable Management'!B257">
      <xdr:nvSpPr>
        <xdr:cNvPr id="172" name="Text Box 266">
          <a:extLst>
            <a:ext uri="{FF2B5EF4-FFF2-40B4-BE49-F238E27FC236}">
              <a16:creationId xmlns:a16="http://schemas.microsoft.com/office/drawing/2014/main" id="{00000000-0008-0000-0100-0000AC000000}"/>
            </a:ext>
          </a:extLst>
        </xdr:cNvPr>
        <xdr:cNvSpPr txBox="1">
          <a:spLocks noChangeArrowheads="1" noTextEdit="1"/>
        </xdr:cNvSpPr>
      </xdr:nvSpPr>
      <xdr:spPr bwMode="auto">
        <a:xfrm>
          <a:off x="234622" y="1984796"/>
          <a:ext cx="503186" cy="193145"/>
        </a:xfrm>
        <a:prstGeom prst="rect">
          <a:avLst/>
        </a:prstGeom>
        <a:noFill/>
        <a:ln w="9525">
          <a:noFill/>
          <a:miter lim="800000"/>
          <a:headEnd/>
          <a:tailEnd/>
        </a:ln>
      </xdr:spPr>
      <xdr:txBody>
        <a:bodyPr vertOverflow="clip" wrap="square" lIns="27432" tIns="22860" rIns="0" bIns="0" anchor="t" upright="1"/>
        <a:lstStyle/>
        <a:p>
          <a:pPr algn="r" rtl="0">
            <a:defRPr sz="1000"/>
          </a:pPr>
          <a:fld id="{6C3BF70F-B67A-49A8-941F-821453611716}" type="TxLink">
            <a:rPr lang="en-US" sz="1000" b="0" i="0" u="none" strike="noStrike" baseline="0">
              <a:solidFill>
                <a:srgbClr val="000000"/>
              </a:solidFill>
              <a:latin typeface="Arial" pitchFamily="34" charset="0"/>
              <a:cs typeface="Arial" pitchFamily="34" charset="0"/>
            </a:rPr>
            <a:pPr algn="r" rtl="0">
              <a:defRPr sz="1000"/>
            </a:pPr>
            <a:t>2200pF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1016421</xdr:colOff>
      <xdr:row>19</xdr:row>
      <xdr:rowOff>1318</xdr:rowOff>
    </xdr:from>
    <xdr:to>
      <xdr:col>8</xdr:col>
      <xdr:colOff>601075</xdr:colOff>
      <xdr:row>20</xdr:row>
      <xdr:rowOff>71660</xdr:rowOff>
    </xdr:to>
    <xdr:sp macro="" textlink="'Variable Management'!E243">
      <xdr:nvSpPr>
        <xdr:cNvPr id="173" name="Text Box 267">
          <a:extLst>
            <a:ext uri="{FF2B5EF4-FFF2-40B4-BE49-F238E27FC236}">
              <a16:creationId xmlns:a16="http://schemas.microsoft.com/office/drawing/2014/main" id="{00000000-0008-0000-0100-0000AD000000}"/>
            </a:ext>
          </a:extLst>
        </xdr:cNvPr>
        <xdr:cNvSpPr txBox="1">
          <a:spLocks noChangeArrowheads="1" noTextEdit="1"/>
        </xdr:cNvSpPr>
      </xdr:nvSpPr>
      <xdr:spPr bwMode="auto">
        <a:xfrm>
          <a:off x="8376445" y="3237577"/>
          <a:ext cx="687312" cy="240671"/>
        </a:xfrm>
        <a:prstGeom prst="rect">
          <a:avLst/>
        </a:prstGeom>
        <a:noFill/>
        <a:ln w="9525">
          <a:noFill/>
          <a:miter lim="800000"/>
          <a:headEnd/>
          <a:tailEnd/>
        </a:ln>
      </xdr:spPr>
      <xdr:txBody>
        <a:bodyPr vertOverflow="clip" wrap="square" lIns="27432" tIns="22860" rIns="0" bIns="0" anchor="ctr" upright="1"/>
        <a:lstStyle/>
        <a:p>
          <a:pPr algn="l" rtl="0">
            <a:defRPr sz="1000"/>
          </a:pPr>
          <a:fld id="{B1C96643-9062-44BD-9D18-137667D0E8FF}" type="TxLink">
            <a:rPr lang="en-US" sz="1000" b="0" i="0" u="none" strike="noStrike" baseline="0">
              <a:solidFill>
                <a:srgbClr val="000000"/>
              </a:solidFill>
              <a:latin typeface="Arial"/>
              <a:cs typeface="Arial"/>
            </a:rPr>
            <a:pPr algn="l" rtl="0">
              <a:defRPr sz="1000"/>
            </a:pPr>
            <a:t>3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639727</xdr:colOff>
      <xdr:row>8</xdr:row>
      <xdr:rowOff>101380</xdr:rowOff>
    </xdr:from>
    <xdr:to>
      <xdr:col>2</xdr:col>
      <xdr:colOff>167759</xdr:colOff>
      <xdr:row>10</xdr:row>
      <xdr:rowOff>66231</xdr:rowOff>
    </xdr:to>
    <xdr:sp macro="" textlink="'Variable Management'!B258">
      <xdr:nvSpPr>
        <xdr:cNvPr id="174" name="Text Box 268">
          <a:extLst>
            <a:ext uri="{FF2B5EF4-FFF2-40B4-BE49-F238E27FC236}">
              <a16:creationId xmlns:a16="http://schemas.microsoft.com/office/drawing/2014/main" id="{00000000-0008-0000-0100-0000AE000000}"/>
            </a:ext>
          </a:extLst>
        </xdr:cNvPr>
        <xdr:cNvSpPr txBox="1">
          <a:spLocks noChangeArrowheads="1" noTextEdit="1"/>
        </xdr:cNvSpPr>
      </xdr:nvSpPr>
      <xdr:spPr bwMode="auto">
        <a:xfrm>
          <a:off x="1231398" y="1464015"/>
          <a:ext cx="550008" cy="305510"/>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18kΩ</a:t>
          </a:fld>
          <a:endParaRPr lang="el-GR" sz="1000" b="0" i="0" strike="noStrike">
            <a:solidFill>
              <a:srgbClr val="000000"/>
            </a:solidFill>
            <a:latin typeface="Arial" pitchFamily="34" charset="0"/>
            <a:cs typeface="Arial" pitchFamily="34" charset="0"/>
          </a:endParaRPr>
        </a:p>
      </xdr:txBody>
    </xdr:sp>
    <xdr:clientData/>
  </xdr:twoCellAnchor>
  <xdr:twoCellAnchor>
    <xdr:from>
      <xdr:col>4</xdr:col>
      <xdr:colOff>1066971</xdr:colOff>
      <xdr:row>29</xdr:row>
      <xdr:rowOff>9413</xdr:rowOff>
    </xdr:from>
    <xdr:to>
      <xdr:col>5</xdr:col>
      <xdr:colOff>463264</xdr:colOff>
      <xdr:row>30</xdr:row>
      <xdr:rowOff>64549</xdr:rowOff>
    </xdr:to>
    <xdr:sp macro="" textlink="'Variable Management'!B268">
      <xdr:nvSpPr>
        <xdr:cNvPr id="175" name="Text Box 270">
          <a:extLst>
            <a:ext uri="{FF2B5EF4-FFF2-40B4-BE49-F238E27FC236}">
              <a16:creationId xmlns:a16="http://schemas.microsoft.com/office/drawing/2014/main" id="{00000000-0008-0000-0100-0000AF000000}"/>
            </a:ext>
          </a:extLst>
        </xdr:cNvPr>
        <xdr:cNvSpPr txBox="1">
          <a:spLocks noChangeArrowheads="1" noTextEdit="1"/>
        </xdr:cNvSpPr>
      </xdr:nvSpPr>
      <xdr:spPr bwMode="auto">
        <a:xfrm>
          <a:off x="5163842" y="4948966"/>
          <a:ext cx="588598" cy="225465"/>
        </a:xfrm>
        <a:prstGeom prst="rect">
          <a:avLst/>
        </a:prstGeom>
        <a:noFill/>
        <a:ln w="9525">
          <a:noFill/>
          <a:miter lim="800000"/>
          <a:headEnd/>
          <a:tailEnd/>
        </a:ln>
      </xdr:spPr>
      <xdr:txBody>
        <a:bodyPr vertOverflow="clip" wrap="square" lIns="27432" tIns="22860" rIns="0" bIns="0" anchor="t" upright="1"/>
        <a:lstStyle/>
        <a:p>
          <a:pPr algn="l" rtl="0">
            <a:defRPr sz="1000"/>
          </a:pPr>
          <a:fld id="{07E99D9F-90DD-4315-B69B-BBFCCDB8D767}" type="TxLink">
            <a:rPr lang="en-US" sz="1000" b="0" i="0" u="none" strike="noStrike" baseline="0">
              <a:solidFill>
                <a:srgbClr val="000000"/>
              </a:solidFill>
              <a:latin typeface="Arial"/>
              <a:cs typeface="Arial"/>
            </a:rPr>
            <a:pPr algn="l" rtl="0">
              <a:defRPr sz="1000"/>
            </a:pPr>
            <a:t>274Ω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205276</xdr:colOff>
      <xdr:row>14</xdr:row>
      <xdr:rowOff>146366</xdr:rowOff>
    </xdr:from>
    <xdr:to>
      <xdr:col>7</xdr:col>
      <xdr:colOff>656746</xdr:colOff>
      <xdr:row>16</xdr:row>
      <xdr:rowOff>86118</xdr:rowOff>
    </xdr:to>
    <xdr:sp macro="" textlink="'Variable Management'!B238">
      <xdr:nvSpPr>
        <xdr:cNvPr id="176" name="Text Box 275">
          <a:extLst>
            <a:ext uri="{FF2B5EF4-FFF2-40B4-BE49-F238E27FC236}">
              <a16:creationId xmlns:a16="http://schemas.microsoft.com/office/drawing/2014/main" id="{00000000-0008-0000-0100-0000B0000000}"/>
            </a:ext>
          </a:extLst>
        </xdr:cNvPr>
        <xdr:cNvSpPr txBox="1">
          <a:spLocks noChangeArrowheads="1" noTextEdit="1"/>
        </xdr:cNvSpPr>
      </xdr:nvSpPr>
      <xdr:spPr bwMode="auto">
        <a:xfrm>
          <a:off x="7565300" y="2530978"/>
          <a:ext cx="451470" cy="280411"/>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7.4µH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5323</xdr:colOff>
      <xdr:row>18</xdr:row>
      <xdr:rowOff>165080</xdr:rowOff>
    </xdr:from>
    <xdr:to>
      <xdr:col>7</xdr:col>
      <xdr:colOff>640659</xdr:colOff>
      <xdr:row>20</xdr:row>
      <xdr:rowOff>56338</xdr:rowOff>
    </xdr:to>
    <xdr:sp macro="" textlink="'Variable Management'!E250">
      <xdr:nvSpPr>
        <xdr:cNvPr id="177" name="Text Box 276">
          <a:extLst>
            <a:ext uri="{FF2B5EF4-FFF2-40B4-BE49-F238E27FC236}">
              <a16:creationId xmlns:a16="http://schemas.microsoft.com/office/drawing/2014/main" id="{00000000-0008-0000-0100-0000B1000000}"/>
            </a:ext>
          </a:extLst>
        </xdr:cNvPr>
        <xdr:cNvSpPr txBox="1">
          <a:spLocks noChangeArrowheads="1" noTextEdit="1"/>
        </xdr:cNvSpPr>
      </xdr:nvSpPr>
      <xdr:spPr bwMode="auto">
        <a:xfrm>
          <a:off x="7365347" y="3231009"/>
          <a:ext cx="635336" cy="231917"/>
        </a:xfrm>
        <a:prstGeom prst="rect">
          <a:avLst/>
        </a:prstGeom>
        <a:noFill/>
        <a:ln w="9525">
          <a:noFill/>
          <a:miter lim="800000"/>
          <a:headEnd/>
          <a:tailEnd/>
        </a:ln>
      </xdr:spPr>
      <xdr:txBody>
        <a:bodyPr vertOverflow="clip" wrap="square" lIns="27432" tIns="22860" rIns="0" bIns="0" anchor="ctr" upright="1"/>
        <a:lstStyle/>
        <a:p>
          <a:pPr algn="l" rtl="0">
            <a:defRPr sz="1000"/>
          </a:pPr>
          <a:fld id="{1B4FF237-4FCE-4391-A30E-D8A66113D8BC}" type="TxLink">
            <a:rPr lang="en-US" sz="1000" b="0" i="0" u="none" strike="noStrike" baseline="0">
              <a:solidFill>
                <a:srgbClr val="000000"/>
              </a:solidFill>
              <a:latin typeface="Arial"/>
              <a:cs typeface="Arial"/>
            </a:rPr>
            <a:pPr algn="l" rtl="0">
              <a:defRPr sz="1000"/>
            </a:pPr>
            <a:t>24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5</xdr:col>
      <xdr:colOff>934193</xdr:colOff>
      <xdr:row>7</xdr:row>
      <xdr:rowOff>23587</xdr:rowOff>
    </xdr:from>
    <xdr:to>
      <xdr:col>5</xdr:col>
      <xdr:colOff>1320288</xdr:colOff>
      <xdr:row>8</xdr:row>
      <xdr:rowOff>88269</xdr:rowOff>
    </xdr:to>
    <xdr:sp macro="" textlink="">
      <xdr:nvSpPr>
        <xdr:cNvPr id="178" name="Text Box 279">
          <a:extLst>
            <a:ext uri="{FF2B5EF4-FFF2-40B4-BE49-F238E27FC236}">
              <a16:creationId xmlns:a16="http://schemas.microsoft.com/office/drawing/2014/main" id="{00000000-0008-0000-0100-0000B2000000}"/>
            </a:ext>
          </a:extLst>
        </xdr:cNvPr>
        <xdr:cNvSpPr txBox="1">
          <a:spLocks noChangeArrowheads="1"/>
        </xdr:cNvSpPr>
      </xdr:nvSpPr>
      <xdr:spPr bwMode="auto">
        <a:xfrm>
          <a:off x="6223369" y="1215893"/>
          <a:ext cx="386095" cy="235011"/>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xdr:from>
      <xdr:col>2</xdr:col>
      <xdr:colOff>645109</xdr:colOff>
      <xdr:row>11</xdr:row>
      <xdr:rowOff>119603</xdr:rowOff>
    </xdr:from>
    <xdr:to>
      <xdr:col>2</xdr:col>
      <xdr:colOff>998733</xdr:colOff>
      <xdr:row>13</xdr:row>
      <xdr:rowOff>11526</xdr:rowOff>
    </xdr:to>
    <xdr:sp macro="" textlink="'Variable Management'!B276">
      <xdr:nvSpPr>
        <xdr:cNvPr id="179" name="Text Box 281">
          <a:extLst>
            <a:ext uri="{FF2B5EF4-FFF2-40B4-BE49-F238E27FC236}">
              <a16:creationId xmlns:a16="http://schemas.microsoft.com/office/drawing/2014/main" id="{00000000-0008-0000-0100-0000B3000000}"/>
            </a:ext>
          </a:extLst>
        </xdr:cNvPr>
        <xdr:cNvSpPr txBox="1">
          <a:spLocks noChangeArrowheads="1" noTextEdit="1"/>
        </xdr:cNvSpPr>
      </xdr:nvSpPr>
      <xdr:spPr bwMode="auto">
        <a:xfrm>
          <a:off x="2258756" y="1993227"/>
          <a:ext cx="353624" cy="232581"/>
        </a:xfrm>
        <a:prstGeom prst="rect">
          <a:avLst/>
        </a:prstGeom>
        <a:noFill/>
        <a:ln w="9525">
          <a:noFill/>
          <a:miter lim="800000"/>
          <a:headEnd/>
          <a:tailEnd/>
        </a:ln>
      </xdr:spPr>
      <xdr:txBody>
        <a:bodyPr vertOverflow="clip" wrap="square" lIns="27432" tIns="22860" rIns="0" bIns="0" anchor="t" upright="1"/>
        <a:lstStyle/>
        <a:p>
          <a:pPr algn="l" rtl="0">
            <a:defRPr sz="1000"/>
          </a:pPr>
          <a:fld id="{77460045-3ADA-4E36-A50B-8C5C548E137C}" type="TxLink">
            <a:rPr lang="en-US" sz="1000" b="0" i="0" u="none" strike="noStrike">
              <a:solidFill>
                <a:srgbClr val="000000"/>
              </a:solidFill>
              <a:latin typeface="Arial" pitchFamily="34" charset="0"/>
              <a:cs typeface="Arial" pitchFamily="34" charset="0"/>
            </a:rPr>
            <a:pPr algn="l"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xdr:from>
      <xdr:col>7</xdr:col>
      <xdr:colOff>46043</xdr:colOff>
      <xdr:row>5</xdr:row>
      <xdr:rowOff>167155</xdr:rowOff>
    </xdr:from>
    <xdr:to>
      <xdr:col>7</xdr:col>
      <xdr:colOff>414383</xdr:colOff>
      <xdr:row>7</xdr:row>
      <xdr:rowOff>79129</xdr:rowOff>
    </xdr:to>
    <xdr:sp macro="" textlink="'Variable Management'!B280">
      <xdr:nvSpPr>
        <xdr:cNvPr id="180" name="Text Box 283">
          <a:extLst>
            <a:ext uri="{FF2B5EF4-FFF2-40B4-BE49-F238E27FC236}">
              <a16:creationId xmlns:a16="http://schemas.microsoft.com/office/drawing/2014/main" id="{00000000-0008-0000-0100-0000B4000000}"/>
            </a:ext>
          </a:extLst>
        </xdr:cNvPr>
        <xdr:cNvSpPr txBox="1">
          <a:spLocks noChangeArrowheads="1" noTextEdit="1"/>
        </xdr:cNvSpPr>
      </xdr:nvSpPr>
      <xdr:spPr bwMode="auto">
        <a:xfrm>
          <a:off x="7406067" y="1018802"/>
          <a:ext cx="368340" cy="252633"/>
        </a:xfrm>
        <a:prstGeom prst="rect">
          <a:avLst/>
        </a:prstGeom>
        <a:noFill/>
        <a:ln w="9525">
          <a:noFill/>
          <a:miter lim="800000"/>
          <a:headEnd/>
          <a:tailEnd/>
        </a:ln>
      </xdr:spPr>
      <xdr:txBody>
        <a:bodyPr vertOverflow="clip" wrap="square" lIns="27432" tIns="22860" rIns="0" bIns="0" anchor="t" upright="1"/>
        <a:lstStyle/>
        <a:p>
          <a:pPr algn="l" rtl="0">
            <a:defRPr sz="1000"/>
          </a:pPr>
          <a:fld id="{211B0151-B00E-493E-8C8F-6E492416D93B}" type="TxLink">
            <a:rPr lang="en-US" sz="1200" b="1" i="0" u="none" strike="noStrike">
              <a:solidFill>
                <a:srgbClr val="FF0000"/>
              </a:solidFill>
              <a:latin typeface="Arial" pitchFamily="34" charset="0"/>
              <a:cs typeface="Arial" pitchFamily="34" charset="0"/>
            </a:rPr>
            <a:pPr algn="l" rtl="0">
              <a:defRPr sz="1000"/>
            </a:pPr>
            <a:t>24V</a:t>
          </a:fld>
          <a:endParaRPr lang="en-US" sz="1200" b="1" i="0" strike="noStrike">
            <a:solidFill>
              <a:srgbClr val="FF0000"/>
            </a:solidFill>
            <a:latin typeface="Arial" pitchFamily="34" charset="0"/>
            <a:cs typeface="Arial" pitchFamily="34" charset="0"/>
          </a:endParaRPr>
        </a:p>
      </xdr:txBody>
    </xdr:sp>
    <xdr:clientData/>
  </xdr:twoCellAnchor>
  <xdr:twoCellAnchor>
    <xdr:from>
      <xdr:col>8</xdr:col>
      <xdr:colOff>157103</xdr:colOff>
      <xdr:row>15</xdr:row>
      <xdr:rowOff>106959</xdr:rowOff>
    </xdr:from>
    <xdr:to>
      <xdr:col>8</xdr:col>
      <xdr:colOff>1186074</xdr:colOff>
      <xdr:row>16</xdr:row>
      <xdr:rowOff>168433</xdr:rowOff>
    </xdr:to>
    <xdr:sp macro="" textlink="'Variable Management'!B241">
      <xdr:nvSpPr>
        <xdr:cNvPr id="181" name="Text Box 285">
          <a:extLst>
            <a:ext uri="{FF2B5EF4-FFF2-40B4-BE49-F238E27FC236}">
              <a16:creationId xmlns:a16="http://schemas.microsoft.com/office/drawing/2014/main" id="{00000000-0008-0000-0100-0000B5000000}"/>
            </a:ext>
          </a:extLst>
        </xdr:cNvPr>
        <xdr:cNvSpPr txBox="1">
          <a:spLocks noChangeArrowheads="1" noTextEdit="1"/>
        </xdr:cNvSpPr>
      </xdr:nvSpPr>
      <xdr:spPr bwMode="auto">
        <a:xfrm>
          <a:off x="8619785" y="2661900"/>
          <a:ext cx="1028971" cy="231804"/>
        </a:xfrm>
        <a:prstGeom prst="rect">
          <a:avLst/>
        </a:prstGeom>
        <a:noFill/>
        <a:ln w="9525">
          <a:noFill/>
          <a:miter lim="800000"/>
          <a:headEnd/>
          <a:tailEnd/>
        </a:ln>
      </xdr:spPr>
      <xdr:txBody>
        <a:bodyPr vertOverflow="clip" wrap="square" lIns="27432" tIns="22860" rIns="0" bIns="0" anchor="t" upright="1"/>
        <a:lstStyle/>
        <a:p>
          <a:pPr algn="l" rtl="0">
            <a:defRPr sz="1000"/>
          </a:pPr>
          <a:fld id="{702C2B8A-7C4B-4FDB-B229-3170089D9686}" type="TxLink">
            <a:rPr lang="en-US" sz="1200" b="1" i="0" u="none" strike="noStrike" baseline="0">
              <a:solidFill>
                <a:srgbClr val="FF0000"/>
              </a:solidFill>
              <a:latin typeface="Arial" pitchFamily="34" charset="0"/>
              <a:cs typeface="Arial" pitchFamily="34" charset="0"/>
            </a:rPr>
            <a:pPr algn="l" rtl="0">
              <a:defRPr sz="1000"/>
            </a:pPr>
            <a:t>5.1V</a:t>
          </a:fld>
          <a:endParaRPr lang="en-US" sz="1200" b="1" i="0" u="none" strike="noStrike" baseline="0">
            <a:solidFill>
              <a:srgbClr val="FF0000"/>
            </a:solidFill>
            <a:latin typeface="Arial" pitchFamily="34" charset="0"/>
            <a:cs typeface="Arial" pitchFamily="34" charset="0"/>
          </a:endParaRPr>
        </a:p>
      </xdr:txBody>
    </xdr:sp>
    <xdr:clientData/>
  </xdr:twoCellAnchor>
  <xdr:twoCellAnchor>
    <xdr:from>
      <xdr:col>8</xdr:col>
      <xdr:colOff>157103</xdr:colOff>
      <xdr:row>16</xdr:row>
      <xdr:rowOff>143517</xdr:rowOff>
    </xdr:from>
    <xdr:to>
      <xdr:col>8</xdr:col>
      <xdr:colOff>1197738</xdr:colOff>
      <xdr:row>18</xdr:row>
      <xdr:rowOff>40858</xdr:rowOff>
    </xdr:to>
    <xdr:sp macro="" textlink="'Variable Management'!B279">
      <xdr:nvSpPr>
        <xdr:cNvPr id="182" name="Text Box 286">
          <a:extLst>
            <a:ext uri="{FF2B5EF4-FFF2-40B4-BE49-F238E27FC236}">
              <a16:creationId xmlns:a16="http://schemas.microsoft.com/office/drawing/2014/main" id="{00000000-0008-0000-0100-0000B6000000}"/>
            </a:ext>
          </a:extLst>
        </xdr:cNvPr>
        <xdr:cNvSpPr txBox="1">
          <a:spLocks noChangeArrowheads="1" noTextEdit="1"/>
        </xdr:cNvSpPr>
      </xdr:nvSpPr>
      <xdr:spPr bwMode="auto">
        <a:xfrm>
          <a:off x="8619785" y="2868788"/>
          <a:ext cx="1040635" cy="237999"/>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200" b="1" i="0" u="none" strike="noStrike">
              <a:solidFill>
                <a:srgbClr val="FF0000"/>
              </a:solidFill>
              <a:latin typeface="Arial" pitchFamily="34" charset="0"/>
              <a:cs typeface="Arial" pitchFamily="34" charset="0"/>
            </a:rPr>
            <a:pPr algn="l" rtl="0">
              <a:defRPr sz="1000"/>
            </a:pPr>
            <a:t>6A</a:t>
          </a:fld>
          <a:endParaRPr lang="en-US" sz="1200" b="1" i="0" strike="noStrike">
            <a:solidFill>
              <a:srgbClr val="FF0000"/>
            </a:solidFill>
            <a:latin typeface="Arial" pitchFamily="34" charset="0"/>
            <a:cs typeface="Arial" pitchFamily="34" charset="0"/>
          </a:endParaRPr>
        </a:p>
      </xdr:txBody>
    </xdr:sp>
    <xdr:clientData/>
  </xdr:twoCellAnchor>
  <xdr:twoCellAnchor>
    <xdr:from>
      <xdr:col>3</xdr:col>
      <xdr:colOff>272376</xdr:colOff>
      <xdr:row>24</xdr:row>
      <xdr:rowOff>76728</xdr:rowOff>
    </xdr:from>
    <xdr:to>
      <xdr:col>3</xdr:col>
      <xdr:colOff>491451</xdr:colOff>
      <xdr:row>24</xdr:row>
      <xdr:rowOff>76728</xdr:rowOff>
    </xdr:to>
    <xdr:sp macro="" textlink="'Variable Management'!B292">
      <xdr:nvSpPr>
        <xdr:cNvPr id="183" name="Text Box 299">
          <a:extLst>
            <a:ext uri="{FF2B5EF4-FFF2-40B4-BE49-F238E27FC236}">
              <a16:creationId xmlns:a16="http://schemas.microsoft.com/office/drawing/2014/main" id="{00000000-0008-0000-0100-0000B7000000}"/>
            </a:ext>
          </a:extLst>
        </xdr:cNvPr>
        <xdr:cNvSpPr txBox="1">
          <a:spLocks noChangeArrowheads="1" noTextEdit="1"/>
        </xdr:cNvSpPr>
      </xdr:nvSpPr>
      <xdr:spPr bwMode="auto">
        <a:xfrm>
          <a:off x="2988682" y="4164634"/>
          <a:ext cx="219075" cy="0"/>
        </a:xfrm>
        <a:prstGeom prst="rect">
          <a:avLst/>
        </a:prstGeom>
        <a:noFill/>
        <a:ln w="9525">
          <a:noFill/>
          <a:miter lim="800000"/>
          <a:headEnd/>
          <a:tailEnd/>
        </a:ln>
      </xdr:spPr>
      <xdr:txBody>
        <a:bodyPr vertOverflow="clip" wrap="square" lIns="27432" tIns="22860" rIns="0" bIns="0" anchor="t" upright="1"/>
        <a:lstStyle/>
        <a:p>
          <a:pPr algn="l" rtl="0">
            <a:defRPr sz="1000"/>
          </a:pPr>
          <a:fld id="{497BFBE6-0671-4D0F-A59C-D9187795E36B}" type="TxLink">
            <a:rPr lang="en-US" sz="1000" b="0" i="0" u="none" strike="noStrike">
              <a:solidFill>
                <a:srgbClr val="000000"/>
              </a:solidFill>
              <a:latin typeface="Calibri"/>
              <a:cs typeface="Arial"/>
            </a:rPr>
            <a:pPr algn="l" rtl="0">
              <a:defRPr sz="1000"/>
            </a:pPr>
            <a:t>13</a:t>
          </a:fld>
          <a:endParaRPr lang="en-US" sz="1000" b="0" i="0" strike="noStrike">
            <a:solidFill>
              <a:srgbClr val="000000"/>
            </a:solidFill>
            <a:latin typeface="Calibri"/>
          </a:endParaRPr>
        </a:p>
      </xdr:txBody>
    </xdr:sp>
    <xdr:clientData/>
  </xdr:twoCellAnchor>
  <xdr:twoCellAnchor>
    <xdr:from>
      <xdr:col>2</xdr:col>
      <xdr:colOff>851741</xdr:colOff>
      <xdr:row>6</xdr:row>
      <xdr:rowOff>95904</xdr:rowOff>
    </xdr:from>
    <xdr:to>
      <xdr:col>3</xdr:col>
      <xdr:colOff>130409</xdr:colOff>
      <xdr:row>8</xdr:row>
      <xdr:rowOff>15777</xdr:rowOff>
    </xdr:to>
    <xdr:sp macro="" textlink="">
      <xdr:nvSpPr>
        <xdr:cNvPr id="184" name="Text Box 251">
          <a:extLst>
            <a:ext uri="{FF2B5EF4-FFF2-40B4-BE49-F238E27FC236}">
              <a16:creationId xmlns:a16="http://schemas.microsoft.com/office/drawing/2014/main" id="{00000000-0008-0000-0100-0000B8000000}"/>
            </a:ext>
          </a:extLst>
        </xdr:cNvPr>
        <xdr:cNvSpPr txBox="1">
          <a:spLocks noChangeArrowheads="1"/>
        </xdr:cNvSpPr>
      </xdr:nvSpPr>
      <xdr:spPr bwMode="auto">
        <a:xfrm>
          <a:off x="2465388" y="1117880"/>
          <a:ext cx="381327" cy="26053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RT</a:t>
          </a:r>
        </a:p>
      </xdr:txBody>
    </xdr:sp>
    <xdr:clientData/>
  </xdr:twoCellAnchor>
  <xdr:twoCellAnchor>
    <xdr:from>
      <xdr:col>2</xdr:col>
      <xdr:colOff>717022</xdr:colOff>
      <xdr:row>7</xdr:row>
      <xdr:rowOff>149973</xdr:rowOff>
    </xdr:from>
    <xdr:to>
      <xdr:col>3</xdr:col>
      <xdr:colOff>145036</xdr:colOff>
      <xdr:row>9</xdr:row>
      <xdr:rowOff>47551</xdr:rowOff>
    </xdr:to>
    <xdr:sp macro="" textlink="'Variable Management'!B275">
      <xdr:nvSpPr>
        <xdr:cNvPr id="185" name="Text Box 281">
          <a:extLst>
            <a:ext uri="{FF2B5EF4-FFF2-40B4-BE49-F238E27FC236}">
              <a16:creationId xmlns:a16="http://schemas.microsoft.com/office/drawing/2014/main" id="{00000000-0008-0000-0100-0000B9000000}"/>
            </a:ext>
          </a:extLst>
        </xdr:cNvPr>
        <xdr:cNvSpPr txBox="1">
          <a:spLocks noChangeArrowheads="1" noTextEdit="1"/>
        </xdr:cNvSpPr>
      </xdr:nvSpPr>
      <xdr:spPr bwMode="auto">
        <a:xfrm>
          <a:off x="2330669" y="1342279"/>
          <a:ext cx="530673" cy="238237"/>
        </a:xfrm>
        <a:prstGeom prst="rect">
          <a:avLst/>
        </a:prstGeom>
        <a:noFill/>
        <a:ln w="9525">
          <a:noFill/>
          <a:miter lim="800000"/>
          <a:headEnd/>
          <a:tailEnd/>
        </a:ln>
      </xdr:spPr>
      <xdr:txBody>
        <a:bodyPr vertOverflow="clip" wrap="square" lIns="27432" tIns="22860" rIns="0" bIns="0" anchor="t" upright="1"/>
        <a:lstStyle/>
        <a:p>
          <a:pPr algn="ctr" rtl="0">
            <a:defRPr sz="1000"/>
          </a:pPr>
          <a:fld id="{84EB9262-B954-486D-9975-AAB24967BDAC}" type="TxLink">
            <a:rPr lang="en-US" sz="1000" b="0" i="0" u="none" strike="noStrike">
              <a:solidFill>
                <a:srgbClr val="000000"/>
              </a:solidFill>
              <a:latin typeface="Arial" pitchFamily="34" charset="0"/>
              <a:cs typeface="Arial" pitchFamily="34" charset="0"/>
            </a:rPr>
            <a:pPr algn="ctr" rtl="0">
              <a:defRPr sz="1000"/>
            </a:pPr>
            <a:t>33.2kΩ</a:t>
          </a:fld>
          <a:endParaRPr lang="en-US" sz="1000" b="0" i="0" strike="noStrike">
            <a:solidFill>
              <a:srgbClr val="000000"/>
            </a:solidFill>
            <a:latin typeface="Arial" pitchFamily="34" charset="0"/>
            <a:cs typeface="Arial" pitchFamily="34" charset="0"/>
          </a:endParaRPr>
        </a:p>
      </xdr:txBody>
    </xdr:sp>
    <xdr:clientData/>
  </xdr:twoCellAnchor>
  <xdr:twoCellAnchor>
    <xdr:from>
      <xdr:col>5</xdr:col>
      <xdr:colOff>908994</xdr:colOff>
      <xdr:row>6</xdr:row>
      <xdr:rowOff>4471</xdr:rowOff>
    </xdr:from>
    <xdr:to>
      <xdr:col>5</xdr:col>
      <xdr:colOff>1315627</xdr:colOff>
      <xdr:row>7</xdr:row>
      <xdr:rowOff>63063</xdr:rowOff>
    </xdr:to>
    <xdr:sp macro="" textlink="">
      <xdr:nvSpPr>
        <xdr:cNvPr id="186" name="Text Box 247">
          <a:extLst>
            <a:ext uri="{FF2B5EF4-FFF2-40B4-BE49-F238E27FC236}">
              <a16:creationId xmlns:a16="http://schemas.microsoft.com/office/drawing/2014/main" id="{00000000-0008-0000-0100-0000BA000000}"/>
            </a:ext>
          </a:extLst>
        </xdr:cNvPr>
        <xdr:cNvSpPr txBox="1">
          <a:spLocks noChangeArrowheads="1"/>
        </xdr:cNvSpPr>
      </xdr:nvSpPr>
      <xdr:spPr bwMode="auto">
        <a:xfrm>
          <a:off x="6198170" y="1026447"/>
          <a:ext cx="406633" cy="22892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a:t>
          </a:r>
        </a:p>
      </xdr:txBody>
    </xdr:sp>
    <xdr:clientData/>
  </xdr:twoCellAnchor>
  <xdr:twoCellAnchor>
    <xdr:from>
      <xdr:col>6</xdr:col>
      <xdr:colOff>182535</xdr:colOff>
      <xdr:row>15</xdr:row>
      <xdr:rowOff>47879</xdr:rowOff>
    </xdr:from>
    <xdr:to>
      <xdr:col>6</xdr:col>
      <xdr:colOff>502242</xdr:colOff>
      <xdr:row>16</xdr:row>
      <xdr:rowOff>168628</xdr:rowOff>
    </xdr:to>
    <xdr:sp macro="" textlink="">
      <xdr:nvSpPr>
        <xdr:cNvPr id="187" name="Text Box 244">
          <a:extLst>
            <a:ext uri="{FF2B5EF4-FFF2-40B4-BE49-F238E27FC236}">
              <a16:creationId xmlns:a16="http://schemas.microsoft.com/office/drawing/2014/main" id="{00000000-0008-0000-0100-0000BB000000}"/>
            </a:ext>
          </a:extLst>
        </xdr:cNvPr>
        <xdr:cNvSpPr txBox="1">
          <a:spLocks noChangeArrowheads="1"/>
        </xdr:cNvSpPr>
      </xdr:nvSpPr>
      <xdr:spPr bwMode="auto">
        <a:xfrm>
          <a:off x="6879170" y="2602820"/>
          <a:ext cx="319707" cy="29107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xdr:from>
      <xdr:col>6</xdr:col>
      <xdr:colOff>172660</xdr:colOff>
      <xdr:row>9</xdr:row>
      <xdr:rowOff>114672</xdr:rowOff>
    </xdr:from>
    <xdr:to>
      <xdr:col>6</xdr:col>
      <xdr:colOff>492367</xdr:colOff>
      <xdr:row>11</xdr:row>
      <xdr:rowOff>45118</xdr:rowOff>
    </xdr:to>
    <xdr:sp macro="" textlink="">
      <xdr:nvSpPr>
        <xdr:cNvPr id="188" name="Text Box 244">
          <a:extLst>
            <a:ext uri="{FF2B5EF4-FFF2-40B4-BE49-F238E27FC236}">
              <a16:creationId xmlns:a16="http://schemas.microsoft.com/office/drawing/2014/main" id="{00000000-0008-0000-0100-0000BC000000}"/>
            </a:ext>
          </a:extLst>
        </xdr:cNvPr>
        <xdr:cNvSpPr txBox="1">
          <a:spLocks noChangeArrowheads="1"/>
        </xdr:cNvSpPr>
      </xdr:nvSpPr>
      <xdr:spPr bwMode="auto">
        <a:xfrm>
          <a:off x="6869295" y="1647637"/>
          <a:ext cx="319707" cy="27110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xdr:from>
      <xdr:col>3</xdr:col>
      <xdr:colOff>563008</xdr:colOff>
      <xdr:row>2</xdr:row>
      <xdr:rowOff>66100</xdr:rowOff>
    </xdr:from>
    <xdr:to>
      <xdr:col>3</xdr:col>
      <xdr:colOff>1136548</xdr:colOff>
      <xdr:row>3</xdr:row>
      <xdr:rowOff>119474</xdr:rowOff>
    </xdr:to>
    <xdr:sp macro="" textlink="'Variable Management'!G98">
      <xdr:nvSpPr>
        <xdr:cNvPr id="189" name="Text Box 264">
          <a:extLst>
            <a:ext uri="{FF2B5EF4-FFF2-40B4-BE49-F238E27FC236}">
              <a16:creationId xmlns:a16="http://schemas.microsoft.com/office/drawing/2014/main" id="{00000000-0008-0000-0100-0000BD000000}"/>
            </a:ext>
          </a:extLst>
        </xdr:cNvPr>
        <xdr:cNvSpPr txBox="1">
          <a:spLocks noChangeArrowheads="1" noTextEdit="1"/>
        </xdr:cNvSpPr>
      </xdr:nvSpPr>
      <xdr:spPr bwMode="auto">
        <a:xfrm>
          <a:off x="3279314" y="406759"/>
          <a:ext cx="573540" cy="223703"/>
        </a:xfrm>
        <a:prstGeom prst="rect">
          <a:avLst/>
        </a:prstGeom>
        <a:noFill/>
        <a:ln w="9525">
          <a:noFill/>
          <a:miter lim="800000"/>
          <a:headEnd/>
          <a:tailEnd/>
        </a:ln>
      </xdr:spPr>
      <xdr:txBody>
        <a:bodyPr vertOverflow="clip" wrap="square" lIns="27432" tIns="22860" rIns="0" bIns="0" anchor="t" upright="1"/>
        <a:lstStyle/>
        <a:p>
          <a:pPr algn="r" rtl="0">
            <a:defRPr sz="1000"/>
          </a:pPr>
          <a:fld id="{123D91BC-1DE9-4CAD-9801-8A70C08E2402}" type="TxLink">
            <a:rPr lang="en-US" sz="1000" b="0" i="0" u="none" strike="noStrike" baseline="0">
              <a:solidFill>
                <a:srgbClr val="000000"/>
              </a:solidFill>
              <a:latin typeface="Arialri"/>
              <a:cs typeface="Arial" pitchFamily="34" charset="0"/>
            </a:rPr>
            <a:pPr algn="r" rtl="0">
              <a:defRPr sz="1000"/>
            </a:pPr>
            <a:t>12.7kΩ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3</xdr:col>
      <xdr:colOff>740067</xdr:colOff>
      <xdr:row>1</xdr:row>
      <xdr:rowOff>26121</xdr:rowOff>
    </xdr:from>
    <xdr:to>
      <xdr:col>3</xdr:col>
      <xdr:colOff>1161136</xdr:colOff>
      <xdr:row>2</xdr:row>
      <xdr:rowOff>65483</xdr:rowOff>
    </xdr:to>
    <xdr:sp macro="" textlink="">
      <xdr:nvSpPr>
        <xdr:cNvPr id="190" name="Text Box 255">
          <a:extLst>
            <a:ext uri="{FF2B5EF4-FFF2-40B4-BE49-F238E27FC236}">
              <a16:creationId xmlns:a16="http://schemas.microsoft.com/office/drawing/2014/main" id="{00000000-0008-0000-0100-0000BE000000}"/>
            </a:ext>
          </a:extLst>
        </xdr:cNvPr>
        <xdr:cNvSpPr txBox="1">
          <a:spLocks noChangeArrowheads="1"/>
        </xdr:cNvSpPr>
      </xdr:nvSpPr>
      <xdr:spPr bwMode="auto">
        <a:xfrm>
          <a:off x="3456373" y="196450"/>
          <a:ext cx="421069" cy="20969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UV2</a:t>
          </a:r>
        </a:p>
      </xdr:txBody>
    </xdr:sp>
    <xdr:clientData/>
  </xdr:twoCellAnchor>
  <xdr:twoCellAnchor>
    <xdr:from>
      <xdr:col>3</xdr:col>
      <xdr:colOff>1317116</xdr:colOff>
      <xdr:row>2</xdr:row>
      <xdr:rowOff>55847</xdr:rowOff>
    </xdr:from>
    <xdr:to>
      <xdr:col>4</xdr:col>
      <xdr:colOff>517431</xdr:colOff>
      <xdr:row>3</xdr:row>
      <xdr:rowOff>101509</xdr:rowOff>
    </xdr:to>
    <xdr:sp macro="" textlink="'Variable Management'!G97">
      <xdr:nvSpPr>
        <xdr:cNvPr id="191" name="Text Box 264">
          <a:extLst>
            <a:ext uri="{FF2B5EF4-FFF2-40B4-BE49-F238E27FC236}">
              <a16:creationId xmlns:a16="http://schemas.microsoft.com/office/drawing/2014/main" id="{00000000-0008-0000-0100-0000BF000000}"/>
            </a:ext>
          </a:extLst>
        </xdr:cNvPr>
        <xdr:cNvSpPr txBox="1">
          <a:spLocks noChangeArrowheads="1" noTextEdit="1"/>
        </xdr:cNvSpPr>
      </xdr:nvSpPr>
      <xdr:spPr bwMode="auto">
        <a:xfrm>
          <a:off x="4033422" y="396506"/>
          <a:ext cx="580880" cy="215991"/>
        </a:xfrm>
        <a:prstGeom prst="rect">
          <a:avLst/>
        </a:prstGeom>
        <a:noFill/>
        <a:ln w="9525">
          <a:noFill/>
          <a:miter lim="800000"/>
          <a:headEnd/>
          <a:tailEnd/>
        </a:ln>
      </xdr:spPr>
      <xdr:txBody>
        <a:bodyPr vertOverflow="clip" wrap="square" lIns="27432" tIns="22860" rIns="0" bIns="0" anchor="t" upright="1"/>
        <a:lstStyle/>
        <a:p>
          <a:pPr algn="r" rtl="0">
            <a:defRPr sz="1000"/>
          </a:pPr>
          <a:fld id="{302BC79D-87FA-43D3-B7A3-AC5513B978CE}" type="TxLink">
            <a:rPr lang="en-US" sz="1000" b="0" i="0" u="none" strike="noStrike" baseline="0">
              <a:solidFill>
                <a:srgbClr val="000000"/>
              </a:solidFill>
              <a:latin typeface="Arialri"/>
              <a:cs typeface="Arial" pitchFamily="34" charset="0"/>
            </a:rPr>
            <a:pPr algn="r" rtl="0">
              <a:defRPr sz="1000"/>
            </a:pPr>
            <a:t>75kΩ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67703</xdr:colOff>
      <xdr:row>1</xdr:row>
      <xdr:rowOff>8965</xdr:rowOff>
    </xdr:from>
    <xdr:to>
      <xdr:col>4</xdr:col>
      <xdr:colOff>497097</xdr:colOff>
      <xdr:row>2</xdr:row>
      <xdr:rowOff>55717</xdr:rowOff>
    </xdr:to>
    <xdr:sp macro="" textlink="">
      <xdr:nvSpPr>
        <xdr:cNvPr id="192" name="Text Box 255">
          <a:extLst>
            <a:ext uri="{FF2B5EF4-FFF2-40B4-BE49-F238E27FC236}">
              <a16:creationId xmlns:a16="http://schemas.microsoft.com/office/drawing/2014/main" id="{00000000-0008-0000-0100-0000C0000000}"/>
            </a:ext>
          </a:extLst>
        </xdr:cNvPr>
        <xdr:cNvSpPr txBox="1">
          <a:spLocks noChangeArrowheads="1"/>
        </xdr:cNvSpPr>
      </xdr:nvSpPr>
      <xdr:spPr bwMode="auto">
        <a:xfrm>
          <a:off x="4164574" y="179294"/>
          <a:ext cx="429394" cy="217082"/>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UV1</a:t>
          </a:r>
        </a:p>
      </xdr:txBody>
    </xdr:sp>
    <xdr:clientData/>
  </xdr:twoCellAnchor>
  <xdr:twoCellAnchor>
    <xdr:from>
      <xdr:col>7</xdr:col>
      <xdr:colOff>177511</xdr:colOff>
      <xdr:row>16</xdr:row>
      <xdr:rowOff>19224</xdr:rowOff>
    </xdr:from>
    <xdr:to>
      <xdr:col>7</xdr:col>
      <xdr:colOff>690934</xdr:colOff>
      <xdr:row>17</xdr:row>
      <xdr:rowOff>111882</xdr:rowOff>
    </xdr:to>
    <xdr:sp macro="" textlink="'Variable Management'!B239">
      <xdr:nvSpPr>
        <xdr:cNvPr id="193" name="Text Box 275">
          <a:extLst>
            <a:ext uri="{FF2B5EF4-FFF2-40B4-BE49-F238E27FC236}">
              <a16:creationId xmlns:a16="http://schemas.microsoft.com/office/drawing/2014/main" id="{00000000-0008-0000-0100-0000C1000000}"/>
            </a:ext>
          </a:extLst>
        </xdr:cNvPr>
        <xdr:cNvSpPr txBox="1">
          <a:spLocks noChangeArrowheads="1" noTextEdit="1"/>
        </xdr:cNvSpPr>
      </xdr:nvSpPr>
      <xdr:spPr bwMode="auto">
        <a:xfrm>
          <a:off x="7537535" y="2744495"/>
          <a:ext cx="513423" cy="262987"/>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5mΩ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71054</xdr:colOff>
      <xdr:row>26</xdr:row>
      <xdr:rowOff>101970</xdr:rowOff>
    </xdr:from>
    <xdr:to>
      <xdr:col>4</xdr:col>
      <xdr:colOff>577093</xdr:colOff>
      <xdr:row>27</xdr:row>
      <xdr:rowOff>168112</xdr:rowOff>
    </xdr:to>
    <xdr:sp macro="" textlink="">
      <xdr:nvSpPr>
        <xdr:cNvPr id="194" name="Text Box 245">
          <a:extLst>
            <a:ext uri="{FF2B5EF4-FFF2-40B4-BE49-F238E27FC236}">
              <a16:creationId xmlns:a16="http://schemas.microsoft.com/office/drawing/2014/main" id="{00000000-0008-0000-0100-0000C2000000}"/>
            </a:ext>
          </a:extLst>
        </xdr:cNvPr>
        <xdr:cNvSpPr txBox="1">
          <a:spLocks noChangeArrowheads="1"/>
        </xdr:cNvSpPr>
      </xdr:nvSpPr>
      <xdr:spPr bwMode="auto">
        <a:xfrm>
          <a:off x="4167925" y="4530535"/>
          <a:ext cx="506039" cy="2364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PGOOD</a:t>
          </a:r>
        </a:p>
      </xdr:txBody>
    </xdr:sp>
    <xdr:clientData/>
  </xdr:twoCellAnchor>
  <xdr:twoCellAnchor>
    <xdr:from>
      <xdr:col>4</xdr:col>
      <xdr:colOff>88402</xdr:colOff>
      <xdr:row>27</xdr:row>
      <xdr:rowOff>119498</xdr:rowOff>
    </xdr:from>
    <xdr:to>
      <xdr:col>4</xdr:col>
      <xdr:colOff>715194</xdr:colOff>
      <xdr:row>29</xdr:row>
      <xdr:rowOff>28235</xdr:rowOff>
    </xdr:to>
    <xdr:sp macro="" textlink="'Variable Management'!B274">
      <xdr:nvSpPr>
        <xdr:cNvPr id="195" name="Text Box 281">
          <a:extLst>
            <a:ext uri="{FF2B5EF4-FFF2-40B4-BE49-F238E27FC236}">
              <a16:creationId xmlns:a16="http://schemas.microsoft.com/office/drawing/2014/main" id="{00000000-0008-0000-0100-0000C3000000}"/>
            </a:ext>
          </a:extLst>
        </xdr:cNvPr>
        <xdr:cNvSpPr txBox="1">
          <a:spLocks noChangeArrowheads="1" noTextEdit="1"/>
        </xdr:cNvSpPr>
      </xdr:nvSpPr>
      <xdr:spPr bwMode="auto">
        <a:xfrm>
          <a:off x="4185273" y="4718392"/>
          <a:ext cx="626792" cy="249396"/>
        </a:xfrm>
        <a:prstGeom prst="rect">
          <a:avLst/>
        </a:prstGeom>
        <a:noFill/>
        <a:ln w="9525">
          <a:noFill/>
          <a:miter lim="800000"/>
          <a:headEnd/>
          <a:tailEnd/>
        </a:ln>
      </xdr:spPr>
      <xdr:txBody>
        <a:bodyPr vertOverflow="clip" wrap="square" lIns="27432" tIns="22860" rIns="0" bIns="0" anchor="ctr" upright="1"/>
        <a:lstStyle/>
        <a:p>
          <a:pPr algn="l" rtl="0">
            <a:defRPr sz="1000"/>
          </a:pPr>
          <a:fld id="{89760BEF-9E88-4172-89E5-A2E0AD0D10FF}" type="TxLink">
            <a:rPr lang="en-US" sz="1000" b="0" i="0" u="none" strike="noStrike">
              <a:solidFill>
                <a:srgbClr val="000000"/>
              </a:solidFill>
              <a:latin typeface="Arialri"/>
              <a:cs typeface="Arial" pitchFamily="34" charset="0"/>
            </a:rPr>
            <a:pPr algn="l" rtl="0">
              <a:defRPr sz="1000"/>
            </a:pPr>
            <a:t>20kΩ</a:t>
          </a:fld>
          <a:endParaRPr lang="en-US" sz="1000" b="0" i="0" strike="noStrike">
            <a:solidFill>
              <a:srgbClr val="000000"/>
            </a:solidFill>
            <a:latin typeface="Arial" pitchFamily="34" charset="0"/>
            <a:cs typeface="Arial" pitchFamily="34" charset="0"/>
          </a:endParaRPr>
        </a:p>
      </xdr:txBody>
    </xdr:sp>
    <xdr:clientData/>
  </xdr:twoCellAnchor>
  <xdr:twoCellAnchor>
    <xdr:from>
      <xdr:col>6</xdr:col>
      <xdr:colOff>394329</xdr:colOff>
      <xdr:row>21</xdr:row>
      <xdr:rowOff>15885</xdr:rowOff>
    </xdr:from>
    <xdr:to>
      <xdr:col>7</xdr:col>
      <xdr:colOff>301938</xdr:colOff>
      <xdr:row>22</xdr:row>
      <xdr:rowOff>154585</xdr:rowOff>
    </xdr:to>
    <xdr:sp macro="" textlink="'Variable Management'!B269">
      <xdr:nvSpPr>
        <xdr:cNvPr id="196" name="Text Box 270">
          <a:extLst>
            <a:ext uri="{FF2B5EF4-FFF2-40B4-BE49-F238E27FC236}">
              <a16:creationId xmlns:a16="http://schemas.microsoft.com/office/drawing/2014/main" id="{00000000-0008-0000-0100-0000C4000000}"/>
            </a:ext>
          </a:extLst>
        </xdr:cNvPr>
        <xdr:cNvSpPr txBox="1">
          <a:spLocks noChangeArrowheads="1" noTextEdit="1"/>
        </xdr:cNvSpPr>
      </xdr:nvSpPr>
      <xdr:spPr bwMode="auto">
        <a:xfrm>
          <a:off x="7090964" y="3592803"/>
          <a:ext cx="570998" cy="309029"/>
        </a:xfrm>
        <a:prstGeom prst="rect">
          <a:avLst/>
        </a:prstGeom>
        <a:noFill/>
        <a:ln w="9525">
          <a:noFill/>
          <a:miter lim="800000"/>
          <a:headEnd/>
          <a:tailEnd/>
        </a:ln>
      </xdr:spPr>
      <xdr:txBody>
        <a:bodyPr vertOverflow="clip" wrap="square" lIns="27432" tIns="22860" rIns="0" bIns="0" anchor="t" upright="1"/>
        <a:lstStyle/>
        <a:p>
          <a:pPr algn="l" rtl="0">
            <a:defRPr sz="1000"/>
          </a:pPr>
          <a:fld id="{B99E8AFA-CC9D-495E-8F5C-E82A30AF7894}"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461004</xdr:colOff>
      <xdr:row>19</xdr:row>
      <xdr:rowOff>139149</xdr:rowOff>
    </xdr:from>
    <xdr:to>
      <xdr:col>7</xdr:col>
      <xdr:colOff>368613</xdr:colOff>
      <xdr:row>21</xdr:row>
      <xdr:rowOff>22765</xdr:rowOff>
    </xdr:to>
    <xdr:sp macro="" textlink="'Variable Management'!A269">
      <xdr:nvSpPr>
        <xdr:cNvPr id="197" name="Text Box 270">
          <a:extLst>
            <a:ext uri="{FF2B5EF4-FFF2-40B4-BE49-F238E27FC236}">
              <a16:creationId xmlns:a16="http://schemas.microsoft.com/office/drawing/2014/main" id="{00000000-0008-0000-0100-0000C5000000}"/>
            </a:ext>
          </a:extLst>
        </xdr:cNvPr>
        <xdr:cNvSpPr txBox="1">
          <a:spLocks noChangeArrowheads="1" noTextEdit="1"/>
        </xdr:cNvSpPr>
      </xdr:nvSpPr>
      <xdr:spPr bwMode="auto">
        <a:xfrm>
          <a:off x="7157639" y="3375408"/>
          <a:ext cx="570998" cy="224275"/>
        </a:xfrm>
        <a:prstGeom prst="rect">
          <a:avLst/>
        </a:prstGeom>
        <a:noFill/>
        <a:ln w="9525">
          <a:noFill/>
          <a:miter lim="800000"/>
          <a:headEnd/>
          <a:tailEnd/>
        </a:ln>
      </xdr:spPr>
      <xdr:txBody>
        <a:bodyPr vertOverflow="clip" wrap="square" lIns="27432" tIns="22860" rIns="0" bIns="0" anchor="t" upright="1"/>
        <a:lstStyle/>
        <a:p>
          <a:pPr algn="l" rtl="0">
            <a:defRPr sz="1000"/>
          </a:pPr>
          <a:fld id="{70DB96BF-E1DF-48E4-A6D6-40F1646A7E3C}"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301193</xdr:colOff>
      <xdr:row>28</xdr:row>
      <xdr:rowOff>133859</xdr:rowOff>
    </xdr:from>
    <xdr:to>
      <xdr:col>4</xdr:col>
      <xdr:colOff>781482</xdr:colOff>
      <xdr:row>30</xdr:row>
      <xdr:rowOff>66204</xdr:rowOff>
    </xdr:to>
    <xdr:sp macro="" textlink="'Variable Management'!A270">
      <xdr:nvSpPr>
        <xdr:cNvPr id="198" name="Text Box 231">
          <a:extLst>
            <a:ext uri="{FF2B5EF4-FFF2-40B4-BE49-F238E27FC236}">
              <a16:creationId xmlns:a16="http://schemas.microsoft.com/office/drawing/2014/main" id="{00000000-0008-0000-0100-0000C6000000}"/>
            </a:ext>
          </a:extLst>
        </xdr:cNvPr>
        <xdr:cNvSpPr txBox="1">
          <a:spLocks noChangeArrowheads="1"/>
        </xdr:cNvSpPr>
      </xdr:nvSpPr>
      <xdr:spPr bwMode="auto">
        <a:xfrm>
          <a:off x="4398064" y="4903083"/>
          <a:ext cx="480289" cy="273003"/>
        </a:xfrm>
        <a:prstGeom prst="rect">
          <a:avLst/>
        </a:prstGeom>
        <a:noFill/>
        <a:ln w="9525">
          <a:noFill/>
          <a:miter lim="800000"/>
          <a:headEnd/>
          <a:tailEnd/>
        </a:ln>
      </xdr:spPr>
      <xdr:txBody>
        <a:bodyPr vertOverflow="clip" wrap="square" lIns="27432" tIns="27432" rIns="0" bIns="0" anchor="t" upright="1"/>
        <a:lstStyle/>
        <a:p>
          <a:pPr algn="l" rtl="0">
            <a:defRPr sz="1000"/>
          </a:pPr>
          <a:fld id="{6DDDD961-FD77-4006-A9BF-86BA94AAC47A}" type="TxLink">
            <a:rPr lang="en-US" sz="1000" b="0" i="0" u="none" strike="noStrike">
              <a:solidFill>
                <a:srgbClr val="000000"/>
              </a:solidFill>
              <a:latin typeface="Arial"/>
              <a:cs typeface="Arial"/>
            </a:rPr>
            <a:pPr algn="l" rtl="0">
              <a:defRPr sz="1000"/>
            </a:pPr>
            <a:t>Cilim</a:t>
          </a:fld>
          <a:endParaRPr lang="en-US" sz="1000" b="0" i="0" strike="noStrike" baseline="-25000">
            <a:solidFill>
              <a:srgbClr val="000000"/>
            </a:solidFill>
            <a:latin typeface="Arial" pitchFamily="34" charset="0"/>
            <a:cs typeface="Arial" pitchFamily="34" charset="0"/>
          </a:endParaRPr>
        </a:p>
      </xdr:txBody>
    </xdr:sp>
    <xdr:clientData/>
  </xdr:twoCellAnchor>
  <xdr:twoCellAnchor>
    <xdr:from>
      <xdr:col>4</xdr:col>
      <xdr:colOff>293386</xdr:colOff>
      <xdr:row>30</xdr:row>
      <xdr:rowOff>8945</xdr:rowOff>
    </xdr:from>
    <xdr:to>
      <xdr:col>4</xdr:col>
      <xdr:colOff>872203</xdr:colOff>
      <xdr:row>31</xdr:row>
      <xdr:rowOff>64079</xdr:rowOff>
    </xdr:to>
    <xdr:sp macro="" textlink="'Variable Management'!B270">
      <xdr:nvSpPr>
        <xdr:cNvPr id="199" name="Text Box 270">
          <a:extLst>
            <a:ext uri="{FF2B5EF4-FFF2-40B4-BE49-F238E27FC236}">
              <a16:creationId xmlns:a16="http://schemas.microsoft.com/office/drawing/2014/main" id="{00000000-0008-0000-0100-0000C7000000}"/>
            </a:ext>
          </a:extLst>
        </xdr:cNvPr>
        <xdr:cNvSpPr txBox="1">
          <a:spLocks noChangeArrowheads="1" noTextEdit="1"/>
        </xdr:cNvSpPr>
      </xdr:nvSpPr>
      <xdr:spPr bwMode="auto">
        <a:xfrm>
          <a:off x="4390257" y="5118827"/>
          <a:ext cx="578817" cy="225464"/>
        </a:xfrm>
        <a:prstGeom prst="rect">
          <a:avLst/>
        </a:prstGeom>
        <a:noFill/>
        <a:ln w="9525">
          <a:noFill/>
          <a:miter lim="800000"/>
          <a:headEnd/>
          <a:tailEnd/>
        </a:ln>
      </xdr:spPr>
      <xdr:txBody>
        <a:bodyPr vertOverflow="clip" wrap="square" lIns="27432" tIns="22860" rIns="0" bIns="0" anchor="t" upright="1"/>
        <a:lstStyle/>
        <a:p>
          <a:pPr algn="l" rtl="0">
            <a:defRPr sz="1000"/>
          </a:pPr>
          <a:fld id="{F1AA52B6-2C20-478B-832B-81CF265F500F}" type="TxLink">
            <a:rPr lang="en-US" sz="1000" b="0" i="0" u="none" strike="noStrike" baseline="0">
              <a:solidFill>
                <a:srgbClr val="000000"/>
              </a:solidFill>
              <a:latin typeface="Arial"/>
              <a:cs typeface="Arial"/>
            </a:rPr>
            <a:pPr algn="l" rtl="0">
              <a:defRPr sz="1000"/>
            </a:pPr>
            <a:t>22pF</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40170</xdr:colOff>
      <xdr:row>7</xdr:row>
      <xdr:rowOff>60644</xdr:rowOff>
    </xdr:from>
    <xdr:to>
      <xdr:col>8</xdr:col>
      <xdr:colOff>80513</xdr:colOff>
      <xdr:row>8</xdr:row>
      <xdr:rowOff>133915</xdr:rowOff>
    </xdr:to>
    <xdr:sp macro="" textlink="'Variable Management'!B281">
      <xdr:nvSpPr>
        <xdr:cNvPr id="200" name="Text Box 283">
          <a:extLst>
            <a:ext uri="{FF2B5EF4-FFF2-40B4-BE49-F238E27FC236}">
              <a16:creationId xmlns:a16="http://schemas.microsoft.com/office/drawing/2014/main" id="{00000000-0008-0000-0100-0000C8000000}"/>
            </a:ext>
          </a:extLst>
        </xdr:cNvPr>
        <xdr:cNvSpPr txBox="1">
          <a:spLocks noChangeArrowheads="1" noTextEdit="1"/>
        </xdr:cNvSpPr>
      </xdr:nvSpPr>
      <xdr:spPr bwMode="auto">
        <a:xfrm>
          <a:off x="7400194" y="1252950"/>
          <a:ext cx="1143001" cy="243600"/>
        </a:xfrm>
        <a:prstGeom prst="rect">
          <a:avLst/>
        </a:prstGeom>
        <a:noFill/>
        <a:ln w="9525">
          <a:noFill/>
          <a:miter lim="800000"/>
          <a:headEnd/>
          <a:tailEnd/>
        </a:ln>
      </xdr:spPr>
      <xdr:txBody>
        <a:bodyPr vertOverflow="clip" wrap="square" lIns="27432" tIns="22860" rIns="0" bIns="0" anchor="t" upright="1"/>
        <a:lstStyle/>
        <a:p>
          <a:pPr algn="l" rtl="0">
            <a:defRPr sz="1000"/>
          </a:pPr>
          <a:fld id="{EF361795-4FFE-464C-BBFA-7CAE15CC7442}" type="TxLink">
            <a:rPr lang="en-US" sz="1200" b="1" i="0" u="none" strike="noStrike">
              <a:solidFill>
                <a:srgbClr val="0000FF"/>
              </a:solidFill>
              <a:latin typeface="Arial"/>
              <a:cs typeface="Arial"/>
            </a:rPr>
            <a:pPr algn="l" rtl="0">
              <a:defRPr sz="1000"/>
            </a:pPr>
            <a:t>18V to 36V</a:t>
          </a:fld>
          <a:endParaRPr lang="en-US" sz="2400" b="1" i="0" strike="noStrike">
            <a:solidFill>
              <a:srgbClr val="0000FF"/>
            </a:solidFill>
            <a:latin typeface="Arial" pitchFamily="34" charset="0"/>
            <a:cs typeface="Arial" pitchFamily="34" charset="0"/>
          </a:endParaRPr>
        </a:p>
      </xdr:txBody>
    </xdr:sp>
    <xdr:clientData/>
  </xdr:twoCellAnchor>
  <xdr:twoCellAnchor>
    <xdr:from>
      <xdr:col>3</xdr:col>
      <xdr:colOff>1163340</xdr:colOff>
      <xdr:row>14</xdr:row>
      <xdr:rowOff>130124</xdr:rowOff>
    </xdr:from>
    <xdr:to>
      <xdr:col>4</xdr:col>
      <xdr:colOff>831538</xdr:colOff>
      <xdr:row>16</xdr:row>
      <xdr:rowOff>145682</xdr:rowOff>
    </xdr:to>
    <xdr:sp macro="" textlink="'Variable Management'!U12">
      <xdr:nvSpPr>
        <xdr:cNvPr id="201" name="Text Box 24">
          <a:extLst>
            <a:ext uri="{FF2B5EF4-FFF2-40B4-BE49-F238E27FC236}">
              <a16:creationId xmlns:a16="http://schemas.microsoft.com/office/drawing/2014/main" id="{00000000-0008-0000-0100-0000C9000000}"/>
            </a:ext>
          </a:extLst>
        </xdr:cNvPr>
        <xdr:cNvSpPr txBox="1">
          <a:spLocks noChangeArrowheads="1" noTextEdit="1"/>
        </xdr:cNvSpPr>
      </xdr:nvSpPr>
      <xdr:spPr bwMode="auto">
        <a:xfrm>
          <a:off x="3879646" y="2514736"/>
          <a:ext cx="1048763" cy="356217"/>
        </a:xfrm>
        <a:prstGeom prst="rect">
          <a:avLst/>
        </a:prstGeom>
        <a:solidFill>
          <a:srgbClr val="7DC4D6"/>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FE4215C9-6CF6-4ED6-BE24-17A843393DAB}" type="TxLink">
            <a:rPr lang="en-US" sz="1400" b="1" i="0" u="none" strike="noStrike" baseline="0">
              <a:solidFill>
                <a:srgbClr val="FF0000"/>
              </a:solidFill>
              <a:latin typeface="Arial"/>
              <a:cs typeface="Arial"/>
            </a:rPr>
            <a:pPr algn="ctr" rtl="0">
              <a:defRPr sz="1000"/>
            </a:pPr>
            <a:t>LM25145</a:t>
          </a:fld>
          <a:endParaRPr lang="en-US" sz="2000" b="1" i="0" u="none" strike="noStrike" baseline="0">
            <a:solidFill>
              <a:srgbClr val="FF0000"/>
            </a:solidFill>
            <a:latin typeface="Arial" pitchFamily="34" charset="0"/>
            <a:cs typeface="Arial"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336176</xdr:colOff>
      <xdr:row>4</xdr:row>
      <xdr:rowOff>123263</xdr:rowOff>
    </xdr:from>
    <xdr:to>
      <xdr:col>12</xdr:col>
      <xdr:colOff>103841</xdr:colOff>
      <xdr:row>38</xdr:row>
      <xdr:rowOff>89647</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863" b="1395"/>
        <a:stretch/>
      </xdr:blipFill>
      <xdr:spPr>
        <a:xfrm>
          <a:off x="336176" y="1400734"/>
          <a:ext cx="7029077" cy="5703795"/>
        </a:xfrm>
        <a:prstGeom prst="rect">
          <a:avLst/>
        </a:prstGeom>
      </xdr:spPr>
    </xdr:pic>
    <xdr:clientData/>
  </xdr:twoCellAnchor>
  <xdr:twoCellAnchor editAs="oneCell">
    <xdr:from>
      <xdr:col>14</xdr:col>
      <xdr:colOff>403411</xdr:colOff>
      <xdr:row>4</xdr:row>
      <xdr:rowOff>11205</xdr:rowOff>
    </xdr:from>
    <xdr:to>
      <xdr:col>27</xdr:col>
      <xdr:colOff>358587</xdr:colOff>
      <xdr:row>39</xdr:row>
      <xdr:rowOff>69528</xdr:rowOff>
    </xdr:to>
    <xdr:pic>
      <xdr:nvPicPr>
        <xdr:cNvPr id="10" name="Picture 9">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65558" y="1288676"/>
          <a:ext cx="8269941" cy="59526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381001</xdr:colOff>
      <xdr:row>48</xdr:row>
      <xdr:rowOff>104404</xdr:rowOff>
    </xdr:from>
    <xdr:to>
      <xdr:col>11</xdr:col>
      <xdr:colOff>280149</xdr:colOff>
      <xdr:row>73</xdr:row>
      <xdr:rowOff>34633</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81001" y="8688110"/>
          <a:ext cx="6555442" cy="4053994"/>
        </a:xfrm>
        <a:prstGeom prst="rect">
          <a:avLst/>
        </a:prstGeom>
      </xdr:spPr>
    </xdr:pic>
    <xdr:clientData/>
  </xdr:twoCellAnchor>
  <xdr:twoCellAnchor editAs="oneCell">
    <xdr:from>
      <xdr:col>0</xdr:col>
      <xdr:colOff>369795</xdr:colOff>
      <xdr:row>76</xdr:row>
      <xdr:rowOff>134469</xdr:rowOff>
    </xdr:from>
    <xdr:to>
      <xdr:col>11</xdr:col>
      <xdr:colOff>246531</xdr:colOff>
      <xdr:row>103</xdr:row>
      <xdr:rowOff>78440</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353" t="8842" r="3320" b="10752"/>
        <a:stretch/>
      </xdr:blipFill>
      <xdr:spPr>
        <a:xfrm>
          <a:off x="369795" y="13211734"/>
          <a:ext cx="6533030" cy="4381500"/>
        </a:xfrm>
        <a:prstGeom prst="rect">
          <a:avLst/>
        </a:prstGeom>
      </xdr:spPr>
    </xdr:pic>
    <xdr:clientData/>
  </xdr:twoCellAnchor>
  <xdr:twoCellAnchor editAs="oneCell">
    <xdr:from>
      <xdr:col>15</xdr:col>
      <xdr:colOff>268945</xdr:colOff>
      <xdr:row>48</xdr:row>
      <xdr:rowOff>123265</xdr:rowOff>
    </xdr:from>
    <xdr:to>
      <xdr:col>26</xdr:col>
      <xdr:colOff>583270</xdr:colOff>
      <xdr:row>72</xdr:row>
      <xdr:rowOff>54909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536210" y="8807824"/>
          <a:ext cx="7418854" cy="38985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268945</xdr:colOff>
      <xdr:row>75</xdr:row>
      <xdr:rowOff>78443</xdr:rowOff>
    </xdr:from>
    <xdr:to>
      <xdr:col>26</xdr:col>
      <xdr:colOff>583270</xdr:colOff>
      <xdr:row>98</xdr:row>
      <xdr:rowOff>119345</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536210" y="13200531"/>
          <a:ext cx="7418854" cy="38509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268945</xdr:colOff>
      <xdr:row>101</xdr:row>
      <xdr:rowOff>42024</xdr:rowOff>
    </xdr:from>
    <xdr:to>
      <xdr:col>26</xdr:col>
      <xdr:colOff>583270</xdr:colOff>
      <xdr:row>125</xdr:row>
      <xdr:rowOff>45945</xdr:rowOff>
    </xdr:to>
    <xdr:pic>
      <xdr:nvPicPr>
        <xdr:cNvPr id="8" name="Picture 7">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536210" y="17444759"/>
          <a:ext cx="7418854" cy="38699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257735</xdr:colOff>
      <xdr:row>128</xdr:row>
      <xdr:rowOff>67235</xdr:rowOff>
    </xdr:from>
    <xdr:to>
      <xdr:col>26</xdr:col>
      <xdr:colOff>560294</xdr:colOff>
      <xdr:row>152</xdr:row>
      <xdr:rowOff>90207</xdr:rowOff>
    </xdr:to>
    <xdr:pic>
      <xdr:nvPicPr>
        <xdr:cNvPr id="9" name="Picture 8">
          <a:extLst>
            <a:ext uri="{FF2B5EF4-FFF2-40B4-BE49-F238E27FC236}">
              <a16:creationId xmlns:a16="http://schemas.microsoft.com/office/drawing/2014/main" id="{00000000-0008-0000-0200-000009000000}"/>
            </a:ext>
          </a:extLst>
        </xdr:cNvPr>
        <xdr:cNvPicPr>
          <a:picLocks noChangeAspect="1" noChangeArrowheads="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l="1038" r="942"/>
        <a:stretch/>
      </xdr:blipFill>
      <xdr:spPr bwMode="auto">
        <a:xfrm>
          <a:off x="9525000" y="21806647"/>
          <a:ext cx="7407088" cy="38890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220980</xdr:colOff>
          <xdr:row>10</xdr:row>
          <xdr:rowOff>114300</xdr:rowOff>
        </xdr:from>
        <xdr:to>
          <xdr:col>16</xdr:col>
          <xdr:colOff>30480</xdr:colOff>
          <xdr:row>31</xdr:row>
          <xdr:rowOff>121920</xdr:rowOff>
        </xdr:to>
        <xdr:sp macro="" textlink="">
          <xdr:nvSpPr>
            <xdr:cNvPr id="3073" name="Object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36</xdr:col>
      <xdr:colOff>200025</xdr:colOff>
      <xdr:row>8</xdr:row>
      <xdr:rowOff>19050</xdr:rowOff>
    </xdr:from>
    <xdr:to>
      <xdr:col>44</xdr:col>
      <xdr:colOff>742950</xdr:colOff>
      <xdr:row>30</xdr:row>
      <xdr:rowOff>85725</xdr:rowOff>
    </xdr:to>
    <xdr:graphicFrame macro="">
      <xdr:nvGraphicFramePr>
        <xdr:cNvPr id="21446051" name="Chart 11">
          <a:extLst>
            <a:ext uri="{FF2B5EF4-FFF2-40B4-BE49-F238E27FC236}">
              <a16:creationId xmlns:a16="http://schemas.microsoft.com/office/drawing/2014/main" id="{00000000-0008-0000-0500-0000A3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200025</xdr:colOff>
      <xdr:row>8</xdr:row>
      <xdr:rowOff>28575</xdr:rowOff>
    </xdr:from>
    <xdr:to>
      <xdr:col>36</xdr:col>
      <xdr:colOff>180975</xdr:colOff>
      <xdr:row>30</xdr:row>
      <xdr:rowOff>123825</xdr:rowOff>
    </xdr:to>
    <xdr:graphicFrame macro="">
      <xdr:nvGraphicFramePr>
        <xdr:cNvPr id="21446052" name="Chart 15">
          <a:extLst>
            <a:ext uri="{FF2B5EF4-FFF2-40B4-BE49-F238E27FC236}">
              <a16:creationId xmlns:a16="http://schemas.microsoft.com/office/drawing/2014/main" id="{00000000-0008-0000-0500-0000A4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9525</xdr:colOff>
      <xdr:row>30</xdr:row>
      <xdr:rowOff>152400</xdr:rowOff>
    </xdr:from>
    <xdr:to>
      <xdr:col>36</xdr:col>
      <xdr:colOff>209550</xdr:colOff>
      <xdr:row>53</xdr:row>
      <xdr:rowOff>95250</xdr:rowOff>
    </xdr:to>
    <xdr:graphicFrame macro="">
      <xdr:nvGraphicFramePr>
        <xdr:cNvPr id="21446053" name="Chart 16">
          <a:extLst>
            <a:ext uri="{FF2B5EF4-FFF2-40B4-BE49-F238E27FC236}">
              <a16:creationId xmlns:a16="http://schemas.microsoft.com/office/drawing/2014/main" id="{00000000-0008-0000-0500-0000A5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75</xdr:col>
      <xdr:colOff>466725</xdr:colOff>
      <xdr:row>6</xdr:row>
      <xdr:rowOff>76200</xdr:rowOff>
    </xdr:from>
    <xdr:to>
      <xdr:col>84</xdr:col>
      <xdr:colOff>238125</xdr:colOff>
      <xdr:row>29</xdr:row>
      <xdr:rowOff>19050</xdr:rowOff>
    </xdr:to>
    <xdr:graphicFrame macro="">
      <xdr:nvGraphicFramePr>
        <xdr:cNvPr id="21446054" name="Chart 18">
          <a:extLst>
            <a:ext uri="{FF2B5EF4-FFF2-40B4-BE49-F238E27FC236}">
              <a16:creationId xmlns:a16="http://schemas.microsoft.com/office/drawing/2014/main" id="{00000000-0008-0000-0500-0000A6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704849</xdr:colOff>
      <xdr:row>6</xdr:row>
      <xdr:rowOff>438149</xdr:rowOff>
    </xdr:from>
    <xdr:to>
      <xdr:col>1</xdr:col>
      <xdr:colOff>8915399</xdr:colOff>
      <xdr:row>8</xdr:row>
      <xdr:rowOff>1127</xdr:rowOff>
    </xdr:to>
    <xdr:pic>
      <xdr:nvPicPr>
        <xdr:cNvPr id="4" name="Picture 3">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49" y="6362699"/>
          <a:ext cx="8915400" cy="51255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704849</xdr:colOff>
      <xdr:row>3</xdr:row>
      <xdr:rowOff>161924</xdr:rowOff>
    </xdr:from>
    <xdr:to>
      <xdr:col>1</xdr:col>
      <xdr:colOff>8915399</xdr:colOff>
      <xdr:row>5</xdr:row>
      <xdr:rowOff>1127</xdr:rowOff>
    </xdr:to>
    <xdr:pic>
      <xdr:nvPicPr>
        <xdr:cNvPr id="6" name="Picture 5">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49" y="647699"/>
          <a:ext cx="8915400" cy="51255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6</xdr:col>
      <xdr:colOff>236220</xdr:colOff>
      <xdr:row>49</xdr:row>
      <xdr:rowOff>74295</xdr:rowOff>
    </xdr:from>
    <xdr:to>
      <xdr:col>19</xdr:col>
      <xdr:colOff>179070</xdr:colOff>
      <xdr:row>78</xdr:row>
      <xdr:rowOff>93345</xdr:rowOff>
    </xdr:to>
    <xdr:graphicFrame macro="">
      <xdr:nvGraphicFramePr>
        <xdr:cNvPr id="22259766" name="Chart 1">
          <a:extLst>
            <a:ext uri="{FF2B5EF4-FFF2-40B4-BE49-F238E27FC236}">
              <a16:creationId xmlns:a16="http://schemas.microsoft.com/office/drawing/2014/main" id="{00000000-0008-0000-0700-000036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247650</xdr:colOff>
      <xdr:row>11</xdr:row>
      <xdr:rowOff>57150</xdr:rowOff>
    </xdr:from>
    <xdr:to>
      <xdr:col>30</xdr:col>
      <xdr:colOff>533400</xdr:colOff>
      <xdr:row>40</xdr:row>
      <xdr:rowOff>85725</xdr:rowOff>
    </xdr:to>
    <xdr:graphicFrame macro="">
      <xdr:nvGraphicFramePr>
        <xdr:cNvPr id="22259767" name="Chart 2">
          <a:extLst>
            <a:ext uri="{FF2B5EF4-FFF2-40B4-BE49-F238E27FC236}">
              <a16:creationId xmlns:a16="http://schemas.microsoft.com/office/drawing/2014/main" id="{00000000-0008-0000-0700-000037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219075</xdr:colOff>
      <xdr:row>11</xdr:row>
      <xdr:rowOff>64770</xdr:rowOff>
    </xdr:from>
    <xdr:to>
      <xdr:col>19</xdr:col>
      <xdr:colOff>152400</xdr:colOff>
      <xdr:row>40</xdr:row>
      <xdr:rowOff>93345</xdr:rowOff>
    </xdr:to>
    <xdr:graphicFrame macro="">
      <xdr:nvGraphicFramePr>
        <xdr:cNvPr id="22259768" name="Chart 4">
          <a:extLst>
            <a:ext uri="{FF2B5EF4-FFF2-40B4-BE49-F238E27FC236}">
              <a16:creationId xmlns:a16="http://schemas.microsoft.com/office/drawing/2014/main" id="{00000000-0008-0000-0700-000038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bwMode="auto">
        <a:noFill/>
        <a:ln w="9525">
          <a:noFill/>
          <a:miter lim="800000"/>
          <a:headEnd/>
          <a:tailEnd/>
        </a:ln>
      </a:spPr>
      <a:bodyPr vertOverflow="clip" wrap="square" lIns="27432" tIns="27432" rIns="0" bIns="0" anchor="t" upright="1"/>
      <a:lstStyle>
        <a:defPPr algn="l" rtl="0">
          <a:defRPr sz="1100" b="0" i="0" strike="noStrike">
            <a:solidFill>
              <a:srgbClr val="000000"/>
            </a:solidFill>
            <a:latin typeface="Calibri"/>
          </a:defRPr>
        </a:defPPr>
      </a:lst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drawing" Target="../drawings/drawing1.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omments" Target="../comments1.xml"/><Relationship Id="rId2" Type="http://schemas.openxmlformats.org/officeDocument/2006/relationships/printerSettings" Target="../printerSettings/printerSettings1.bin"/><Relationship Id="rId16" Type="http://schemas.openxmlformats.org/officeDocument/2006/relationships/ctrlProp" Target="../ctrlProps/ctrlProp11.xml"/><Relationship Id="rId1" Type="http://schemas.openxmlformats.org/officeDocument/2006/relationships/hyperlink" Target="http://www.ti.com/pol"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2.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vmlDrawing" Target="../drawings/vmlDrawing1.v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18" Type="http://schemas.openxmlformats.org/officeDocument/2006/relationships/ctrlProp" Target="../ctrlProps/ctrlProp26.xml"/><Relationship Id="rId26" Type="http://schemas.openxmlformats.org/officeDocument/2006/relationships/ctrlProp" Target="../ctrlProps/ctrlProp34.xml"/><Relationship Id="rId3" Type="http://schemas.openxmlformats.org/officeDocument/2006/relationships/vmlDrawing" Target="../drawings/vmlDrawing3.vml"/><Relationship Id="rId21" Type="http://schemas.openxmlformats.org/officeDocument/2006/relationships/ctrlProp" Target="../ctrlProps/ctrlProp29.xml"/><Relationship Id="rId7" Type="http://schemas.openxmlformats.org/officeDocument/2006/relationships/ctrlProp" Target="../ctrlProps/ctrlProp15.xml"/><Relationship Id="rId12" Type="http://schemas.openxmlformats.org/officeDocument/2006/relationships/ctrlProp" Target="../ctrlProps/ctrlProp20.xml"/><Relationship Id="rId17" Type="http://schemas.openxmlformats.org/officeDocument/2006/relationships/ctrlProp" Target="../ctrlProps/ctrlProp25.xml"/><Relationship Id="rId25" Type="http://schemas.openxmlformats.org/officeDocument/2006/relationships/ctrlProp" Target="../ctrlProps/ctrlProp33.xml"/><Relationship Id="rId2" Type="http://schemas.openxmlformats.org/officeDocument/2006/relationships/drawing" Target="../drawings/drawing3.xml"/><Relationship Id="rId16" Type="http://schemas.openxmlformats.org/officeDocument/2006/relationships/ctrlProp" Target="../ctrlProps/ctrlProp24.xml"/><Relationship Id="rId20" Type="http://schemas.openxmlformats.org/officeDocument/2006/relationships/ctrlProp" Target="../ctrlProps/ctrlProp28.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11" Type="http://schemas.openxmlformats.org/officeDocument/2006/relationships/ctrlProp" Target="../ctrlProps/ctrlProp19.xml"/><Relationship Id="rId24" Type="http://schemas.openxmlformats.org/officeDocument/2006/relationships/ctrlProp" Target="../ctrlProps/ctrlProp32.xml"/><Relationship Id="rId5" Type="http://schemas.openxmlformats.org/officeDocument/2006/relationships/ctrlProp" Target="../ctrlProps/ctrlProp13.xml"/><Relationship Id="rId15" Type="http://schemas.openxmlformats.org/officeDocument/2006/relationships/ctrlProp" Target="../ctrlProps/ctrlProp23.xml"/><Relationship Id="rId23" Type="http://schemas.openxmlformats.org/officeDocument/2006/relationships/ctrlProp" Target="../ctrlProps/ctrlProp31.xml"/><Relationship Id="rId28" Type="http://schemas.openxmlformats.org/officeDocument/2006/relationships/ctrlProp" Target="../ctrlProps/ctrlProp36.xml"/><Relationship Id="rId10" Type="http://schemas.openxmlformats.org/officeDocument/2006/relationships/ctrlProp" Target="../ctrlProps/ctrlProp18.xml"/><Relationship Id="rId19" Type="http://schemas.openxmlformats.org/officeDocument/2006/relationships/ctrlProp" Target="../ctrlProps/ctrlProp27.xml"/><Relationship Id="rId4" Type="http://schemas.openxmlformats.org/officeDocument/2006/relationships/ctrlProp" Target="../ctrlProps/ctrlProp12.xml"/><Relationship Id="rId9" Type="http://schemas.openxmlformats.org/officeDocument/2006/relationships/ctrlProp" Target="../ctrlProps/ctrlProp17.xml"/><Relationship Id="rId14" Type="http://schemas.openxmlformats.org/officeDocument/2006/relationships/ctrlProp" Target="../ctrlProps/ctrlProp22.xml"/><Relationship Id="rId22" Type="http://schemas.openxmlformats.org/officeDocument/2006/relationships/ctrlProp" Target="../ctrlProps/ctrlProp30.xml"/><Relationship Id="rId27" Type="http://schemas.openxmlformats.org/officeDocument/2006/relationships/ctrlProp" Target="../ctrlProps/ctrlProp35.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image" Target="../media/image18.emf"/><Relationship Id="rId4" Type="http://schemas.openxmlformats.org/officeDocument/2006/relationships/oleObject" Target="../embeddings/Microsoft_Visio_2003-2010_Drawing.vsd"/></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pageSetUpPr fitToPage="1"/>
  </sheetPr>
  <dimension ref="A1:AI459"/>
  <sheetViews>
    <sheetView tabSelected="1" topLeftCell="B61" zoomScale="139" zoomScaleNormal="85" zoomScaleSheetLayoutView="100" workbookViewId="0">
      <selection activeCell="D78" sqref="D78"/>
    </sheetView>
  </sheetViews>
  <sheetFormatPr defaultColWidth="9.109375" defaultRowHeight="13.8" x14ac:dyDescent="0.3"/>
  <cols>
    <col min="1" max="1" width="8.33203125" style="276" customWidth="1"/>
    <col min="2" max="2" width="8.33203125" style="123" customWidth="1"/>
    <col min="3" max="3" width="14.5546875" style="123" customWidth="1"/>
    <col min="4" max="4" width="8" style="123" customWidth="1"/>
    <col min="5" max="5" width="7" style="123" customWidth="1"/>
    <col min="6" max="6" width="8.33203125" style="123" customWidth="1"/>
    <col min="7" max="7" width="9.109375" style="123" customWidth="1"/>
    <col min="8" max="8" width="11.88671875" style="123" customWidth="1"/>
    <col min="9" max="9" width="9.109375" style="123"/>
    <col min="10" max="10" width="12.44140625" style="123" bestFit="1" customWidth="1"/>
    <col min="11" max="11" width="9.109375" style="123"/>
    <col min="12" max="12" width="12.44140625" style="123" bestFit="1" customWidth="1"/>
    <col min="13" max="15" width="9.109375" style="123"/>
    <col min="16" max="16" width="10.109375" style="123" customWidth="1"/>
    <col min="17" max="17" width="41.88671875" style="123" customWidth="1"/>
    <col min="18" max="18" width="3.109375" style="123" customWidth="1"/>
    <col min="19" max="19" width="10" style="123" bestFit="1" customWidth="1"/>
    <col min="20" max="16384" width="9.109375" style="123"/>
  </cols>
  <sheetData>
    <row r="1" spans="1:18" ht="50.25" customHeight="1" x14ac:dyDescent="0.3">
      <c r="A1" s="516" t="s">
        <v>750</v>
      </c>
      <c r="B1" s="517"/>
      <c r="C1" s="517"/>
      <c r="D1" s="517"/>
      <c r="E1" s="517"/>
      <c r="F1" s="517"/>
      <c r="G1" s="517"/>
      <c r="H1" s="517"/>
      <c r="I1" s="517"/>
      <c r="J1" s="517"/>
      <c r="K1" s="517"/>
      <c r="L1" s="517"/>
      <c r="M1" s="517"/>
      <c r="N1" s="517"/>
      <c r="O1" s="517"/>
      <c r="P1" s="517"/>
      <c r="Q1" s="517"/>
      <c r="R1" s="365"/>
    </row>
    <row r="2" spans="1:18" ht="13.5" customHeight="1" x14ac:dyDescent="0.55000000000000004">
      <c r="A2" s="491"/>
      <c r="B2" s="369"/>
      <c r="C2" s="369"/>
      <c r="D2" s="369"/>
      <c r="E2" s="369"/>
      <c r="F2" s="369"/>
      <c r="G2" s="369"/>
      <c r="H2" s="369"/>
      <c r="I2" s="369"/>
      <c r="J2" s="369"/>
      <c r="K2" s="369"/>
      <c r="L2" s="369"/>
      <c r="M2" s="480"/>
      <c r="N2" s="485"/>
      <c r="O2" s="486"/>
      <c r="P2" s="485"/>
      <c r="Q2" s="485"/>
      <c r="R2" s="365"/>
    </row>
    <row r="3" spans="1:18" ht="14.25" customHeight="1" x14ac:dyDescent="0.55000000000000004">
      <c r="A3" s="379" t="s">
        <v>478</v>
      </c>
      <c r="B3" s="370"/>
      <c r="C3" s="380" t="s">
        <v>479</v>
      </c>
      <c r="D3" s="371"/>
      <c r="E3" s="177"/>
      <c r="F3" s="373" t="s">
        <v>285</v>
      </c>
      <c r="G3" s="372"/>
      <c r="H3" s="369"/>
      <c r="I3" s="369"/>
      <c r="J3" s="372"/>
      <c r="K3" s="374"/>
      <c r="L3" s="375"/>
      <c r="M3" s="481"/>
      <c r="N3" s="489"/>
      <c r="O3" s="515" t="s">
        <v>117</v>
      </c>
      <c r="P3" s="515"/>
      <c r="Q3" s="365" t="s">
        <v>320</v>
      </c>
      <c r="R3" s="365"/>
    </row>
    <row r="4" spans="1:18" ht="13.5" customHeight="1" thickBot="1" x14ac:dyDescent="0.4">
      <c r="A4" s="376"/>
      <c r="B4" s="377"/>
      <c r="C4" s="378"/>
      <c r="D4" s="378"/>
      <c r="E4" s="378"/>
      <c r="F4" s="378"/>
      <c r="G4" s="378"/>
      <c r="H4" s="378"/>
      <c r="I4" s="378"/>
      <c r="J4" s="378"/>
      <c r="K4" s="378"/>
      <c r="L4" s="378"/>
      <c r="M4" s="482"/>
      <c r="N4" s="487"/>
      <c r="O4" s="487"/>
      <c r="P4" s="487"/>
      <c r="Q4" s="488"/>
      <c r="R4" s="365"/>
    </row>
    <row r="5" spans="1:18" ht="20.100000000000001" customHeight="1" thickBot="1" x14ac:dyDescent="0.4">
      <c r="A5" s="214" t="s">
        <v>441</v>
      </c>
      <c r="B5" s="176"/>
      <c r="C5" s="124"/>
      <c r="D5" s="124"/>
      <c r="E5" s="126"/>
      <c r="F5" s="124"/>
      <c r="G5" s="160"/>
      <c r="H5" s="127"/>
      <c r="I5" s="127"/>
      <c r="J5" s="127"/>
      <c r="K5" s="127"/>
      <c r="L5" s="127"/>
      <c r="M5" s="483"/>
      <c r="N5" s="483"/>
      <c r="O5" s="483"/>
      <c r="P5" s="483"/>
      <c r="Q5" s="484"/>
      <c r="R5" s="365"/>
    </row>
    <row r="6" spans="1:18" ht="14.1" customHeight="1" x14ac:dyDescent="0.35">
      <c r="A6" s="271"/>
      <c r="B6" s="224"/>
      <c r="C6" s="225"/>
      <c r="D6" s="226" t="s">
        <v>571</v>
      </c>
      <c r="E6" s="227">
        <v>18</v>
      </c>
      <c r="F6" s="228" t="s">
        <v>0</v>
      </c>
      <c r="G6" s="186"/>
      <c r="H6" s="184"/>
      <c r="I6" s="127"/>
      <c r="J6" s="127"/>
      <c r="K6" s="127"/>
      <c r="L6" s="127"/>
      <c r="M6" s="127"/>
      <c r="N6" s="127"/>
      <c r="O6" s="127"/>
      <c r="P6" s="127"/>
      <c r="Q6" s="159"/>
      <c r="R6" s="365"/>
    </row>
    <row r="7" spans="1:18" ht="14.1" customHeight="1" x14ac:dyDescent="0.35">
      <c r="A7" s="382"/>
      <c r="B7" s="184"/>
      <c r="C7" s="181"/>
      <c r="D7" s="219" t="s">
        <v>572</v>
      </c>
      <c r="E7" s="185">
        <v>24</v>
      </c>
      <c r="F7" s="229" t="s">
        <v>0</v>
      </c>
      <c r="G7" s="186"/>
      <c r="H7" s="184"/>
      <c r="I7" s="127"/>
      <c r="J7" s="127"/>
      <c r="K7" s="127"/>
      <c r="L7" s="127"/>
      <c r="M7" s="127"/>
      <c r="N7" s="127"/>
      <c r="O7" s="127"/>
      <c r="P7" s="127"/>
      <c r="Q7" s="159"/>
      <c r="R7" s="365"/>
    </row>
    <row r="8" spans="1:18" ht="14.1" customHeight="1" x14ac:dyDescent="0.35">
      <c r="A8" s="382"/>
      <c r="B8" s="184"/>
      <c r="C8" s="181"/>
      <c r="D8" s="219" t="s">
        <v>573</v>
      </c>
      <c r="E8" s="185">
        <v>36</v>
      </c>
      <c r="F8" s="229" t="s">
        <v>0</v>
      </c>
      <c r="G8" s="186"/>
      <c r="H8" s="184"/>
      <c r="I8" s="127"/>
      <c r="J8" s="127"/>
      <c r="K8" s="127"/>
      <c r="L8" s="127"/>
      <c r="M8" s="127"/>
      <c r="N8" s="127"/>
      <c r="O8" s="127"/>
      <c r="P8" s="127"/>
      <c r="Q8" s="159"/>
      <c r="R8" s="365"/>
    </row>
    <row r="9" spans="1:18" ht="14.1" customHeight="1" x14ac:dyDescent="0.35">
      <c r="A9" s="183"/>
      <c r="B9" s="184"/>
      <c r="C9" s="181"/>
      <c r="D9" s="219" t="s">
        <v>566</v>
      </c>
      <c r="E9" s="185">
        <v>5.0999999999999996</v>
      </c>
      <c r="F9" s="229" t="s">
        <v>0</v>
      </c>
      <c r="G9" s="186"/>
      <c r="H9" s="184"/>
      <c r="I9" s="127"/>
      <c r="J9" s="127"/>
      <c r="K9" s="127"/>
      <c r="L9" s="127"/>
      <c r="M9" s="127"/>
      <c r="N9" s="127"/>
      <c r="O9" s="127"/>
      <c r="P9" s="127"/>
      <c r="Q9" s="159"/>
      <c r="R9" s="365"/>
    </row>
    <row r="10" spans="1:18" ht="14.1" customHeight="1" x14ac:dyDescent="0.35">
      <c r="A10" s="183"/>
      <c r="B10" s="184"/>
      <c r="C10" s="181"/>
      <c r="D10" s="219" t="s">
        <v>565</v>
      </c>
      <c r="E10" s="185">
        <v>6</v>
      </c>
      <c r="F10" s="229" t="s">
        <v>2</v>
      </c>
      <c r="G10" s="186"/>
      <c r="H10" s="184"/>
      <c r="I10" s="127"/>
      <c r="J10" s="127"/>
      <c r="K10" s="127"/>
      <c r="L10" s="127"/>
      <c r="M10" s="127"/>
      <c r="N10" s="127"/>
      <c r="O10" s="127"/>
      <c r="P10" s="127"/>
      <c r="Q10" s="159"/>
      <c r="R10" s="365"/>
    </row>
    <row r="11" spans="1:18" ht="14.1" customHeight="1" x14ac:dyDescent="0.35">
      <c r="A11" s="183"/>
      <c r="B11" s="184"/>
      <c r="C11" s="181"/>
      <c r="D11" s="219" t="s">
        <v>624</v>
      </c>
      <c r="E11" s="187">
        <v>300</v>
      </c>
      <c r="F11" s="229" t="s">
        <v>3</v>
      </c>
      <c r="G11" s="186"/>
      <c r="H11" s="184"/>
      <c r="I11" s="127"/>
      <c r="J11" s="127"/>
      <c r="K11" s="127"/>
      <c r="L11" s="127"/>
      <c r="M11" s="127"/>
      <c r="N11" s="127"/>
      <c r="O11" s="127"/>
      <c r="P11" s="127"/>
      <c r="Q11" s="159"/>
      <c r="R11" s="365"/>
    </row>
    <row r="12" spans="1:18" ht="14.1" customHeight="1" x14ac:dyDescent="0.35">
      <c r="A12" s="183"/>
      <c r="B12" s="184"/>
      <c r="C12" s="181"/>
      <c r="D12" s="219" t="s">
        <v>625</v>
      </c>
      <c r="E12" s="187">
        <v>230</v>
      </c>
      <c r="F12" s="229" t="s">
        <v>3</v>
      </c>
      <c r="G12" s="188"/>
      <c r="H12" s="184"/>
      <c r="I12" s="127"/>
      <c r="J12" s="127"/>
      <c r="K12" s="127"/>
      <c r="L12" s="127"/>
      <c r="M12" s="127"/>
      <c r="N12" s="127"/>
      <c r="O12" s="127"/>
      <c r="P12" s="127"/>
      <c r="Q12" s="159"/>
      <c r="R12" s="365"/>
    </row>
    <row r="13" spans="1:18" ht="15.9" customHeight="1" thickBot="1" x14ac:dyDescent="0.4">
      <c r="A13" s="230"/>
      <c r="B13" s="231"/>
      <c r="C13" s="182"/>
      <c r="D13" s="182" t="s">
        <v>568</v>
      </c>
      <c r="E13" s="182">
        <f>'Standard Value Calculator'!S4/1000</f>
        <v>33.200000000000003</v>
      </c>
      <c r="F13" s="232" t="s">
        <v>116</v>
      </c>
      <c r="G13" s="186"/>
      <c r="H13" s="184"/>
      <c r="I13" s="127"/>
      <c r="J13" s="127"/>
      <c r="K13" s="127"/>
      <c r="L13" s="127"/>
      <c r="M13" s="127"/>
      <c r="N13" s="127"/>
      <c r="O13" s="127"/>
      <c r="P13" s="127"/>
      <c r="Q13" s="159"/>
      <c r="R13" s="365"/>
    </row>
    <row r="14" spans="1:18" ht="14.1" customHeight="1" x14ac:dyDescent="0.3">
      <c r="A14" s="183"/>
      <c r="B14" s="184"/>
      <c r="C14" s="184"/>
      <c r="D14" s="189"/>
      <c r="E14" s="190"/>
      <c r="F14" s="184"/>
      <c r="G14" s="186"/>
      <c r="H14" s="184"/>
      <c r="I14" s="127"/>
      <c r="J14" s="127"/>
      <c r="K14" s="127"/>
      <c r="L14" s="127"/>
      <c r="M14" s="127"/>
      <c r="N14" s="127"/>
      <c r="O14" s="127"/>
      <c r="P14" s="127"/>
      <c r="Q14" s="159"/>
      <c r="R14" s="365"/>
    </row>
    <row r="15" spans="1:18" ht="20.100000000000001" customHeight="1" thickBot="1" x14ac:dyDescent="0.35">
      <c r="A15" s="214" t="s">
        <v>430</v>
      </c>
      <c r="B15" s="191"/>
      <c r="C15" s="192"/>
      <c r="D15" s="192"/>
      <c r="E15" s="193"/>
      <c r="F15" s="192"/>
      <c r="G15" s="186"/>
      <c r="H15" s="184"/>
      <c r="I15" s="127"/>
      <c r="J15" s="127"/>
      <c r="K15" s="127"/>
      <c r="L15" s="127"/>
      <c r="M15" s="127"/>
      <c r="N15" s="127"/>
      <c r="O15" s="127"/>
      <c r="P15" s="127"/>
      <c r="Q15" s="159"/>
      <c r="R15" s="365"/>
    </row>
    <row r="16" spans="1:18" ht="14.1" customHeight="1" x14ac:dyDescent="0.3">
      <c r="A16" s="271"/>
      <c r="B16" s="224"/>
      <c r="C16" s="225"/>
      <c r="D16" s="225" t="s">
        <v>461</v>
      </c>
      <c r="E16" s="460">
        <f>Lout1*1000000</f>
        <v>6.7004504504504494</v>
      </c>
      <c r="F16" s="233" t="s">
        <v>413</v>
      </c>
      <c r="G16" s="186"/>
      <c r="H16" s="184"/>
      <c r="I16" s="127"/>
      <c r="J16" s="127"/>
      <c r="K16" s="127"/>
      <c r="L16" s="127"/>
      <c r="M16" s="127"/>
      <c r="N16" s="127"/>
      <c r="O16" s="127"/>
      <c r="P16" s="127"/>
      <c r="Q16" s="159"/>
      <c r="R16" s="365"/>
    </row>
    <row r="17" spans="1:19" ht="14.1" customHeight="1" x14ac:dyDescent="0.35">
      <c r="A17" s="183"/>
      <c r="B17" s="184"/>
      <c r="C17" s="181"/>
      <c r="D17" s="219" t="s">
        <v>567</v>
      </c>
      <c r="E17" s="185">
        <v>7.4</v>
      </c>
      <c r="F17" s="229" t="s">
        <v>413</v>
      </c>
      <c r="G17" s="186"/>
      <c r="H17" s="184"/>
      <c r="I17" s="127"/>
      <c r="J17" s="127"/>
      <c r="K17" s="127"/>
      <c r="L17" s="127"/>
      <c r="M17" s="127"/>
      <c r="N17" s="127"/>
      <c r="O17" s="127"/>
      <c r="P17" s="127"/>
      <c r="Q17" s="159"/>
      <c r="R17" s="365"/>
    </row>
    <row r="18" spans="1:19" ht="14.1" customHeight="1" x14ac:dyDescent="0.3">
      <c r="A18" s="183"/>
      <c r="B18" s="184"/>
      <c r="C18" s="181"/>
      <c r="D18" s="219" t="s">
        <v>462</v>
      </c>
      <c r="E18" s="185">
        <v>5</v>
      </c>
      <c r="F18" s="229" t="s">
        <v>115</v>
      </c>
      <c r="G18" s="186"/>
      <c r="H18" s="184"/>
      <c r="I18" s="127"/>
      <c r="J18" s="127"/>
      <c r="K18" s="127"/>
      <c r="L18" s="127"/>
      <c r="M18" s="127"/>
      <c r="N18" s="127"/>
      <c r="O18" s="127"/>
      <c r="P18" s="127"/>
      <c r="Q18" s="159"/>
      <c r="R18" s="365"/>
    </row>
    <row r="19" spans="1:19" ht="15" customHeight="1" x14ac:dyDescent="0.35">
      <c r="A19" s="183"/>
      <c r="B19" s="184"/>
      <c r="C19" s="181"/>
      <c r="D19" s="381" t="s">
        <v>570</v>
      </c>
      <c r="E19" s="216">
        <f>Iripple1</f>
        <v>1.8325337837837832</v>
      </c>
      <c r="F19" s="234" t="s">
        <v>446</v>
      </c>
      <c r="G19" s="186"/>
      <c r="H19" s="184"/>
      <c r="I19" s="127"/>
      <c r="J19" s="127"/>
      <c r="K19" s="127"/>
      <c r="L19" s="127"/>
      <c r="M19" s="127"/>
      <c r="N19" s="127"/>
      <c r="O19" s="127"/>
      <c r="P19" s="127"/>
      <c r="Q19" s="159"/>
      <c r="R19" s="365"/>
    </row>
    <row r="20" spans="1:19" ht="15" customHeight="1" x14ac:dyDescent="0.35">
      <c r="A20" s="382"/>
      <c r="B20" s="184"/>
      <c r="C20" s="181"/>
      <c r="D20" s="181" t="s">
        <v>548</v>
      </c>
      <c r="E20" s="217">
        <f>Iripple1/Iout*100</f>
        <v>30.542229729729719</v>
      </c>
      <c r="F20" s="234" t="s">
        <v>300</v>
      </c>
      <c r="G20" s="186"/>
      <c r="H20" s="184"/>
      <c r="I20" s="127"/>
      <c r="J20" s="127"/>
      <c r="K20" s="127"/>
      <c r="L20" s="127"/>
      <c r="M20" s="127"/>
      <c r="N20" s="127"/>
      <c r="O20" s="127"/>
      <c r="P20" s="127"/>
      <c r="Q20" s="159"/>
      <c r="R20" s="365"/>
    </row>
    <row r="21" spans="1:19" ht="15" customHeight="1" thickBot="1" x14ac:dyDescent="0.35">
      <c r="A21" s="230"/>
      <c r="B21" s="231"/>
      <c r="C21" s="280"/>
      <c r="D21" s="512" t="s">
        <v>774</v>
      </c>
      <c r="E21" s="349">
        <v>0.2</v>
      </c>
      <c r="F21" s="513" t="s">
        <v>208</v>
      </c>
      <c r="G21" s="186"/>
      <c r="H21" s="184"/>
      <c r="I21" s="127"/>
      <c r="J21" s="127"/>
      <c r="K21" s="127"/>
      <c r="L21" s="127"/>
      <c r="M21" s="127"/>
      <c r="N21" s="127"/>
      <c r="O21" s="127"/>
      <c r="P21" s="127"/>
      <c r="Q21" s="159"/>
      <c r="R21" s="365"/>
    </row>
    <row r="22" spans="1:19" ht="14.1" customHeight="1" x14ac:dyDescent="0.3">
      <c r="A22" s="183"/>
      <c r="B22" s="184"/>
      <c r="C22" s="184"/>
      <c r="D22" s="184"/>
      <c r="E22" s="184"/>
      <c r="F22" s="184"/>
      <c r="G22" s="186"/>
      <c r="H22" s="184"/>
      <c r="I22" s="127"/>
      <c r="J22" s="127"/>
      <c r="K22" s="127"/>
      <c r="L22" s="127"/>
      <c r="M22" s="127"/>
      <c r="N22" s="127"/>
      <c r="O22" s="127"/>
      <c r="P22" s="127"/>
      <c r="Q22" s="159"/>
      <c r="R22" s="365"/>
    </row>
    <row r="23" spans="1:19" ht="20.100000000000001" customHeight="1" thickBot="1" x14ac:dyDescent="0.45">
      <c r="A23" s="214" t="s">
        <v>564</v>
      </c>
      <c r="B23" s="191"/>
      <c r="C23" s="184"/>
      <c r="D23" s="184"/>
      <c r="E23" s="184"/>
      <c r="F23" s="184"/>
      <c r="G23" s="186"/>
      <c r="H23" s="184"/>
      <c r="I23" s="127"/>
      <c r="J23" s="127"/>
      <c r="K23" s="127"/>
      <c r="L23" s="127"/>
      <c r="M23" s="127"/>
      <c r="N23" s="127"/>
      <c r="O23" s="127"/>
      <c r="P23" s="127"/>
      <c r="Q23" s="159"/>
      <c r="R23" s="365"/>
    </row>
    <row r="24" spans="1:19" ht="15" customHeight="1" x14ac:dyDescent="0.35">
      <c r="A24" s="397"/>
      <c r="B24" s="278"/>
      <c r="C24" s="398"/>
      <c r="D24" s="402" t="s">
        <v>604</v>
      </c>
      <c r="E24" s="404">
        <v>6</v>
      </c>
      <c r="F24" s="403" t="s">
        <v>115</v>
      </c>
      <c r="G24" s="186"/>
      <c r="H24" s="184"/>
      <c r="I24" s="127"/>
      <c r="J24" s="127"/>
      <c r="K24" s="127"/>
      <c r="L24" s="127"/>
      <c r="M24" s="127"/>
      <c r="N24" s="127"/>
      <c r="O24" s="127"/>
      <c r="P24" s="127"/>
      <c r="Q24" s="159"/>
      <c r="R24" s="365"/>
      <c r="S24" s="123" t="s">
        <v>384</v>
      </c>
    </row>
    <row r="25" spans="1:19" ht="15" customHeight="1" x14ac:dyDescent="0.3">
      <c r="A25" s="183"/>
      <c r="B25" s="184"/>
      <c r="C25" s="184"/>
      <c r="D25" s="219" t="s">
        <v>463</v>
      </c>
      <c r="E25" s="185">
        <v>10</v>
      </c>
      <c r="F25" s="229" t="s">
        <v>2</v>
      </c>
      <c r="G25" s="186"/>
      <c r="H25" s="184"/>
      <c r="I25" s="127"/>
      <c r="J25" s="127"/>
      <c r="K25" s="127"/>
      <c r="L25" s="127"/>
      <c r="M25" s="127"/>
      <c r="N25" s="127"/>
      <c r="O25" s="127"/>
      <c r="P25" s="127"/>
      <c r="Q25" s="159"/>
      <c r="R25" s="365"/>
    </row>
    <row r="26" spans="1:19" ht="15" customHeight="1" x14ac:dyDescent="0.35">
      <c r="A26" s="184"/>
      <c r="B26" s="184"/>
      <c r="C26" s="184"/>
      <c r="D26" s="181" t="s">
        <v>588</v>
      </c>
      <c r="E26" s="217">
        <f>IF(RDSON_sense=1, Rilim_Rdson, Rilim_shunt)</f>
        <v>274</v>
      </c>
      <c r="F26" s="234" t="s">
        <v>274</v>
      </c>
      <c r="G26" s="188"/>
      <c r="H26" s="184"/>
      <c r="I26" s="127"/>
      <c r="J26" s="127"/>
      <c r="K26" s="127"/>
      <c r="L26" s="127"/>
      <c r="M26" s="127"/>
      <c r="N26" s="127"/>
      <c r="O26" s="127"/>
      <c r="P26" s="127"/>
      <c r="Q26" s="159"/>
      <c r="R26" s="365"/>
    </row>
    <row r="27" spans="1:19" ht="14.1" customHeight="1" x14ac:dyDescent="0.35">
      <c r="A27" s="183"/>
      <c r="B27" s="184"/>
      <c r="C27" s="184"/>
      <c r="D27" s="181" t="s">
        <v>569</v>
      </c>
      <c r="E27" s="216">
        <f>'Variable Management'!B51</f>
        <v>13.2</v>
      </c>
      <c r="F27" s="234" t="s">
        <v>2</v>
      </c>
      <c r="G27" s="184"/>
      <c r="H27" s="184"/>
      <c r="I27" s="127"/>
      <c r="J27" s="127"/>
      <c r="K27" s="127"/>
      <c r="L27" s="127"/>
      <c r="M27" s="127"/>
      <c r="N27" s="127"/>
      <c r="O27" s="127"/>
      <c r="P27" s="127"/>
      <c r="Q27" s="159"/>
      <c r="R27" s="365"/>
    </row>
    <row r="28" spans="1:19" ht="14.1" customHeight="1" thickBot="1" x14ac:dyDescent="0.4">
      <c r="A28" s="230"/>
      <c r="B28" s="231"/>
      <c r="C28" s="231"/>
      <c r="D28" s="399" t="s">
        <v>596</v>
      </c>
      <c r="E28" s="400">
        <f>_Rs3</f>
        <v>0.16</v>
      </c>
      <c r="F28" s="257" t="s">
        <v>208</v>
      </c>
      <c r="G28" s="184"/>
      <c r="H28" s="184"/>
      <c r="I28" s="127"/>
      <c r="J28" s="127"/>
      <c r="K28" s="127"/>
      <c r="L28" s="127"/>
      <c r="M28" s="127"/>
      <c r="N28" s="127"/>
      <c r="O28" s="127"/>
      <c r="P28" s="127"/>
      <c r="Q28" s="159"/>
      <c r="R28" s="365"/>
    </row>
    <row r="29" spans="1:19" ht="14.1" customHeight="1" x14ac:dyDescent="0.3">
      <c r="A29" s="277"/>
      <c r="B29" s="170"/>
      <c r="C29" s="170"/>
      <c r="D29" s="170"/>
      <c r="E29" s="170"/>
      <c r="F29" s="170"/>
      <c r="G29" s="184"/>
      <c r="H29" s="184"/>
      <c r="I29" s="127"/>
      <c r="J29" s="127"/>
      <c r="K29" s="127"/>
      <c r="L29" s="127"/>
      <c r="M29" s="127"/>
      <c r="N29" s="127"/>
      <c r="O29" s="127"/>
      <c r="P29" s="127"/>
      <c r="Q29" s="159"/>
      <c r="R29" s="365"/>
    </row>
    <row r="30" spans="1:19" ht="18" thickBot="1" x14ac:dyDescent="0.35">
      <c r="A30" s="214" t="s">
        <v>732</v>
      </c>
      <c r="B30" s="191"/>
      <c r="C30" s="192"/>
      <c r="D30" s="192"/>
      <c r="E30" s="193"/>
      <c r="F30" s="192"/>
      <c r="G30" s="184"/>
      <c r="H30" s="184"/>
      <c r="I30" s="127"/>
      <c r="J30" s="127"/>
      <c r="K30" s="127"/>
      <c r="L30" s="127"/>
      <c r="M30" s="127"/>
      <c r="N30" s="127"/>
      <c r="O30" s="127"/>
      <c r="P30" s="127"/>
      <c r="Q30" s="159"/>
      <c r="R30" s="365"/>
    </row>
    <row r="31" spans="1:19" ht="14.1" customHeight="1" x14ac:dyDescent="0.35">
      <c r="A31" s="250"/>
      <c r="B31" s="236"/>
      <c r="C31" s="225"/>
      <c r="D31" s="237" t="s">
        <v>464</v>
      </c>
      <c r="E31" s="238">
        <v>20</v>
      </c>
      <c r="F31" s="228" t="s">
        <v>447</v>
      </c>
      <c r="G31" s="184"/>
      <c r="H31" s="184"/>
      <c r="I31" s="127"/>
      <c r="J31" s="127"/>
      <c r="K31" s="127"/>
      <c r="L31" s="127"/>
      <c r="M31" s="127"/>
      <c r="N31" s="127"/>
      <c r="O31" s="127"/>
      <c r="P31" s="127"/>
      <c r="Q31" s="159"/>
      <c r="R31" s="365"/>
    </row>
    <row r="32" spans="1:19" ht="14.1" customHeight="1" x14ac:dyDescent="0.3">
      <c r="A32" s="183"/>
      <c r="B32" s="184"/>
      <c r="C32" s="181"/>
      <c r="D32" s="181" t="s">
        <v>465</v>
      </c>
      <c r="E32" s="217">
        <f>Coutmin*1000000</f>
        <v>38.177787162162147</v>
      </c>
      <c r="F32" s="234" t="s">
        <v>414</v>
      </c>
      <c r="G32" s="184"/>
      <c r="H32" s="184"/>
      <c r="I32" s="127"/>
      <c r="J32" s="127"/>
      <c r="K32" s="127"/>
      <c r="L32" s="127"/>
      <c r="M32" s="127"/>
      <c r="N32" s="127"/>
      <c r="O32" s="127"/>
      <c r="P32" s="127"/>
      <c r="Q32" s="159"/>
      <c r="R32" s="365"/>
    </row>
    <row r="33" spans="1:18" ht="14.1" customHeight="1" x14ac:dyDescent="0.35">
      <c r="A33" s="183"/>
      <c r="B33" s="184"/>
      <c r="C33" s="181"/>
      <c r="D33" s="180" t="s">
        <v>738</v>
      </c>
      <c r="E33" s="185">
        <v>132</v>
      </c>
      <c r="F33" s="229" t="s">
        <v>414</v>
      </c>
      <c r="G33" s="186"/>
      <c r="H33" s="184"/>
      <c r="I33" s="127"/>
      <c r="J33" s="127"/>
      <c r="K33" s="127"/>
      <c r="L33" s="127"/>
      <c r="M33" s="127"/>
      <c r="N33" s="127"/>
      <c r="O33" s="127"/>
      <c r="P33" s="127"/>
      <c r="Q33" s="159"/>
      <c r="R33" s="365"/>
    </row>
    <row r="34" spans="1:18" ht="14.1" customHeight="1" x14ac:dyDescent="0.3">
      <c r="A34" s="183"/>
      <c r="B34" s="184"/>
      <c r="C34" s="181"/>
      <c r="D34" s="181" t="s">
        <v>466</v>
      </c>
      <c r="E34" s="218">
        <f>IF(ISERROR(Resrmax*1000),"N/A",Resrmax*1000)</f>
        <v>10.447402975915685</v>
      </c>
      <c r="F34" s="234" t="s">
        <v>115</v>
      </c>
      <c r="G34" s="186"/>
      <c r="H34" s="184"/>
      <c r="I34" s="127"/>
      <c r="J34" s="127"/>
      <c r="K34" s="127"/>
      <c r="L34" s="127"/>
      <c r="M34" s="127"/>
      <c r="N34" s="127"/>
      <c r="O34" s="127"/>
      <c r="P34" s="127"/>
      <c r="Q34" s="159"/>
      <c r="R34" s="365"/>
    </row>
    <row r="35" spans="1:18" ht="14.1" customHeight="1" x14ac:dyDescent="0.3">
      <c r="A35" s="183"/>
      <c r="B35" s="184"/>
      <c r="C35" s="181"/>
      <c r="D35" s="180" t="s">
        <v>467</v>
      </c>
      <c r="E35" s="187">
        <v>10</v>
      </c>
      <c r="F35" s="229" t="s">
        <v>115</v>
      </c>
      <c r="G35" s="186"/>
      <c r="H35" s="184"/>
      <c r="I35" s="127"/>
      <c r="J35" s="127"/>
      <c r="K35" s="127"/>
      <c r="L35" s="127"/>
      <c r="M35" s="127"/>
      <c r="N35" s="127"/>
      <c r="O35" s="127"/>
      <c r="P35" s="127"/>
      <c r="Q35" s="159"/>
      <c r="R35" s="365"/>
    </row>
    <row r="36" spans="1:18" ht="14.1" customHeight="1" x14ac:dyDescent="0.35">
      <c r="A36" s="183"/>
      <c r="B36" s="184"/>
      <c r="C36" s="184"/>
      <c r="D36" s="181" t="s">
        <v>468</v>
      </c>
      <c r="E36" s="217">
        <f>Vripple2*1000</f>
        <v>19.216623009929982</v>
      </c>
      <c r="F36" s="234" t="s">
        <v>457</v>
      </c>
      <c r="G36" s="186"/>
      <c r="H36" s="184"/>
      <c r="I36" s="127"/>
      <c r="J36" s="127"/>
      <c r="K36" s="127"/>
      <c r="L36" s="127"/>
      <c r="M36" s="127"/>
      <c r="N36" s="127"/>
      <c r="O36" s="127"/>
      <c r="P36" s="127"/>
      <c r="Q36" s="159"/>
      <c r="R36" s="365"/>
    </row>
    <row r="37" spans="1:18" ht="14.1" customHeight="1" thickBot="1" x14ac:dyDescent="0.35">
      <c r="A37" s="230"/>
      <c r="B37" s="231"/>
      <c r="C37" s="231"/>
      <c r="D37" s="182" t="s">
        <v>469</v>
      </c>
      <c r="E37" s="235">
        <f>Icoutrms</f>
        <v>0.52900693668332532</v>
      </c>
      <c r="F37" s="232" t="s">
        <v>282</v>
      </c>
      <c r="G37" s="188"/>
      <c r="H37" s="184"/>
      <c r="I37" s="127"/>
      <c r="J37" s="127"/>
      <c r="K37" s="161"/>
      <c r="L37" s="127"/>
      <c r="M37" s="127"/>
      <c r="N37" s="127"/>
      <c r="O37" s="127"/>
      <c r="P37" s="127"/>
      <c r="Q37" s="159"/>
      <c r="R37" s="365"/>
    </row>
    <row r="38" spans="1:18" ht="14.1" customHeight="1" x14ac:dyDescent="0.3">
      <c r="A38" s="272"/>
      <c r="B38" s="194"/>
      <c r="C38" s="194"/>
      <c r="D38" s="194"/>
      <c r="E38" s="194"/>
      <c r="F38" s="194"/>
      <c r="G38" s="184"/>
      <c r="H38" s="184"/>
      <c r="I38" s="127"/>
      <c r="J38" s="127"/>
      <c r="K38" s="127"/>
      <c r="L38" s="127"/>
      <c r="M38" s="127"/>
      <c r="N38" s="127"/>
      <c r="O38" s="127"/>
      <c r="P38" s="127"/>
      <c r="Q38" s="159"/>
      <c r="R38" s="365"/>
    </row>
    <row r="39" spans="1:18" ht="18" thickBot="1" x14ac:dyDescent="0.35">
      <c r="A39" s="214" t="s">
        <v>733</v>
      </c>
      <c r="B39" s="191"/>
      <c r="C39" s="192"/>
      <c r="D39" s="192"/>
      <c r="E39" s="184"/>
      <c r="F39" s="184"/>
      <c r="G39" s="184"/>
      <c r="H39" s="184"/>
      <c r="I39" s="127"/>
      <c r="J39" s="127"/>
      <c r="K39" s="127"/>
      <c r="L39" s="162"/>
      <c r="M39" s="127"/>
      <c r="N39" s="127"/>
      <c r="O39" s="127"/>
      <c r="P39" s="127"/>
      <c r="Q39" s="159"/>
      <c r="R39" s="365"/>
    </row>
    <row r="40" spans="1:18" ht="14.1" customHeight="1" x14ac:dyDescent="0.35">
      <c r="A40" s="250"/>
      <c r="B40" s="236"/>
      <c r="C40" s="224"/>
      <c r="D40" s="226" t="s">
        <v>470</v>
      </c>
      <c r="E40" s="238">
        <v>50</v>
      </c>
      <c r="F40" s="228" t="s">
        <v>447</v>
      </c>
      <c r="G40" s="184"/>
      <c r="H40" s="184"/>
      <c r="I40" s="127"/>
      <c r="J40" s="163"/>
      <c r="K40" s="127"/>
      <c r="L40" s="127"/>
      <c r="M40" s="127"/>
      <c r="N40" s="127"/>
      <c r="O40" s="127"/>
      <c r="P40" s="127"/>
      <c r="Q40" s="159"/>
      <c r="R40" s="365"/>
    </row>
    <row r="41" spans="1:18" ht="14.1" customHeight="1" x14ac:dyDescent="0.3">
      <c r="A41" s="195"/>
      <c r="B41" s="192"/>
      <c r="C41" s="184"/>
      <c r="D41" s="181" t="s">
        <v>471</v>
      </c>
      <c r="E41" s="217">
        <f>'Variable Management'!B80*1000000</f>
        <v>67.566974999999985</v>
      </c>
      <c r="F41" s="234" t="s">
        <v>414</v>
      </c>
      <c r="G41" s="184"/>
      <c r="H41" s="184"/>
      <c r="I41" s="127"/>
      <c r="J41" s="163"/>
      <c r="K41" s="127"/>
      <c r="L41" s="127"/>
      <c r="M41" s="127"/>
      <c r="N41" s="127"/>
      <c r="O41" s="127"/>
      <c r="P41" s="127"/>
      <c r="Q41" s="159"/>
      <c r="R41" s="365"/>
    </row>
    <row r="42" spans="1:18" ht="14.1" customHeight="1" x14ac:dyDescent="0.35">
      <c r="A42" s="183"/>
      <c r="B42" s="184"/>
      <c r="C42" s="192"/>
      <c r="D42" s="219" t="s">
        <v>739</v>
      </c>
      <c r="E42" s="185">
        <v>110</v>
      </c>
      <c r="F42" s="229" t="s">
        <v>414</v>
      </c>
      <c r="G42" s="184"/>
      <c r="H42" s="184"/>
      <c r="I42" s="127"/>
      <c r="J42" s="163"/>
      <c r="K42" s="127"/>
      <c r="L42" s="127"/>
      <c r="M42" s="127"/>
      <c r="N42" s="127"/>
      <c r="O42" s="127"/>
      <c r="P42" s="127"/>
      <c r="Q42" s="159"/>
      <c r="R42" s="365"/>
    </row>
    <row r="43" spans="1:18" ht="14.1" customHeight="1" x14ac:dyDescent="0.3">
      <c r="A43" s="183"/>
      <c r="B43" s="184"/>
      <c r="C43" s="192"/>
      <c r="D43" s="181" t="s">
        <v>466</v>
      </c>
      <c r="E43" s="218">
        <f>IF(CinEsrMax*1000&lt;0,"N/A",CinEsrMax*1000)</f>
        <v>2.7887499048041549</v>
      </c>
      <c r="F43" s="234" t="s">
        <v>115</v>
      </c>
      <c r="G43" s="184"/>
      <c r="H43" s="184"/>
      <c r="I43" s="127"/>
      <c r="J43" s="164"/>
      <c r="K43" s="127"/>
      <c r="L43" s="127"/>
      <c r="M43" s="127"/>
      <c r="N43" s="127"/>
      <c r="O43" s="127"/>
      <c r="P43" s="127"/>
      <c r="Q43" s="159" t="s">
        <v>343</v>
      </c>
      <c r="R43" s="365"/>
    </row>
    <row r="44" spans="1:18" ht="14.1" customHeight="1" x14ac:dyDescent="0.3">
      <c r="A44" s="183"/>
      <c r="B44" s="184"/>
      <c r="C44" s="192"/>
      <c r="D44" s="219" t="s">
        <v>472</v>
      </c>
      <c r="E44" s="185">
        <v>2</v>
      </c>
      <c r="F44" s="229" t="s">
        <v>115</v>
      </c>
      <c r="G44" s="184"/>
      <c r="H44" s="184"/>
      <c r="I44" s="127"/>
      <c r="J44" s="164"/>
      <c r="K44" s="127"/>
      <c r="L44" s="127"/>
      <c r="M44" s="127"/>
      <c r="N44" s="127"/>
      <c r="O44" s="127"/>
      <c r="P44" s="127"/>
      <c r="Q44" s="159"/>
      <c r="R44" s="365"/>
    </row>
    <row r="45" spans="1:18" ht="14.1" customHeight="1" x14ac:dyDescent="0.35">
      <c r="A45" s="183"/>
      <c r="B45" s="184"/>
      <c r="C45" s="192"/>
      <c r="D45" s="181" t="s">
        <v>473</v>
      </c>
      <c r="E45" s="217">
        <f>Vinripple2*1000</f>
        <v>44.544795147420146</v>
      </c>
      <c r="F45" s="234" t="s">
        <v>457</v>
      </c>
      <c r="G45" s="184"/>
      <c r="H45" s="184"/>
      <c r="I45" s="127"/>
      <c r="J45" s="164"/>
      <c r="K45" s="127"/>
      <c r="L45" s="127"/>
      <c r="M45" s="127"/>
      <c r="N45" s="127"/>
      <c r="O45" s="127"/>
      <c r="P45" s="127"/>
      <c r="Q45" s="159"/>
      <c r="R45" s="365"/>
    </row>
    <row r="46" spans="1:18" ht="14.1" customHeight="1" thickBot="1" x14ac:dyDescent="0.35">
      <c r="A46" s="230"/>
      <c r="B46" s="231"/>
      <c r="C46" s="231"/>
      <c r="D46" s="182" t="s">
        <v>474</v>
      </c>
      <c r="E46" s="235">
        <f>Icinrms</f>
        <v>2.4659739962132612</v>
      </c>
      <c r="F46" s="232" t="s">
        <v>282</v>
      </c>
      <c r="G46" s="184"/>
      <c r="H46" s="184"/>
      <c r="I46" s="127"/>
      <c r="J46" s="127"/>
      <c r="K46" s="127"/>
      <c r="L46" s="127"/>
      <c r="M46" s="127"/>
      <c r="N46" s="127"/>
      <c r="O46" s="127"/>
      <c r="P46" s="127"/>
      <c r="Q46" s="159"/>
      <c r="R46" s="365"/>
    </row>
    <row r="47" spans="1:18" ht="14.1" customHeight="1" x14ac:dyDescent="0.3">
      <c r="A47" s="183"/>
      <c r="B47" s="184"/>
      <c r="C47" s="184"/>
      <c r="D47" s="181"/>
      <c r="E47" s="184"/>
      <c r="F47" s="184"/>
      <c r="G47" s="184"/>
      <c r="H47" s="184"/>
      <c r="I47" s="127"/>
      <c r="J47" s="127"/>
      <c r="K47" s="127"/>
      <c r="L47" s="127"/>
      <c r="M47" s="127"/>
      <c r="N47" s="127"/>
      <c r="O47" s="127"/>
      <c r="P47" s="127"/>
      <c r="Q47" s="159"/>
      <c r="R47" s="365"/>
    </row>
    <row r="48" spans="1:18" ht="18" thickBot="1" x14ac:dyDescent="0.35">
      <c r="A48" s="214" t="s">
        <v>613</v>
      </c>
      <c r="B48" s="191"/>
      <c r="C48" s="184"/>
      <c r="D48" s="181"/>
      <c r="E48" s="184"/>
      <c r="F48" s="184"/>
      <c r="G48" s="184"/>
      <c r="H48" s="196"/>
      <c r="I48" s="170"/>
      <c r="J48" s="170"/>
      <c r="K48" s="170"/>
      <c r="L48" s="170"/>
      <c r="M48" s="170"/>
      <c r="N48" s="127"/>
      <c r="O48" s="127"/>
      <c r="P48" s="127"/>
      <c r="Q48" s="159"/>
      <c r="R48" s="365"/>
    </row>
    <row r="49" spans="1:35" ht="14.1" customHeight="1" x14ac:dyDescent="0.35">
      <c r="A49" s="271"/>
      <c r="B49" s="224"/>
      <c r="C49" s="224"/>
      <c r="D49" s="239" t="s">
        <v>616</v>
      </c>
      <c r="E49" s="227">
        <v>8</v>
      </c>
      <c r="F49" s="228" t="s">
        <v>291</v>
      </c>
      <c r="G49" s="184"/>
      <c r="H49" s="194"/>
      <c r="I49" s="170"/>
      <c r="J49" s="170"/>
      <c r="K49" s="170"/>
      <c r="L49" s="170"/>
      <c r="M49" s="170"/>
      <c r="N49" s="127"/>
      <c r="O49" s="127"/>
      <c r="P49" s="127"/>
      <c r="Q49" s="159"/>
      <c r="R49" s="365"/>
    </row>
    <row r="50" spans="1:35" ht="14.1" customHeight="1" x14ac:dyDescent="0.35">
      <c r="A50" s="183"/>
      <c r="B50" s="184"/>
      <c r="C50" s="184"/>
      <c r="D50" s="181" t="s">
        <v>617</v>
      </c>
      <c r="E50" s="218">
        <f>Css_u*1000000000</f>
        <v>100</v>
      </c>
      <c r="F50" s="234" t="s">
        <v>278</v>
      </c>
      <c r="G50" s="184"/>
      <c r="H50" s="194"/>
      <c r="I50" s="170"/>
      <c r="J50" s="170"/>
      <c r="K50" s="170"/>
      <c r="L50" s="170"/>
      <c r="M50" s="170"/>
      <c r="N50" s="127"/>
      <c r="O50" s="127"/>
      <c r="P50" s="127"/>
      <c r="Q50" s="159"/>
      <c r="R50" s="365"/>
    </row>
    <row r="51" spans="1:35" ht="14.1" customHeight="1" x14ac:dyDescent="0.3">
      <c r="A51" s="183"/>
      <c r="B51" s="184"/>
      <c r="C51" s="192"/>
      <c r="D51" s="180" t="s">
        <v>614</v>
      </c>
      <c r="E51" s="308">
        <v>8.33</v>
      </c>
      <c r="F51" s="229" t="s">
        <v>0</v>
      </c>
      <c r="G51" s="184"/>
      <c r="H51" s="184"/>
      <c r="I51" s="127"/>
      <c r="J51" s="125"/>
      <c r="K51" s="179"/>
      <c r="L51" s="127"/>
      <c r="M51" s="170"/>
      <c r="N51" s="127"/>
      <c r="O51" s="127"/>
      <c r="P51" s="127"/>
      <c r="Q51" s="159"/>
      <c r="R51" s="365"/>
    </row>
    <row r="52" spans="1:35" ht="14.1" customHeight="1" x14ac:dyDescent="0.3">
      <c r="A52" s="183"/>
      <c r="B52" s="184"/>
      <c r="C52" s="192"/>
      <c r="D52" s="180" t="s">
        <v>615</v>
      </c>
      <c r="E52" s="308">
        <v>7.58</v>
      </c>
      <c r="F52" s="229" t="s">
        <v>0</v>
      </c>
      <c r="G52" s="184"/>
      <c r="H52" s="184"/>
      <c r="I52" s="127"/>
      <c r="J52" s="125"/>
      <c r="K52" s="179"/>
      <c r="L52" s="127"/>
      <c r="M52" s="170"/>
      <c r="N52" s="127"/>
      <c r="O52" s="127"/>
      <c r="P52" s="127"/>
      <c r="Q52" s="159"/>
      <c r="R52" s="365"/>
    </row>
    <row r="53" spans="1:35" ht="14.1" customHeight="1" x14ac:dyDescent="0.35">
      <c r="A53" s="183"/>
      <c r="B53" s="184"/>
      <c r="C53" s="184"/>
      <c r="D53" s="181" t="s">
        <v>597</v>
      </c>
      <c r="E53" s="181">
        <f>'Variable Management'!F97</f>
        <v>75</v>
      </c>
      <c r="F53" s="234" t="s">
        <v>116</v>
      </c>
      <c r="G53" s="184"/>
      <c r="H53" s="184"/>
      <c r="I53" s="127"/>
      <c r="J53" s="125"/>
      <c r="K53" s="179"/>
      <c r="L53" s="127"/>
      <c r="M53" s="170"/>
      <c r="N53" s="127"/>
      <c r="O53" s="127"/>
      <c r="P53" s="127"/>
      <c r="Q53" s="159"/>
      <c r="R53" s="365"/>
    </row>
    <row r="54" spans="1:35" ht="14.1" customHeight="1" thickBot="1" x14ac:dyDescent="0.4">
      <c r="A54" s="230"/>
      <c r="B54" s="231"/>
      <c r="C54" s="231"/>
      <c r="D54" s="182" t="s">
        <v>598</v>
      </c>
      <c r="E54" s="182">
        <f>'Variable Management'!F98</f>
        <v>12.700000000000001</v>
      </c>
      <c r="F54" s="232" t="s">
        <v>116</v>
      </c>
      <c r="G54" s="184"/>
      <c r="H54" s="184"/>
      <c r="I54" s="127"/>
      <c r="J54" s="125"/>
      <c r="K54" s="179"/>
      <c r="L54" s="127"/>
      <c r="M54" s="170"/>
      <c r="N54" s="127"/>
      <c r="O54" s="127"/>
      <c r="P54" s="127"/>
      <c r="Q54" s="159"/>
      <c r="R54" s="365"/>
    </row>
    <row r="55" spans="1:35" ht="14.1" customHeight="1" x14ac:dyDescent="0.3">
      <c r="A55" s="183" t="s">
        <v>734</v>
      </c>
      <c r="B55" s="184"/>
      <c r="C55" s="184"/>
      <c r="D55" s="181"/>
      <c r="E55" s="197"/>
      <c r="F55" s="184"/>
      <c r="G55" s="184"/>
      <c r="H55" s="184"/>
      <c r="I55" s="127"/>
      <c r="J55" s="125"/>
      <c r="K55" s="179"/>
      <c r="L55" s="127"/>
      <c r="M55" s="170"/>
      <c r="N55" s="127"/>
      <c r="O55" s="127"/>
      <c r="P55" s="127"/>
      <c r="Q55" s="159"/>
      <c r="R55" s="365"/>
    </row>
    <row r="56" spans="1:35" ht="14.1" customHeight="1" x14ac:dyDescent="0.3">
      <c r="A56" s="272" t="s">
        <v>735</v>
      </c>
      <c r="B56" s="170"/>
      <c r="C56" s="170"/>
      <c r="D56" s="170"/>
      <c r="E56" s="170"/>
      <c r="F56" s="170"/>
      <c r="G56" s="184"/>
      <c r="H56" s="184"/>
      <c r="I56" s="127"/>
      <c r="J56" s="125"/>
      <c r="K56" s="179"/>
      <c r="L56" s="127"/>
      <c r="M56" s="170"/>
      <c r="N56" s="127"/>
      <c r="O56" s="127"/>
      <c r="P56" s="127"/>
      <c r="Q56" s="159"/>
      <c r="R56" s="365"/>
    </row>
    <row r="57" spans="1:35" ht="14.1" customHeight="1" x14ac:dyDescent="0.3">
      <c r="A57" s="277"/>
      <c r="B57" s="184"/>
      <c r="C57" s="184"/>
      <c r="D57" s="181"/>
      <c r="E57" s="197"/>
      <c r="F57" s="184"/>
      <c r="G57" s="184"/>
      <c r="H57" s="184"/>
      <c r="I57" s="127"/>
      <c r="J57" s="125"/>
      <c r="K57" s="179"/>
      <c r="L57" s="127"/>
      <c r="M57" s="170"/>
      <c r="N57" s="127"/>
      <c r="O57" s="127"/>
      <c r="P57" s="127"/>
      <c r="Q57" s="159"/>
      <c r="R57" s="365"/>
    </row>
    <row r="58" spans="1:35" ht="24.9" customHeight="1" thickBot="1" x14ac:dyDescent="0.35">
      <c r="A58" s="270" t="s">
        <v>459</v>
      </c>
      <c r="B58" s="199"/>
      <c r="C58" s="192"/>
      <c r="D58" s="192"/>
      <c r="E58" s="193"/>
      <c r="F58" s="192"/>
      <c r="G58" s="184"/>
      <c r="H58" s="184"/>
      <c r="I58" s="127"/>
      <c r="J58" s="127"/>
      <c r="K58" s="127"/>
      <c r="L58" s="127"/>
      <c r="M58" s="127"/>
      <c r="N58" s="127"/>
      <c r="O58" s="127"/>
      <c r="P58" s="127"/>
      <c r="Q58" s="159"/>
      <c r="R58" s="366"/>
      <c r="S58" s="85"/>
      <c r="T58" s="85"/>
      <c r="W58" s="85"/>
      <c r="X58" s="85"/>
      <c r="Y58" s="85"/>
      <c r="AB58" s="85"/>
      <c r="AC58" s="85"/>
      <c r="AD58" s="85"/>
      <c r="AG58" s="85"/>
      <c r="AH58" s="85"/>
      <c r="AI58" s="85"/>
    </row>
    <row r="59" spans="1:35" ht="14.1" customHeight="1" x14ac:dyDescent="0.3">
      <c r="A59" s="271"/>
      <c r="B59" s="224"/>
      <c r="C59" s="225"/>
      <c r="D59" s="225" t="s">
        <v>475</v>
      </c>
      <c r="E59" s="241">
        <f>Fo/1000</f>
        <v>5.0775135194992655</v>
      </c>
      <c r="F59" s="233" t="s">
        <v>3</v>
      </c>
      <c r="G59" s="184"/>
      <c r="H59" s="184"/>
      <c r="I59" s="127"/>
      <c r="J59" s="127"/>
      <c r="K59" s="127"/>
      <c r="L59" s="127"/>
      <c r="M59" s="127"/>
      <c r="N59" s="127"/>
      <c r="O59" s="127"/>
      <c r="P59" s="127"/>
      <c r="Q59" s="159"/>
      <c r="R59" s="366"/>
      <c r="S59" s="85"/>
      <c r="T59" s="85"/>
      <c r="W59" s="85"/>
      <c r="X59" s="85"/>
      <c r="Y59" s="85"/>
      <c r="AB59" s="85"/>
      <c r="AC59" s="85"/>
      <c r="AD59" s="85"/>
      <c r="AG59" s="85"/>
      <c r="AH59" s="85"/>
      <c r="AI59" s="85"/>
    </row>
    <row r="60" spans="1:35" ht="14.1" customHeight="1" x14ac:dyDescent="0.3">
      <c r="A60" s="183"/>
      <c r="B60" s="184"/>
      <c r="C60" s="181"/>
      <c r="D60" s="181" t="s">
        <v>476</v>
      </c>
      <c r="E60" s="217">
        <f>Fesr/1000</f>
        <v>120.5719267225427</v>
      </c>
      <c r="F60" s="234" t="s">
        <v>3</v>
      </c>
      <c r="G60" s="184"/>
      <c r="H60" s="184"/>
      <c r="I60" s="127"/>
      <c r="J60" s="127"/>
      <c r="K60" s="127"/>
      <c r="L60" s="127"/>
      <c r="M60" s="127"/>
      <c r="N60" s="127"/>
      <c r="O60" s="127"/>
      <c r="P60" s="127"/>
      <c r="Q60" s="159"/>
      <c r="R60" s="366"/>
      <c r="S60" s="85"/>
      <c r="T60" s="85"/>
      <c r="W60" s="85"/>
      <c r="X60" s="85"/>
      <c r="Y60" s="85"/>
      <c r="AB60" s="85"/>
      <c r="AC60" s="85"/>
      <c r="AD60" s="85"/>
      <c r="AG60" s="85"/>
      <c r="AH60" s="85"/>
      <c r="AI60" s="85"/>
    </row>
    <row r="61" spans="1:35" ht="14.1" customHeight="1" x14ac:dyDescent="0.3">
      <c r="A61" s="183"/>
      <c r="B61" s="184"/>
      <c r="C61" s="181"/>
      <c r="D61" s="180" t="s">
        <v>485</v>
      </c>
      <c r="E61" s="220">
        <v>30</v>
      </c>
      <c r="F61" s="405" t="s">
        <v>612</v>
      </c>
      <c r="G61" s="184"/>
      <c r="H61" s="184"/>
      <c r="I61" s="127"/>
      <c r="J61" s="127"/>
      <c r="K61" s="127"/>
      <c r="L61" s="127"/>
      <c r="M61" s="127"/>
      <c r="N61" s="127"/>
      <c r="O61" s="127"/>
      <c r="P61" s="127"/>
      <c r="Q61" s="159"/>
      <c r="R61" s="366"/>
      <c r="S61" s="85"/>
      <c r="T61" s="85"/>
      <c r="W61" s="85"/>
      <c r="X61" s="85"/>
      <c r="Y61" s="85"/>
      <c r="AB61" s="85"/>
      <c r="AC61" s="85"/>
      <c r="AD61" s="85"/>
      <c r="AG61" s="85"/>
      <c r="AH61" s="85"/>
      <c r="AI61" s="85"/>
    </row>
    <row r="62" spans="1:35" ht="14.1" customHeight="1" x14ac:dyDescent="0.3">
      <c r="A62" s="183"/>
      <c r="B62" s="184"/>
      <c r="C62" s="181"/>
      <c r="D62" s="181" t="s">
        <v>477</v>
      </c>
      <c r="E62" s="215">
        <f>Kmidband</f>
        <v>0.39389358439310196</v>
      </c>
      <c r="F62" s="234" t="s">
        <v>49</v>
      </c>
      <c r="G62" s="184"/>
      <c r="H62" s="184"/>
      <c r="I62" s="127"/>
      <c r="J62" s="127"/>
      <c r="K62" s="127"/>
      <c r="L62" s="127"/>
      <c r="M62" s="127"/>
      <c r="N62" s="127"/>
      <c r="O62" s="127"/>
      <c r="P62" s="127"/>
      <c r="Q62" s="159"/>
      <c r="R62" s="366"/>
      <c r="S62" s="85"/>
      <c r="T62" s="85"/>
      <c r="W62" s="85"/>
      <c r="X62" s="85"/>
      <c r="Y62" s="85"/>
      <c r="AB62" s="85"/>
      <c r="AC62" s="85"/>
      <c r="AD62" s="85"/>
      <c r="AG62" s="85"/>
      <c r="AH62" s="85"/>
      <c r="AI62" s="85"/>
    </row>
    <row r="63" spans="1:35" ht="15.9" customHeight="1" x14ac:dyDescent="0.35">
      <c r="A63" s="183"/>
      <c r="B63" s="184"/>
      <c r="C63" s="181"/>
      <c r="D63" s="180" t="s">
        <v>599</v>
      </c>
      <c r="E63" s="221">
        <v>18</v>
      </c>
      <c r="F63" s="229" t="s">
        <v>116</v>
      </c>
      <c r="G63" s="184"/>
      <c r="H63" s="184"/>
      <c r="I63" s="127"/>
      <c r="J63" s="127"/>
      <c r="K63" s="127"/>
      <c r="L63" s="127"/>
      <c r="M63" s="127"/>
      <c r="N63" s="127"/>
      <c r="O63" s="127"/>
      <c r="P63" s="127"/>
      <c r="Q63" s="159"/>
      <c r="R63" s="366"/>
      <c r="S63" s="85"/>
      <c r="T63" s="85"/>
      <c r="W63" s="85"/>
      <c r="X63" s="85"/>
      <c r="Y63" s="85"/>
      <c r="AB63" s="85"/>
      <c r="AC63" s="85"/>
      <c r="AD63" s="85"/>
      <c r="AG63" s="85"/>
      <c r="AH63" s="85"/>
      <c r="AI63" s="85"/>
    </row>
    <row r="64" spans="1:35" ht="15.9" customHeight="1" x14ac:dyDescent="0.35">
      <c r="A64" s="382"/>
      <c r="B64" s="184"/>
      <c r="C64" s="181"/>
      <c r="D64" s="181" t="s">
        <v>600</v>
      </c>
      <c r="E64" s="181">
        <f>IF(Vout=Vref,"OPEN",Rfb2_u/1000)</f>
        <v>3.32</v>
      </c>
      <c r="F64" s="234" t="str">
        <f>IF(Vout=Vref,"","kΩ")</f>
        <v>kΩ</v>
      </c>
      <c r="G64" s="184"/>
      <c r="H64" s="184"/>
      <c r="I64" s="127"/>
      <c r="J64" s="127"/>
      <c r="K64" s="127"/>
      <c r="L64" s="127"/>
      <c r="M64" s="127"/>
      <c r="N64" s="127"/>
      <c r="O64" s="127"/>
      <c r="P64" s="127"/>
      <c r="Q64" s="159"/>
      <c r="R64" s="366"/>
      <c r="S64" s="85"/>
      <c r="T64" s="85"/>
      <c r="W64" s="85"/>
      <c r="X64" s="85"/>
      <c r="Y64" s="85"/>
      <c r="AB64" s="85"/>
      <c r="AC64" s="85"/>
      <c r="AD64" s="85"/>
      <c r="AG64" s="85"/>
      <c r="AH64" s="85"/>
      <c r="AI64" s="85"/>
    </row>
    <row r="65" spans="1:35" ht="15.9" customHeight="1" thickBot="1" x14ac:dyDescent="0.4">
      <c r="A65" s="230"/>
      <c r="B65" s="280"/>
      <c r="C65" s="280"/>
      <c r="D65" s="399" t="s">
        <v>707</v>
      </c>
      <c r="E65" s="490">
        <f>'Variable Management'!B129</f>
        <v>5.1373493975903619</v>
      </c>
      <c r="F65" s="257" t="s">
        <v>0</v>
      </c>
      <c r="G65" s="184"/>
      <c r="H65" s="184"/>
      <c r="I65" s="127"/>
      <c r="J65" s="127"/>
      <c r="K65" s="127"/>
      <c r="L65" s="127"/>
      <c r="M65" s="127"/>
      <c r="N65" s="127"/>
      <c r="O65" s="127"/>
      <c r="P65" s="127"/>
      <c r="Q65" s="159"/>
      <c r="R65" s="366"/>
      <c r="S65" s="85"/>
      <c r="T65" s="85"/>
      <c r="W65" s="85"/>
      <c r="X65" s="85"/>
      <c r="Y65" s="85"/>
      <c r="AB65" s="85"/>
      <c r="AC65" s="85"/>
      <c r="AD65" s="85"/>
      <c r="AG65" s="85"/>
      <c r="AH65" s="85"/>
      <c r="AI65" s="85"/>
    </row>
    <row r="66" spans="1:35" ht="14.4" thickBot="1" x14ac:dyDescent="0.35">
      <c r="A66" s="183"/>
      <c r="B66" s="184"/>
      <c r="C66" s="181"/>
      <c r="D66" s="200"/>
      <c r="E66" s="201"/>
      <c r="F66" s="202"/>
      <c r="G66" s="184"/>
      <c r="H66" s="184"/>
      <c r="I66" s="127"/>
      <c r="J66" s="127"/>
      <c r="K66" s="127"/>
      <c r="L66" s="127"/>
      <c r="M66" s="127"/>
      <c r="N66" s="127"/>
      <c r="O66" s="127"/>
      <c r="P66" s="127"/>
      <c r="Q66" s="159"/>
      <c r="R66" s="366"/>
      <c r="S66" s="85"/>
      <c r="T66" s="85"/>
      <c r="W66" s="85"/>
      <c r="X66" s="85"/>
      <c r="Y66" s="85"/>
      <c r="AB66" s="85"/>
      <c r="AC66" s="85"/>
      <c r="AD66" s="85"/>
      <c r="AG66" s="85"/>
      <c r="AH66" s="85"/>
      <c r="AI66" s="85"/>
    </row>
    <row r="67" spans="1:35" ht="15.9" customHeight="1" x14ac:dyDescent="0.3">
      <c r="A67" s="348" t="s">
        <v>736</v>
      </c>
      <c r="B67" s="278"/>
      <c r="C67" s="278"/>
      <c r="D67" s="281" t="s">
        <v>537</v>
      </c>
      <c r="E67" s="282">
        <f>Fo/1000*0.7</f>
        <v>3.5542594636494855</v>
      </c>
      <c r="F67" s="284" t="str">
        <f>"      kHz  "</f>
        <v xml:space="preserve">      kHz  </v>
      </c>
      <c r="G67" s="204"/>
      <c r="H67" s="205"/>
      <c r="I67" s="127"/>
      <c r="J67" s="127"/>
      <c r="K67" s="127"/>
      <c r="L67" s="127"/>
      <c r="M67" s="127"/>
      <c r="N67" s="127"/>
      <c r="O67" s="127"/>
      <c r="P67" s="127"/>
      <c r="Q67" s="159"/>
      <c r="R67" s="366"/>
      <c r="S67" s="85"/>
      <c r="T67" s="85"/>
      <c r="W67" s="85"/>
      <c r="X67" s="85"/>
      <c r="Y67" s="85"/>
      <c r="AB67" s="85"/>
      <c r="AC67" s="85"/>
      <c r="AD67" s="85"/>
      <c r="AG67" s="85"/>
      <c r="AH67" s="85"/>
      <c r="AI67" s="85"/>
    </row>
    <row r="68" spans="1:35" ht="15.9" customHeight="1" x14ac:dyDescent="0.3">
      <c r="A68" s="355" t="str">
        <f>" Baseline P/Z Frequencies:"</f>
        <v xml:space="preserve"> Baseline P/Z Frequencies:</v>
      </c>
      <c r="B68" s="170"/>
      <c r="C68" s="170"/>
      <c r="D68" s="203" t="s">
        <v>538</v>
      </c>
      <c r="E68" s="222">
        <f>Fo/1000*0.9</f>
        <v>4.5697621675493387</v>
      </c>
      <c r="F68" s="240" t="str">
        <f>"      kHz"</f>
        <v xml:space="preserve">      kHz</v>
      </c>
      <c r="G68" s="204"/>
      <c r="H68" s="205"/>
      <c r="I68" s="127"/>
      <c r="J68" s="127"/>
      <c r="K68" s="127"/>
      <c r="L68" s="127"/>
      <c r="M68" s="127"/>
      <c r="N68" s="127"/>
      <c r="O68" s="127"/>
      <c r="P68" s="127"/>
      <c r="Q68" s="159"/>
      <c r="R68" s="366"/>
      <c r="S68" s="85"/>
      <c r="T68" s="85"/>
      <c r="W68" s="85"/>
      <c r="X68" s="85"/>
      <c r="Y68" s="85"/>
      <c r="AB68" s="85"/>
      <c r="AC68" s="85"/>
      <c r="AD68" s="85"/>
      <c r="AG68" s="85"/>
      <c r="AH68" s="85"/>
      <c r="AI68" s="85"/>
    </row>
    <row r="69" spans="1:35" ht="15.9" customHeight="1" x14ac:dyDescent="0.3">
      <c r="A69" s="277"/>
      <c r="B69" s="170"/>
      <c r="C69" s="170"/>
      <c r="D69" s="206" t="s">
        <v>535</v>
      </c>
      <c r="E69" s="223">
        <f>Fesr/1000</f>
        <v>120.5719267225427</v>
      </c>
      <c r="F69" s="240" t="str">
        <f>"      kHz"</f>
        <v xml:space="preserve">      kHz</v>
      </c>
      <c r="G69" s="207"/>
      <c r="H69" s="205"/>
      <c r="I69" s="127"/>
      <c r="J69" s="127"/>
      <c r="K69" s="127"/>
      <c r="L69" s="127"/>
      <c r="M69" s="127"/>
      <c r="N69" s="127"/>
      <c r="O69" s="127"/>
      <c r="P69" s="127"/>
      <c r="Q69" s="159"/>
      <c r="R69" s="366"/>
      <c r="S69" s="85"/>
      <c r="T69" s="85"/>
      <c r="W69" s="85"/>
      <c r="X69" s="85"/>
      <c r="Y69" s="85"/>
      <c r="AB69" s="85"/>
      <c r="AC69" s="85"/>
      <c r="AD69" s="85"/>
      <c r="AG69" s="85"/>
      <c r="AH69" s="85"/>
      <c r="AI69" s="85"/>
    </row>
    <row r="70" spans="1:35" ht="15.9" customHeight="1" thickBot="1" x14ac:dyDescent="0.35">
      <c r="A70" s="279"/>
      <c r="B70" s="280"/>
      <c r="C70" s="280"/>
      <c r="D70" s="267" t="s">
        <v>536</v>
      </c>
      <c r="E70" s="268">
        <f>Fsw/2000</f>
        <v>150</v>
      </c>
      <c r="F70" s="269" t="str">
        <f>"      kHz"</f>
        <v xml:space="preserve">      kHz</v>
      </c>
      <c r="G70" s="207"/>
      <c r="H70" s="205"/>
      <c r="I70" s="127"/>
      <c r="J70" s="127"/>
      <c r="K70" s="127"/>
      <c r="L70" s="127"/>
      <c r="M70" s="127"/>
      <c r="N70" s="127"/>
      <c r="O70" s="127"/>
      <c r="P70" s="127"/>
      <c r="Q70" s="159"/>
      <c r="R70" s="366"/>
      <c r="S70" s="85"/>
      <c r="T70" s="85"/>
      <c r="W70" s="85"/>
      <c r="X70" s="85"/>
      <c r="Y70" s="85"/>
      <c r="AB70" s="85"/>
      <c r="AC70" s="85"/>
      <c r="AD70" s="85"/>
      <c r="AG70" s="85"/>
      <c r="AH70" s="85"/>
      <c r="AI70" s="85"/>
    </row>
    <row r="71" spans="1:35" ht="15.75" customHeight="1" x14ac:dyDescent="0.3">
      <c r="A71" s="273"/>
      <c r="B71" s="208"/>
      <c r="C71" s="209"/>
      <c r="D71" s="194"/>
      <c r="E71" s="194"/>
      <c r="F71" s="194"/>
      <c r="G71" s="207"/>
      <c r="H71" s="205"/>
      <c r="I71" s="127"/>
      <c r="J71" s="127"/>
      <c r="K71" s="127"/>
      <c r="L71" s="127"/>
      <c r="M71" s="127"/>
      <c r="N71" s="127"/>
      <c r="O71" s="127"/>
      <c r="P71" s="127"/>
      <c r="Q71" s="159"/>
      <c r="R71" s="366"/>
      <c r="S71" s="85"/>
      <c r="T71" s="85"/>
      <c r="W71" s="85"/>
      <c r="X71" s="85"/>
      <c r="Y71" s="85"/>
      <c r="AB71" s="85"/>
      <c r="AC71" s="85"/>
      <c r="AD71" s="85"/>
      <c r="AG71" s="85"/>
      <c r="AH71" s="85"/>
      <c r="AI71" s="85"/>
    </row>
    <row r="72" spans="1:35" ht="18" customHeight="1" x14ac:dyDescent="0.3">
      <c r="A72" s="195" t="s">
        <v>444</v>
      </c>
      <c r="B72" s="210"/>
      <c r="C72" s="181"/>
      <c r="D72" s="200"/>
      <c r="E72" s="201"/>
      <c r="F72" s="202"/>
      <c r="G72" s="211"/>
      <c r="H72" s="184"/>
      <c r="I72" s="127"/>
      <c r="J72" s="127"/>
      <c r="K72" s="127"/>
      <c r="L72" s="127"/>
      <c r="M72" s="127"/>
      <c r="N72" s="127"/>
      <c r="O72" s="127"/>
      <c r="P72" s="127"/>
      <c r="Q72" s="159"/>
      <c r="R72" s="366"/>
      <c r="S72" s="285"/>
      <c r="T72" s="285"/>
      <c r="U72" s="286"/>
      <c r="V72" s="286"/>
      <c r="W72" s="285"/>
      <c r="X72" s="285"/>
      <c r="Y72" s="285"/>
      <c r="Z72" s="286"/>
      <c r="AA72" s="286"/>
      <c r="AB72" s="285"/>
      <c r="AC72" s="285"/>
      <c r="AD72" s="285"/>
      <c r="AE72" s="286"/>
      <c r="AF72" s="286"/>
      <c r="AG72" s="85"/>
      <c r="AH72" s="85"/>
      <c r="AI72" s="85"/>
    </row>
    <row r="73" spans="1:35" s="298" customFormat="1" ht="13.5" customHeight="1" thickBot="1" x14ac:dyDescent="0.35">
      <c r="A73" s="300"/>
      <c r="B73" s="301" t="s">
        <v>460</v>
      </c>
      <c r="C73" s="304" t="s">
        <v>443</v>
      </c>
      <c r="D73" s="302" t="str">
        <f>"    Selected"</f>
        <v xml:space="preserve">    Selected</v>
      </c>
      <c r="E73" s="303"/>
      <c r="F73" s="514" t="s">
        <v>445</v>
      </c>
      <c r="G73" s="514"/>
      <c r="H73" s="514"/>
      <c r="I73" s="293"/>
      <c r="J73" s="293"/>
      <c r="K73" s="293"/>
      <c r="L73" s="293"/>
      <c r="M73" s="293"/>
      <c r="N73" s="293"/>
      <c r="O73" s="293"/>
      <c r="P73" s="293"/>
      <c r="Q73" s="294"/>
      <c r="R73" s="367"/>
      <c r="S73" s="295"/>
      <c r="T73" s="295"/>
      <c r="U73" s="296"/>
      <c r="V73" s="296"/>
      <c r="W73" s="295"/>
      <c r="X73" s="295"/>
      <c r="Y73" s="295"/>
      <c r="Z73" s="296"/>
      <c r="AA73" s="296"/>
      <c r="AB73" s="295"/>
      <c r="AC73" s="295"/>
      <c r="AD73" s="295"/>
      <c r="AE73" s="296"/>
      <c r="AF73" s="296"/>
      <c r="AG73" s="297"/>
      <c r="AH73" s="297"/>
      <c r="AI73" s="297"/>
    </row>
    <row r="74" spans="1:35" ht="15.6" x14ac:dyDescent="0.35">
      <c r="A74" s="248" t="s">
        <v>448</v>
      </c>
      <c r="B74" s="264">
        <f>Rcea1/1000</f>
        <v>7.0900845190758357</v>
      </c>
      <c r="C74" s="242">
        <f>'Standard Value Calculator'!S27</f>
        <v>7.15</v>
      </c>
      <c r="D74" s="243">
        <v>6.8</v>
      </c>
      <c r="E74" s="244" t="s">
        <v>116</v>
      </c>
      <c r="F74" s="246">
        <f>Fz1_u/1000</f>
        <v>3.4419321642248355</v>
      </c>
      <c r="G74" s="263" t="s">
        <v>449</v>
      </c>
      <c r="H74" s="194"/>
      <c r="I74" s="127"/>
      <c r="J74" s="127"/>
      <c r="K74" s="127"/>
      <c r="L74" s="127"/>
      <c r="M74" s="127"/>
      <c r="N74" s="127"/>
      <c r="O74" s="127"/>
      <c r="P74" s="127"/>
      <c r="Q74" s="159"/>
      <c r="R74" s="366"/>
      <c r="S74" s="285"/>
      <c r="T74" s="285"/>
      <c r="U74" s="286"/>
      <c r="V74" s="286"/>
      <c r="W74" s="285"/>
      <c r="X74" s="285"/>
      <c r="Y74" s="285"/>
      <c r="Z74" s="286"/>
      <c r="AA74" s="286"/>
      <c r="AB74" s="285"/>
      <c r="AC74" s="285"/>
      <c r="AD74" s="285"/>
      <c r="AE74" s="286"/>
      <c r="AF74" s="286"/>
      <c r="AG74" s="85"/>
      <c r="AH74" s="85"/>
      <c r="AI74" s="85"/>
    </row>
    <row r="75" spans="1:35" ht="15.6" x14ac:dyDescent="0.35">
      <c r="A75" s="249" t="s">
        <v>450</v>
      </c>
      <c r="B75" s="265">
        <f>Cc1ea*1000000000000</f>
        <v>6315.6723521331896</v>
      </c>
      <c r="C75" s="205">
        <f>'Standard Value Calculator'!S28</f>
        <v>6800</v>
      </c>
      <c r="D75" s="212">
        <v>6800</v>
      </c>
      <c r="E75" s="245" t="s">
        <v>53</v>
      </c>
      <c r="F75" s="247">
        <f>Fz2_u/1000</f>
        <v>3.8977993552546133</v>
      </c>
      <c r="G75" s="240" t="s">
        <v>451</v>
      </c>
      <c r="H75" s="194"/>
      <c r="I75" s="127"/>
      <c r="J75" s="127"/>
      <c r="K75" s="127"/>
      <c r="L75" s="127"/>
      <c r="M75" s="127"/>
      <c r="N75" s="127"/>
      <c r="O75" s="127"/>
      <c r="P75" s="127"/>
      <c r="Q75" s="159"/>
      <c r="R75" s="366"/>
      <c r="S75" s="285"/>
      <c r="T75" s="285"/>
      <c r="U75" s="286"/>
      <c r="V75" s="286"/>
      <c r="W75" s="285"/>
      <c r="X75" s="285"/>
      <c r="Y75" s="285"/>
      <c r="Z75" s="286"/>
      <c r="AA75" s="286"/>
      <c r="AB75" s="285"/>
      <c r="AC75" s="285"/>
      <c r="AD75" s="285"/>
      <c r="AE75" s="286"/>
      <c r="AF75" s="286"/>
      <c r="AG75" s="85"/>
      <c r="AH75" s="85"/>
      <c r="AI75" s="85"/>
    </row>
    <row r="76" spans="1:35" ht="15.6" x14ac:dyDescent="0.35">
      <c r="A76" s="249" t="s">
        <v>452</v>
      </c>
      <c r="B76" s="265">
        <f>Cc2ea*1000000000000</f>
        <v>153.28228833877833</v>
      </c>
      <c r="C76" s="205">
        <f>'Standard Value Calculator'!S29</f>
        <v>150</v>
      </c>
      <c r="D76" s="212">
        <f>C76</f>
        <v>150</v>
      </c>
      <c r="E76" s="245" t="s">
        <v>53</v>
      </c>
      <c r="F76" s="423">
        <f>Fp1_u/1000</f>
        <v>129.18420720272434</v>
      </c>
      <c r="G76" s="240" t="s">
        <v>453</v>
      </c>
      <c r="H76" s="194"/>
      <c r="I76" s="127"/>
      <c r="J76" s="127"/>
      <c r="K76" s="127"/>
      <c r="L76" s="127"/>
      <c r="M76" s="127"/>
      <c r="N76" s="127"/>
      <c r="O76" s="127"/>
      <c r="P76" s="127"/>
      <c r="Q76" s="159"/>
      <c r="R76" s="366"/>
      <c r="S76" s="285"/>
      <c r="T76" s="285"/>
      <c r="U76" s="286"/>
      <c r="V76" s="286"/>
      <c r="W76" s="285"/>
      <c r="X76" s="285"/>
      <c r="Y76" s="285"/>
      <c r="Z76" s="286"/>
      <c r="AA76" s="286"/>
      <c r="AB76" s="285"/>
      <c r="AC76" s="285"/>
      <c r="AD76" s="285"/>
      <c r="AE76" s="286"/>
      <c r="AF76" s="286"/>
      <c r="AG76" s="85"/>
      <c r="AH76" s="85"/>
      <c r="AI76" s="85"/>
    </row>
    <row r="77" spans="1:35" ht="16.2" customHeight="1" x14ac:dyDescent="0.35">
      <c r="A77" s="249" t="s">
        <v>454</v>
      </c>
      <c r="B77" s="265">
        <f>Rcea2</f>
        <v>709.08779445139555</v>
      </c>
      <c r="C77" s="205">
        <f>'Standard Value Calculator'!S30</f>
        <v>715</v>
      </c>
      <c r="D77" s="212">
        <v>560</v>
      </c>
      <c r="E77" s="245" t="s">
        <v>274</v>
      </c>
      <c r="F77" s="423">
        <f>Fp2_u/1000</f>
        <v>159.47619027575067</v>
      </c>
      <c r="G77" s="240" t="s">
        <v>455</v>
      </c>
      <c r="H77" s="194"/>
      <c r="I77" s="127"/>
      <c r="J77" s="127"/>
      <c r="K77" s="127"/>
      <c r="L77" s="127"/>
      <c r="M77" s="127"/>
      <c r="N77" s="127"/>
      <c r="O77" s="127"/>
      <c r="P77" s="127"/>
      <c r="Q77" s="159"/>
      <c r="R77" s="366"/>
      <c r="S77" s="285"/>
      <c r="T77" s="285"/>
      <c r="U77" s="286"/>
      <c r="V77" s="286"/>
      <c r="W77" s="285"/>
      <c r="X77" s="285"/>
      <c r="Y77" s="285"/>
      <c r="Z77" s="286"/>
      <c r="AA77" s="286"/>
      <c r="AB77" s="285"/>
      <c r="AC77" s="285"/>
      <c r="AD77" s="285"/>
      <c r="AE77" s="286"/>
      <c r="AF77" s="286"/>
      <c r="AG77" s="85"/>
      <c r="AH77" s="85"/>
      <c r="AI77" s="85"/>
    </row>
    <row r="78" spans="1:35" ht="15" customHeight="1" thickBot="1" x14ac:dyDescent="0.4">
      <c r="A78" s="274" t="s">
        <v>456</v>
      </c>
      <c r="B78" s="266">
        <f>Cc3ea*1000000000000</f>
        <v>1861.5466382710099</v>
      </c>
      <c r="C78" s="258">
        <f>'Standard Value Calculator'!S31</f>
        <v>1800</v>
      </c>
      <c r="D78" s="259">
        <v>2200</v>
      </c>
      <c r="E78" s="260" t="s">
        <v>53</v>
      </c>
      <c r="F78" s="261"/>
      <c r="G78" s="262"/>
      <c r="H78" s="194"/>
      <c r="I78" s="127"/>
      <c r="J78" s="127"/>
      <c r="K78" s="127"/>
      <c r="L78" s="180" t="s">
        <v>745</v>
      </c>
      <c r="M78" s="185">
        <v>0.4</v>
      </c>
      <c r="N78" s="192" t="s">
        <v>208</v>
      </c>
      <c r="O78" s="127"/>
      <c r="P78" s="127"/>
      <c r="Q78" s="159"/>
      <c r="R78" s="366"/>
      <c r="S78" s="285"/>
      <c r="T78" s="285"/>
      <c r="U78" s="286"/>
      <c r="V78" s="286"/>
      <c r="W78" s="285"/>
      <c r="X78" s="285"/>
      <c r="Y78" s="285"/>
      <c r="Z78" s="286"/>
      <c r="AA78" s="286"/>
      <c r="AB78" s="285"/>
      <c r="AC78" s="285"/>
      <c r="AD78" s="285"/>
      <c r="AE78" s="286"/>
      <c r="AF78" s="286"/>
      <c r="AG78" s="85"/>
      <c r="AH78" s="85"/>
      <c r="AI78" s="85"/>
    </row>
    <row r="79" spans="1:35" ht="14.4" thickBot="1" x14ac:dyDescent="0.35">
      <c r="A79" s="183"/>
      <c r="B79" s="181"/>
      <c r="C79" s="181"/>
      <c r="D79" s="184"/>
      <c r="E79" s="184"/>
      <c r="F79" s="184"/>
      <c r="G79" s="184"/>
      <c r="H79" s="184"/>
      <c r="I79" s="127"/>
      <c r="J79" s="127"/>
      <c r="K79" s="127"/>
      <c r="L79" s="127"/>
      <c r="M79" s="127"/>
      <c r="N79" s="127"/>
      <c r="O79" s="127"/>
      <c r="P79" s="127"/>
      <c r="Q79" s="159"/>
      <c r="R79" s="366"/>
      <c r="S79" s="285"/>
      <c r="T79" s="285"/>
      <c r="U79" s="286"/>
      <c r="V79" s="286"/>
      <c r="W79" s="285"/>
      <c r="X79" s="285"/>
      <c r="Y79" s="285"/>
      <c r="Z79" s="286"/>
      <c r="AA79" s="286"/>
      <c r="AB79" s="285"/>
      <c r="AC79" s="285"/>
      <c r="AD79" s="285"/>
      <c r="AE79" s="286"/>
      <c r="AF79" s="286"/>
      <c r="AG79" s="85"/>
      <c r="AH79" s="85"/>
      <c r="AI79" s="85"/>
    </row>
    <row r="80" spans="1:35" s="130" customFormat="1" ht="18" thickBot="1" x14ac:dyDescent="0.35">
      <c r="A80" s="275" t="s">
        <v>458</v>
      </c>
      <c r="B80" s="198"/>
      <c r="C80" s="213"/>
      <c r="D80" s="213"/>
      <c r="E80" s="213"/>
      <c r="F80" s="213"/>
      <c r="G80" s="213"/>
      <c r="H80" s="213"/>
      <c r="I80" s="128"/>
      <c r="J80" s="128"/>
      <c r="K80" s="128"/>
      <c r="L80" s="128"/>
      <c r="M80" s="128"/>
      <c r="N80" s="128"/>
      <c r="O80" s="128"/>
      <c r="P80" s="128"/>
      <c r="Q80" s="129"/>
      <c r="R80" s="368"/>
      <c r="S80" s="287"/>
      <c r="T80" s="287"/>
      <c r="U80" s="288"/>
      <c r="V80" s="288"/>
      <c r="W80" s="287"/>
      <c r="X80" s="287"/>
      <c r="Y80" s="287"/>
      <c r="Z80" s="288"/>
      <c r="AA80" s="288"/>
      <c r="AB80" s="287"/>
      <c r="AC80" s="287"/>
      <c r="AD80" s="287"/>
      <c r="AE80" s="288"/>
      <c r="AF80" s="288"/>
      <c r="AG80" s="86"/>
      <c r="AH80" s="86"/>
      <c r="AI80" s="86"/>
    </row>
    <row r="81" spans="1:35" x14ac:dyDescent="0.3">
      <c r="A81" s="272"/>
      <c r="B81" s="194"/>
      <c r="C81" s="184"/>
      <c r="D81" s="184"/>
      <c r="E81" s="184"/>
      <c r="F81" s="184"/>
      <c r="G81" s="184"/>
      <c r="H81" s="184"/>
      <c r="I81" s="127"/>
      <c r="J81" s="127"/>
      <c r="K81" s="127"/>
      <c r="L81" s="127"/>
      <c r="M81" s="127"/>
      <c r="N81" s="127"/>
      <c r="O81" s="127"/>
      <c r="P81" s="127"/>
      <c r="Q81" s="159"/>
      <c r="R81" s="366"/>
      <c r="S81" s="285"/>
      <c r="T81" s="285"/>
      <c r="U81" s="286"/>
      <c r="V81" s="286"/>
      <c r="W81" s="285"/>
      <c r="X81" s="285"/>
      <c r="Y81" s="285"/>
      <c r="Z81" s="286"/>
      <c r="AA81" s="286"/>
      <c r="AB81" s="285"/>
      <c r="AC81" s="285"/>
      <c r="AD81" s="285"/>
      <c r="AE81" s="286"/>
      <c r="AF81" s="286"/>
      <c r="AG81" s="85"/>
      <c r="AH81" s="85"/>
      <c r="AI81" s="85"/>
    </row>
    <row r="82" spans="1:35" ht="17.399999999999999" x14ac:dyDescent="0.3">
      <c r="A82" s="214" t="s">
        <v>362</v>
      </c>
      <c r="B82" s="191"/>
      <c r="C82" s="184"/>
      <c r="D82" s="184"/>
      <c r="E82" s="184"/>
      <c r="F82" s="184"/>
      <c r="G82" s="184"/>
      <c r="H82" s="184"/>
      <c r="I82" s="127"/>
      <c r="J82" s="127"/>
      <c r="K82" s="127"/>
      <c r="L82" s="127"/>
      <c r="M82" s="127"/>
      <c r="N82" s="127"/>
      <c r="O82" s="127"/>
      <c r="P82" s="127"/>
      <c r="Q82" s="159"/>
      <c r="R82" s="366"/>
      <c r="S82" s="285"/>
      <c r="T82" s="285"/>
      <c r="U82" s="286"/>
      <c r="V82" s="286"/>
      <c r="W82" s="285"/>
      <c r="X82" s="285"/>
      <c r="Y82" s="285"/>
      <c r="Z82" s="286"/>
      <c r="AA82" s="286"/>
      <c r="AB82" s="285"/>
      <c r="AC82" s="285"/>
      <c r="AD82" s="285"/>
      <c r="AE82" s="286"/>
      <c r="AF82" s="286"/>
      <c r="AG82" s="85"/>
      <c r="AH82" s="85"/>
      <c r="AI82" s="85"/>
    </row>
    <row r="83" spans="1:35" ht="13.5" customHeight="1" thickBot="1" x14ac:dyDescent="0.35">
      <c r="A83" s="183"/>
      <c r="B83" s="184"/>
      <c r="C83" s="184"/>
      <c r="D83" s="184"/>
      <c r="E83" s="184"/>
      <c r="F83" s="184"/>
      <c r="G83" s="184"/>
      <c r="H83" s="184"/>
      <c r="I83" s="127"/>
      <c r="J83" s="127"/>
      <c r="K83" s="127"/>
      <c r="L83" s="127"/>
      <c r="M83" s="127"/>
      <c r="N83" s="127"/>
      <c r="O83" s="127"/>
      <c r="P83" s="127"/>
      <c r="Q83" s="159"/>
      <c r="R83" s="366"/>
      <c r="S83" s="285"/>
      <c r="T83" s="178"/>
      <c r="U83" s="178"/>
      <c r="V83" s="286"/>
      <c r="W83" s="285"/>
      <c r="X83" s="285"/>
      <c r="Y83" s="285"/>
      <c r="Z83" s="286"/>
      <c r="AA83" s="286"/>
      <c r="AB83" s="285"/>
      <c r="AC83" s="285"/>
      <c r="AD83" s="285"/>
      <c r="AE83" s="286"/>
      <c r="AF83" s="286"/>
      <c r="AG83" s="85"/>
      <c r="AH83" s="85"/>
      <c r="AI83" s="85"/>
    </row>
    <row r="84" spans="1:35" ht="18" customHeight="1" x14ac:dyDescent="0.35">
      <c r="A84" s="250"/>
      <c r="B84" s="251"/>
      <c r="C84" s="252"/>
      <c r="D84" s="299" t="s">
        <v>533</v>
      </c>
      <c r="E84" s="353" t="s">
        <v>773</v>
      </c>
      <c r="F84" s="253"/>
      <c r="G84" s="184"/>
      <c r="H84" s="184"/>
      <c r="I84" s="127"/>
      <c r="J84" s="127"/>
      <c r="K84" s="127"/>
      <c r="L84" s="127"/>
      <c r="M84" s="127"/>
      <c r="N84" s="127"/>
      <c r="O84" s="127"/>
      <c r="P84" s="127"/>
      <c r="Q84" s="159"/>
      <c r="R84" s="366"/>
      <c r="S84" s="285"/>
      <c r="T84" s="178"/>
      <c r="U84" s="178"/>
      <c r="V84" s="286"/>
      <c r="W84" s="285"/>
      <c r="X84" s="285"/>
      <c r="Y84" s="285"/>
      <c r="Z84" s="286"/>
      <c r="AA84" s="286"/>
      <c r="AB84" s="285"/>
      <c r="AC84" s="285"/>
      <c r="AD84" s="285"/>
      <c r="AE84" s="286"/>
      <c r="AF84" s="286"/>
      <c r="AG84" s="85"/>
      <c r="AH84" s="85"/>
      <c r="AI84" s="85"/>
    </row>
    <row r="85" spans="1:35" ht="14.4" customHeight="1" x14ac:dyDescent="0.35">
      <c r="A85" s="183"/>
      <c r="B85" s="184"/>
      <c r="C85" s="192"/>
      <c r="D85" s="180" t="s">
        <v>549</v>
      </c>
      <c r="E85" s="185">
        <v>6</v>
      </c>
      <c r="F85" s="234" t="s">
        <v>115</v>
      </c>
      <c r="G85" s="184"/>
      <c r="H85" s="184"/>
      <c r="I85" s="127"/>
      <c r="J85" s="127"/>
      <c r="K85" s="127"/>
      <c r="L85" s="127"/>
      <c r="M85" s="127"/>
      <c r="N85" s="127"/>
      <c r="O85" s="127"/>
      <c r="P85" s="127"/>
      <c r="Q85" s="159"/>
      <c r="R85" s="366"/>
      <c r="S85" s="285"/>
      <c r="T85" s="178"/>
      <c r="U85" s="178"/>
      <c r="V85" s="286"/>
      <c r="W85" s="285"/>
      <c r="X85" s="285"/>
      <c r="Y85" s="285"/>
      <c r="Z85" s="286"/>
      <c r="AA85" s="286"/>
      <c r="AB85" s="285"/>
      <c r="AC85" s="285"/>
      <c r="AD85" s="285"/>
      <c r="AE85" s="286"/>
      <c r="AF85" s="286"/>
      <c r="AG85" s="85"/>
      <c r="AH85" s="85"/>
      <c r="AI85" s="85"/>
    </row>
    <row r="86" spans="1:35" ht="14.4" customHeight="1" x14ac:dyDescent="0.35">
      <c r="A86" s="183"/>
      <c r="B86" s="184"/>
      <c r="C86" s="192"/>
      <c r="D86" s="180" t="s">
        <v>550</v>
      </c>
      <c r="E86" s="185">
        <v>27</v>
      </c>
      <c r="F86" s="234" t="s">
        <v>136</v>
      </c>
      <c r="G86" s="184"/>
      <c r="H86" s="184"/>
      <c r="I86" s="127"/>
      <c r="J86" s="127"/>
      <c r="K86" s="127"/>
      <c r="L86" s="127"/>
      <c r="M86" s="127"/>
      <c r="N86" s="127"/>
      <c r="O86" s="127"/>
      <c r="P86" s="127"/>
      <c r="Q86" s="159"/>
      <c r="R86" s="366"/>
      <c r="S86" s="285"/>
      <c r="T86" s="178"/>
      <c r="U86" s="178"/>
      <c r="V86" s="286"/>
      <c r="W86" s="285"/>
      <c r="X86" s="285"/>
      <c r="Y86" s="285"/>
      <c r="Z86" s="286"/>
      <c r="AA86" s="286"/>
      <c r="AB86" s="285"/>
      <c r="AC86" s="285"/>
      <c r="AD86" s="285"/>
      <c r="AE86" s="286"/>
      <c r="AF86" s="286"/>
      <c r="AG86" s="85"/>
      <c r="AH86" s="85"/>
      <c r="AI86" s="85"/>
    </row>
    <row r="87" spans="1:35" ht="14.4" customHeight="1" x14ac:dyDescent="0.35">
      <c r="A87" s="183"/>
      <c r="B87" s="184"/>
      <c r="C87" s="192"/>
      <c r="D87" s="180" t="s">
        <v>551</v>
      </c>
      <c r="E87" s="185">
        <v>9</v>
      </c>
      <c r="F87" s="234" t="s">
        <v>136</v>
      </c>
      <c r="G87" s="184"/>
      <c r="H87" s="184"/>
      <c r="I87" s="127"/>
      <c r="J87" s="127"/>
      <c r="K87" s="127"/>
      <c r="L87" s="127"/>
      <c r="M87" s="127"/>
      <c r="N87" s="127"/>
      <c r="O87" s="127"/>
      <c r="P87" s="127"/>
      <c r="Q87" s="159"/>
      <c r="R87" s="366"/>
      <c r="S87" s="285"/>
      <c r="T87" s="178"/>
      <c r="U87" s="178"/>
      <c r="V87" s="286"/>
      <c r="W87" s="285"/>
      <c r="X87" s="285"/>
      <c r="Y87" s="285"/>
      <c r="Z87" s="286"/>
      <c r="AA87" s="286"/>
      <c r="AB87" s="285"/>
      <c r="AC87" s="285"/>
      <c r="AD87" s="285"/>
      <c r="AE87" s="286"/>
      <c r="AF87" s="286"/>
      <c r="AG87" s="85"/>
      <c r="AH87" s="85"/>
      <c r="AI87" s="85"/>
    </row>
    <row r="88" spans="1:35" ht="14.4" customHeight="1" x14ac:dyDescent="0.35">
      <c r="A88" s="183"/>
      <c r="B88" s="184"/>
      <c r="C88" s="192"/>
      <c r="D88" s="180" t="s">
        <v>552</v>
      </c>
      <c r="E88" s="185">
        <v>8</v>
      </c>
      <c r="F88" s="234" t="s">
        <v>136</v>
      </c>
      <c r="G88" s="184"/>
      <c r="H88" s="184"/>
      <c r="I88" s="127"/>
      <c r="J88" s="127"/>
      <c r="K88" s="127"/>
      <c r="L88" s="127"/>
      <c r="M88" s="127"/>
      <c r="N88" s="127"/>
      <c r="O88" s="127"/>
      <c r="P88" s="127"/>
      <c r="Q88" s="159"/>
      <c r="R88" s="366"/>
      <c r="S88" s="285"/>
      <c r="T88" s="178"/>
      <c r="U88" s="178"/>
      <c r="V88" s="286"/>
      <c r="W88" s="285"/>
      <c r="X88" s="285"/>
      <c r="Y88" s="285"/>
      <c r="Z88" s="286"/>
      <c r="AA88" s="286"/>
      <c r="AB88" s="285"/>
      <c r="AC88" s="285"/>
      <c r="AD88" s="285"/>
      <c r="AE88" s="286"/>
      <c r="AF88" s="286"/>
      <c r="AG88" s="85"/>
      <c r="AH88" s="85"/>
      <c r="AI88" s="85"/>
    </row>
    <row r="89" spans="1:35" ht="14.4" customHeight="1" x14ac:dyDescent="0.35">
      <c r="A89" s="183"/>
      <c r="B89" s="184"/>
      <c r="C89" s="192"/>
      <c r="D89" s="180" t="s">
        <v>725</v>
      </c>
      <c r="E89" s="185">
        <v>338</v>
      </c>
      <c r="F89" s="234" t="s">
        <v>53</v>
      </c>
      <c r="G89" s="184"/>
      <c r="H89" s="184"/>
      <c r="I89" s="127"/>
      <c r="J89" s="127"/>
      <c r="K89" s="127"/>
      <c r="L89" s="127"/>
      <c r="M89" s="127"/>
      <c r="N89" s="127"/>
      <c r="O89" s="127"/>
      <c r="P89" s="127"/>
      <c r="Q89" s="159"/>
      <c r="R89" s="366"/>
      <c r="S89" s="285"/>
      <c r="T89" s="178"/>
      <c r="U89" s="178"/>
      <c r="V89" s="286"/>
      <c r="W89" s="285"/>
      <c r="X89" s="285"/>
      <c r="Y89" s="285"/>
      <c r="Z89" s="286"/>
      <c r="AA89" s="286"/>
      <c r="AB89" s="285"/>
      <c r="AC89" s="285"/>
      <c r="AD89" s="285"/>
      <c r="AE89" s="286"/>
      <c r="AF89" s="286"/>
      <c r="AG89" s="85"/>
      <c r="AH89" s="85"/>
      <c r="AI89" s="85"/>
    </row>
    <row r="90" spans="1:35" ht="14.4" customHeight="1" x14ac:dyDescent="0.35">
      <c r="A90" s="183"/>
      <c r="B90" s="184"/>
      <c r="C90" s="192"/>
      <c r="D90" s="180" t="s">
        <v>553</v>
      </c>
      <c r="E90" s="185">
        <v>2</v>
      </c>
      <c r="F90" s="234" t="s">
        <v>274</v>
      </c>
      <c r="G90" s="184"/>
      <c r="H90" s="184"/>
      <c r="I90" s="127"/>
      <c r="J90" s="127"/>
      <c r="K90" s="127"/>
      <c r="L90" s="127"/>
      <c r="M90" s="127"/>
      <c r="N90" s="127"/>
      <c r="O90" s="127"/>
      <c r="P90" s="127"/>
      <c r="Q90" s="159"/>
      <c r="R90" s="366"/>
      <c r="S90" s="285"/>
      <c r="T90" s="178"/>
      <c r="U90" s="178"/>
      <c r="V90" s="286"/>
      <c r="W90" s="285"/>
      <c r="X90" s="285"/>
      <c r="Y90" s="285"/>
      <c r="Z90" s="286"/>
      <c r="AA90" s="286"/>
      <c r="AB90" s="285"/>
      <c r="AC90" s="285"/>
      <c r="AD90" s="285"/>
      <c r="AE90" s="286"/>
      <c r="AF90" s="286"/>
      <c r="AG90" s="85"/>
      <c r="AH90" s="85"/>
      <c r="AI90" s="85"/>
    </row>
    <row r="91" spans="1:35" ht="14.4" customHeight="1" x14ac:dyDescent="0.35">
      <c r="A91" s="183"/>
      <c r="B91" s="184"/>
      <c r="C91" s="192"/>
      <c r="D91" s="180" t="s">
        <v>554</v>
      </c>
      <c r="E91" s="185">
        <v>100</v>
      </c>
      <c r="F91" s="234" t="s">
        <v>137</v>
      </c>
      <c r="G91" s="184"/>
      <c r="H91" s="184"/>
      <c r="I91" s="127"/>
      <c r="J91" s="127"/>
      <c r="K91" s="127"/>
      <c r="L91" s="127"/>
      <c r="M91" s="127"/>
      <c r="N91" s="127"/>
      <c r="O91" s="127"/>
      <c r="P91" s="127"/>
      <c r="Q91" s="159"/>
      <c r="R91" s="366"/>
      <c r="S91" s="285"/>
      <c r="T91" s="178"/>
      <c r="U91" s="178"/>
      <c r="V91" s="286"/>
      <c r="W91" s="285"/>
      <c r="X91" s="285"/>
      <c r="Y91" s="285"/>
      <c r="Z91" s="286"/>
      <c r="AA91" s="286"/>
      <c r="AB91" s="285"/>
      <c r="AC91" s="285"/>
      <c r="AD91" s="285"/>
      <c r="AE91" s="286"/>
      <c r="AF91" s="286"/>
      <c r="AG91" s="85"/>
      <c r="AH91" s="85"/>
      <c r="AI91" s="85"/>
    </row>
    <row r="92" spans="1:35" ht="14.4" customHeight="1" x14ac:dyDescent="0.35">
      <c r="A92" s="183"/>
      <c r="B92" s="184"/>
      <c r="C92" s="192"/>
      <c r="D92" s="180" t="s">
        <v>772</v>
      </c>
      <c r="E92" s="185">
        <v>3.8</v>
      </c>
      <c r="F92" s="234" t="s">
        <v>0</v>
      </c>
      <c r="G92" s="184"/>
      <c r="H92" s="184"/>
      <c r="I92" s="127"/>
      <c r="J92" s="127"/>
      <c r="K92" s="127"/>
      <c r="L92" s="127"/>
      <c r="M92" s="127"/>
      <c r="N92" s="127"/>
      <c r="O92" s="127"/>
      <c r="P92" s="127"/>
      <c r="Q92" s="159"/>
      <c r="R92" s="366"/>
      <c r="S92" s="285"/>
      <c r="T92" s="178"/>
      <c r="U92" s="178"/>
      <c r="V92" s="286"/>
      <c r="W92" s="285"/>
      <c r="X92" s="285"/>
      <c r="Y92" s="285"/>
      <c r="Z92" s="286"/>
      <c r="AA92" s="286"/>
      <c r="AB92" s="285"/>
      <c r="AC92" s="285"/>
      <c r="AD92" s="285"/>
      <c r="AE92" s="286"/>
      <c r="AF92" s="286"/>
      <c r="AG92" s="85"/>
      <c r="AH92" s="85"/>
      <c r="AI92" s="85"/>
    </row>
    <row r="93" spans="1:35" ht="14.4" customHeight="1" x14ac:dyDescent="0.35">
      <c r="A93" s="183"/>
      <c r="B93" s="184"/>
      <c r="C93" s="192"/>
      <c r="D93" s="180" t="s">
        <v>560</v>
      </c>
      <c r="E93" s="185">
        <v>0.8</v>
      </c>
      <c r="F93" s="234" t="s">
        <v>0</v>
      </c>
      <c r="G93" s="184"/>
      <c r="H93" s="184"/>
      <c r="I93" s="127"/>
      <c r="J93" s="127"/>
      <c r="K93" s="127"/>
      <c r="L93" s="127"/>
      <c r="M93" s="127"/>
      <c r="N93" s="127"/>
      <c r="O93" s="127"/>
      <c r="P93" s="127"/>
      <c r="Q93" s="159"/>
      <c r="R93" s="366"/>
      <c r="S93" s="285"/>
      <c r="T93" s="178"/>
      <c r="U93" s="178"/>
      <c r="V93" s="286"/>
      <c r="W93" s="285"/>
      <c r="X93" s="285"/>
      <c r="Y93" s="285"/>
      <c r="Z93" s="286"/>
      <c r="AA93" s="286"/>
      <c r="AB93" s="285"/>
      <c r="AC93" s="285"/>
      <c r="AD93" s="285"/>
      <c r="AE93" s="286"/>
      <c r="AF93" s="286"/>
      <c r="AG93" s="85"/>
      <c r="AH93" s="85"/>
      <c r="AI93" s="85"/>
    </row>
    <row r="94" spans="1:35" ht="14.4" customHeight="1" thickBot="1" x14ac:dyDescent="0.4">
      <c r="A94" s="289"/>
      <c r="B94" s="255"/>
      <c r="C94" s="290"/>
      <c r="D94" s="256" t="s">
        <v>555</v>
      </c>
      <c r="E94" s="349">
        <v>50</v>
      </c>
      <c r="F94" s="257" t="s">
        <v>381</v>
      </c>
      <c r="G94" s="184"/>
      <c r="H94" s="184"/>
      <c r="I94" s="127"/>
      <c r="J94" s="127"/>
      <c r="K94" s="127"/>
      <c r="L94" s="127"/>
      <c r="M94" s="127"/>
      <c r="N94" s="127"/>
      <c r="O94" s="127"/>
      <c r="P94" s="127"/>
      <c r="Q94" s="159"/>
      <c r="R94" s="366"/>
      <c r="S94" s="285"/>
      <c r="T94" s="178"/>
      <c r="U94" s="178"/>
      <c r="V94" s="286"/>
      <c r="W94" s="285"/>
      <c r="X94" s="285"/>
      <c r="Y94" s="285"/>
      <c r="Z94" s="286"/>
      <c r="AA94" s="286"/>
      <c r="AB94" s="285"/>
      <c r="AC94" s="285"/>
      <c r="AD94" s="285"/>
      <c r="AE94" s="286"/>
      <c r="AF94" s="286"/>
      <c r="AG94" s="85"/>
      <c r="AH94" s="85"/>
      <c r="AI94" s="85"/>
    </row>
    <row r="95" spans="1:35" ht="18" customHeight="1" thickBot="1" x14ac:dyDescent="0.35">
      <c r="A95" s="183"/>
      <c r="B95" s="184"/>
      <c r="C95" s="192"/>
      <c r="D95" s="180"/>
      <c r="E95" s="194"/>
      <c r="F95" s="291"/>
      <c r="G95" s="184"/>
      <c r="H95" s="184"/>
      <c r="I95" s="127"/>
      <c r="J95" s="127"/>
      <c r="K95" s="127"/>
      <c r="L95" s="127"/>
      <c r="M95" s="127"/>
      <c r="N95" s="127"/>
      <c r="O95" s="127"/>
      <c r="P95" s="127"/>
      <c r="Q95" s="159"/>
      <c r="R95" s="366"/>
      <c r="S95" s="285"/>
      <c r="T95" s="178"/>
      <c r="U95" s="178"/>
      <c r="V95" s="286"/>
      <c r="W95" s="285"/>
      <c r="X95" s="285"/>
      <c r="Y95" s="285"/>
      <c r="Z95" s="286"/>
      <c r="AA95" s="286"/>
      <c r="AB95" s="285"/>
      <c r="AC95" s="285"/>
      <c r="AD95" s="285"/>
      <c r="AE95" s="286"/>
      <c r="AF95" s="286"/>
      <c r="AG95" s="85"/>
      <c r="AH95" s="85"/>
      <c r="AI95" s="85"/>
    </row>
    <row r="96" spans="1:35" ht="18" customHeight="1" x14ac:dyDescent="0.35">
      <c r="A96" s="250"/>
      <c r="B96" s="251"/>
      <c r="C96" s="254"/>
      <c r="D96" s="299" t="s">
        <v>534</v>
      </c>
      <c r="E96" s="353" t="s">
        <v>773</v>
      </c>
      <c r="F96" s="253"/>
      <c r="G96" s="184"/>
      <c r="H96" s="184"/>
      <c r="I96" s="127"/>
      <c r="J96" s="127"/>
      <c r="K96" s="127"/>
      <c r="L96" s="127"/>
      <c r="M96" s="127"/>
      <c r="N96" s="127"/>
      <c r="O96" s="127"/>
      <c r="P96" s="127"/>
      <c r="Q96" s="159"/>
      <c r="R96" s="366"/>
      <c r="S96" s="285"/>
      <c r="T96" s="178"/>
      <c r="U96" s="178"/>
      <c r="V96" s="286"/>
      <c r="W96" s="285"/>
      <c r="X96" s="285"/>
      <c r="Y96" s="285"/>
      <c r="Z96" s="286"/>
      <c r="AA96" s="286"/>
      <c r="AB96" s="285"/>
      <c r="AC96" s="285"/>
      <c r="AD96" s="285"/>
      <c r="AE96" s="286"/>
      <c r="AF96" s="286"/>
      <c r="AG96" s="85"/>
      <c r="AH96" s="85"/>
      <c r="AI96" s="85"/>
    </row>
    <row r="97" spans="1:35" ht="14.4" customHeight="1" x14ac:dyDescent="0.35">
      <c r="A97" s="183"/>
      <c r="B97" s="184"/>
      <c r="C97" s="184"/>
      <c r="D97" s="180" t="s">
        <v>549</v>
      </c>
      <c r="E97" s="185">
        <v>6</v>
      </c>
      <c r="F97" s="234" t="s">
        <v>115</v>
      </c>
      <c r="G97" s="184"/>
      <c r="H97" s="184"/>
      <c r="I97" s="127"/>
      <c r="J97" s="127"/>
      <c r="K97" s="127"/>
      <c r="L97" s="127"/>
      <c r="M97" s="127"/>
      <c r="N97" s="127"/>
      <c r="O97" s="127"/>
      <c r="P97" s="127"/>
      <c r="Q97" s="159"/>
      <c r="R97" s="366"/>
      <c r="S97" s="285"/>
      <c r="T97" s="178"/>
      <c r="U97" s="178"/>
      <c r="V97" s="286"/>
      <c r="W97" s="285"/>
      <c r="X97" s="285"/>
      <c r="Y97" s="285"/>
      <c r="Z97" s="286"/>
      <c r="AA97" s="286"/>
      <c r="AB97" s="285"/>
      <c r="AC97" s="285"/>
      <c r="AD97" s="285"/>
      <c r="AE97" s="286"/>
      <c r="AF97" s="286"/>
      <c r="AG97" s="85"/>
      <c r="AH97" s="85"/>
      <c r="AI97" s="85"/>
    </row>
    <row r="98" spans="1:35" ht="14.4" customHeight="1" x14ac:dyDescent="0.35">
      <c r="A98" s="183"/>
      <c r="B98" s="184"/>
      <c r="C98" s="184"/>
      <c r="D98" s="180" t="s">
        <v>550</v>
      </c>
      <c r="E98" s="185">
        <v>27</v>
      </c>
      <c r="F98" s="234" t="s">
        <v>136</v>
      </c>
      <c r="G98" s="184"/>
      <c r="H98" s="184"/>
      <c r="I98" s="127"/>
      <c r="J98" s="127"/>
      <c r="K98" s="127"/>
      <c r="L98" s="127"/>
      <c r="M98" s="127"/>
      <c r="N98" s="127"/>
      <c r="O98" s="127"/>
      <c r="P98" s="127"/>
      <c r="Q98" s="159"/>
      <c r="R98" s="366"/>
      <c r="S98" s="85"/>
      <c r="T98" s="6"/>
      <c r="U98" s="6"/>
      <c r="W98" s="85"/>
      <c r="X98" s="85"/>
      <c r="Y98" s="85"/>
      <c r="AB98" s="85"/>
      <c r="AC98" s="85"/>
      <c r="AD98" s="85"/>
      <c r="AG98" s="85"/>
      <c r="AH98" s="85"/>
      <c r="AI98" s="85"/>
    </row>
    <row r="99" spans="1:35" ht="14.4" customHeight="1" x14ac:dyDescent="0.35">
      <c r="A99" s="183"/>
      <c r="B99" s="184"/>
      <c r="C99" s="184"/>
      <c r="D99" s="180" t="s">
        <v>718</v>
      </c>
      <c r="E99" s="185">
        <v>20</v>
      </c>
      <c r="F99" s="234" t="s">
        <v>136</v>
      </c>
      <c r="G99" s="184"/>
      <c r="H99" s="184"/>
      <c r="I99" s="127"/>
      <c r="J99" s="127"/>
      <c r="K99" s="127"/>
      <c r="L99" s="127"/>
      <c r="M99" s="127"/>
      <c r="N99" s="127"/>
      <c r="O99" s="127"/>
      <c r="P99" s="127"/>
      <c r="Q99" s="159"/>
      <c r="R99" s="366"/>
      <c r="S99" s="85"/>
      <c r="T99" s="85"/>
      <c r="W99" s="85"/>
      <c r="X99" s="85"/>
      <c r="Y99" s="85"/>
      <c r="AB99" s="85"/>
      <c r="AC99" s="85"/>
      <c r="AD99" s="85"/>
      <c r="AG99" s="85"/>
      <c r="AH99" s="85"/>
      <c r="AI99" s="85"/>
    </row>
    <row r="100" spans="1:35" ht="14.4" customHeight="1" x14ac:dyDescent="0.35">
      <c r="A100" s="183"/>
      <c r="B100" s="184"/>
      <c r="C100" s="184"/>
      <c r="D100" s="180" t="s">
        <v>725</v>
      </c>
      <c r="E100" s="185">
        <v>338</v>
      </c>
      <c r="F100" s="234" t="s">
        <v>53</v>
      </c>
      <c r="G100" s="184"/>
      <c r="H100" s="184"/>
      <c r="I100" s="127"/>
      <c r="J100" s="127"/>
      <c r="K100" s="127"/>
      <c r="L100" s="127"/>
      <c r="M100" s="127"/>
      <c r="N100" s="127"/>
      <c r="O100" s="127"/>
      <c r="P100" s="127"/>
      <c r="Q100" s="159"/>
      <c r="R100" s="366"/>
      <c r="S100" s="85"/>
      <c r="T100" s="85"/>
      <c r="W100" s="85"/>
      <c r="X100" s="85"/>
      <c r="Y100" s="85"/>
      <c r="AB100" s="85"/>
      <c r="AC100" s="85"/>
      <c r="AD100" s="85"/>
      <c r="AG100" s="85"/>
      <c r="AH100" s="85"/>
      <c r="AI100" s="85"/>
    </row>
    <row r="101" spans="1:35" ht="14.25" customHeight="1" x14ac:dyDescent="0.35">
      <c r="A101" s="183"/>
      <c r="B101" s="184"/>
      <c r="C101" s="184"/>
      <c r="D101" s="180" t="s">
        <v>558</v>
      </c>
      <c r="E101" s="185">
        <v>0.8</v>
      </c>
      <c r="F101" s="234" t="s">
        <v>0</v>
      </c>
      <c r="G101" s="184"/>
      <c r="H101" s="184"/>
      <c r="I101" s="127"/>
      <c r="J101" s="127"/>
      <c r="K101" s="127"/>
      <c r="L101" s="127"/>
      <c r="M101" s="127"/>
      <c r="N101" s="127"/>
      <c r="O101" s="127"/>
      <c r="P101" s="127"/>
      <c r="Q101" s="159"/>
      <c r="R101" s="366"/>
      <c r="S101" s="85"/>
      <c r="T101" s="85"/>
      <c r="W101" s="85"/>
      <c r="X101" s="85"/>
      <c r="Y101" s="85"/>
      <c r="AB101" s="85"/>
      <c r="AC101" s="85"/>
      <c r="AD101" s="85"/>
      <c r="AG101" s="85"/>
      <c r="AH101" s="85"/>
      <c r="AI101" s="85"/>
    </row>
    <row r="102" spans="1:35" ht="14.4" customHeight="1" x14ac:dyDescent="0.35">
      <c r="A102" s="183"/>
      <c r="B102" s="184"/>
      <c r="C102" s="184"/>
      <c r="D102" s="180" t="s">
        <v>556</v>
      </c>
      <c r="E102" s="185">
        <v>63</v>
      </c>
      <c r="F102" s="234" t="s">
        <v>136</v>
      </c>
      <c r="G102" s="184"/>
      <c r="H102" s="184"/>
      <c r="I102" s="131"/>
      <c r="J102" s="132"/>
      <c r="K102" s="127"/>
      <c r="L102" s="127"/>
      <c r="M102" s="127"/>
      <c r="N102" s="127"/>
      <c r="O102" s="127"/>
      <c r="P102" s="127"/>
      <c r="Q102" s="159"/>
      <c r="R102" s="366"/>
      <c r="S102" s="85"/>
      <c r="T102" s="85"/>
      <c r="W102" s="85"/>
      <c r="X102" s="85"/>
      <c r="Y102" s="85"/>
      <c r="AB102" s="85"/>
      <c r="AC102" s="85"/>
      <c r="AD102" s="85"/>
      <c r="AG102" s="85"/>
      <c r="AH102" s="85"/>
      <c r="AI102" s="85"/>
    </row>
    <row r="103" spans="1:35" ht="14.4" customHeight="1" x14ac:dyDescent="0.35">
      <c r="A103" s="183"/>
      <c r="B103" s="184"/>
      <c r="C103" s="184"/>
      <c r="D103" s="180" t="s">
        <v>555</v>
      </c>
      <c r="E103" s="185">
        <v>50</v>
      </c>
      <c r="F103" s="234" t="s">
        <v>381</v>
      </c>
      <c r="G103" s="184"/>
      <c r="H103" s="184"/>
      <c r="I103" s="127"/>
      <c r="J103" s="127"/>
      <c r="K103" s="127"/>
      <c r="L103" s="127"/>
      <c r="M103" s="127"/>
      <c r="N103" s="127"/>
      <c r="O103" s="127"/>
      <c r="P103" s="127"/>
      <c r="Q103" s="159"/>
      <c r="R103" s="366"/>
      <c r="S103" s="85"/>
      <c r="T103" s="85"/>
      <c r="W103" s="85"/>
      <c r="X103" s="85"/>
      <c r="Y103" s="85"/>
      <c r="AB103" s="85"/>
      <c r="AC103" s="85"/>
      <c r="AD103" s="85"/>
      <c r="AG103" s="85"/>
      <c r="AH103" s="85"/>
      <c r="AI103" s="85"/>
    </row>
    <row r="104" spans="1:35" ht="18" customHeight="1" x14ac:dyDescent="0.3">
      <c r="A104" s="195"/>
      <c r="B104" s="192"/>
      <c r="C104" s="184"/>
      <c r="D104" s="292" t="s">
        <v>737</v>
      </c>
      <c r="E104" s="210"/>
      <c r="F104" s="234"/>
      <c r="G104" s="184"/>
      <c r="H104" s="184"/>
      <c r="I104" s="127"/>
      <c r="J104" s="127"/>
      <c r="K104" s="127"/>
      <c r="L104" s="127"/>
      <c r="M104" s="127"/>
      <c r="N104" s="127"/>
      <c r="O104" s="127"/>
      <c r="P104" s="127"/>
      <c r="Q104" s="159"/>
      <c r="R104" s="366"/>
      <c r="S104" s="85"/>
      <c r="T104" s="85"/>
      <c r="W104" s="85"/>
      <c r="X104" s="85"/>
      <c r="Y104" s="85"/>
      <c r="AB104" s="85"/>
      <c r="AC104" s="85"/>
      <c r="AD104" s="85"/>
      <c r="AG104" s="85"/>
      <c r="AH104" s="85"/>
      <c r="AI104" s="85"/>
    </row>
    <row r="105" spans="1:35" ht="14.4" customHeight="1" x14ac:dyDescent="0.35">
      <c r="A105" s="183"/>
      <c r="B105" s="184"/>
      <c r="C105" s="184"/>
      <c r="D105" s="180" t="s">
        <v>559</v>
      </c>
      <c r="E105" s="308">
        <v>0</v>
      </c>
      <c r="F105" s="234" t="s">
        <v>0</v>
      </c>
      <c r="G105" s="184"/>
      <c r="H105" s="184"/>
      <c r="I105" s="127"/>
      <c r="J105" s="127"/>
      <c r="K105" s="127"/>
      <c r="L105" s="127"/>
      <c r="M105" s="127"/>
      <c r="N105" s="127"/>
      <c r="O105" s="127"/>
      <c r="P105" s="127"/>
      <c r="Q105" s="159"/>
      <c r="R105" s="366"/>
      <c r="S105" s="85"/>
      <c r="T105" s="85"/>
      <c r="W105" s="85"/>
      <c r="X105" s="85"/>
      <c r="Y105" s="85"/>
      <c r="AB105" s="85"/>
      <c r="AC105" s="85"/>
      <c r="AD105" s="85"/>
      <c r="AG105" s="85"/>
      <c r="AH105" s="85"/>
      <c r="AI105" s="85"/>
    </row>
    <row r="106" spans="1:35" ht="14.4" customHeight="1" thickBot="1" x14ac:dyDescent="0.4">
      <c r="A106" s="230"/>
      <c r="B106" s="255"/>
      <c r="C106" s="255"/>
      <c r="D106" s="256" t="s">
        <v>557</v>
      </c>
      <c r="E106" s="350">
        <v>0</v>
      </c>
      <c r="F106" s="257" t="s">
        <v>136</v>
      </c>
      <c r="G106" s="184"/>
      <c r="H106" s="184"/>
      <c r="I106" s="127"/>
      <c r="J106" s="127"/>
      <c r="K106" s="127"/>
      <c r="L106" s="127"/>
      <c r="M106" s="127"/>
      <c r="N106" s="127"/>
      <c r="O106" s="127"/>
      <c r="P106" s="127"/>
      <c r="Q106" s="159"/>
      <c r="R106" s="366"/>
      <c r="S106" s="85"/>
      <c r="T106" s="85"/>
      <c r="W106" s="85"/>
      <c r="X106" s="85"/>
      <c r="Y106" s="85"/>
      <c r="AB106" s="85"/>
      <c r="AC106" s="85"/>
      <c r="AD106" s="85"/>
      <c r="AG106" s="85"/>
      <c r="AH106" s="85"/>
      <c r="AI106" s="85"/>
    </row>
    <row r="107" spans="1:35" ht="14.4" customHeight="1" x14ac:dyDescent="0.3">
      <c r="A107" s="382"/>
      <c r="B107" s="184"/>
      <c r="C107" s="184"/>
      <c r="D107" s="180"/>
      <c r="E107" s="503"/>
      <c r="F107" s="184"/>
      <c r="G107" s="184"/>
      <c r="H107" s="184"/>
      <c r="I107" s="127"/>
      <c r="J107" s="127"/>
      <c r="K107" s="127"/>
      <c r="L107" s="127"/>
      <c r="M107" s="127"/>
      <c r="N107" s="127"/>
      <c r="O107" s="127"/>
      <c r="P107" s="127"/>
      <c r="Q107" s="159"/>
      <c r="R107" s="366"/>
      <c r="S107" s="85"/>
      <c r="T107" s="85"/>
      <c r="W107" s="85"/>
      <c r="X107" s="85"/>
      <c r="Y107" s="85"/>
      <c r="AB107" s="85"/>
      <c r="AC107" s="85"/>
      <c r="AD107" s="85"/>
      <c r="AG107" s="85"/>
      <c r="AH107" s="85"/>
      <c r="AI107" s="85"/>
    </row>
    <row r="108" spans="1:35" ht="19.5" customHeight="1" thickBot="1" x14ac:dyDescent="0.35">
      <c r="A108" s="504" t="s">
        <v>768</v>
      </c>
      <c r="B108" s="194"/>
      <c r="C108" s="505"/>
      <c r="D108" s="506"/>
      <c r="E108" s="170"/>
      <c r="F108" s="170"/>
      <c r="G108" s="170"/>
      <c r="H108" s="184"/>
      <c r="I108" s="127"/>
      <c r="J108" s="127"/>
      <c r="K108" s="127"/>
      <c r="L108" s="127"/>
      <c r="M108" s="127"/>
      <c r="N108" s="127"/>
      <c r="O108" s="127"/>
      <c r="P108" s="127"/>
      <c r="Q108" s="159"/>
      <c r="R108" s="366"/>
      <c r="S108" s="85"/>
      <c r="T108" s="85"/>
      <c r="W108" s="85"/>
      <c r="X108" s="85"/>
      <c r="Y108" s="85"/>
      <c r="AB108" s="85"/>
      <c r="AC108" s="85"/>
      <c r="AD108" s="85"/>
      <c r="AG108" s="85"/>
      <c r="AH108" s="85"/>
      <c r="AI108" s="85"/>
    </row>
    <row r="109" spans="1:35" ht="15.75" customHeight="1" x14ac:dyDescent="0.3">
      <c r="A109" s="271"/>
      <c r="B109" s="252"/>
      <c r="C109" s="507"/>
      <c r="D109" s="507" t="s">
        <v>769</v>
      </c>
      <c r="E109" s="508">
        <f>'Power Calculations'!AN9</f>
        <v>0.16949999999999998</v>
      </c>
      <c r="F109" s="253" t="s">
        <v>208</v>
      </c>
      <c r="G109" s="170"/>
      <c r="H109" s="184"/>
      <c r="I109" s="127"/>
      <c r="J109" s="127"/>
      <c r="K109" s="127"/>
      <c r="L109" s="127"/>
      <c r="M109" s="127"/>
      <c r="N109" s="127"/>
      <c r="O109" s="127"/>
      <c r="P109" s="127"/>
      <c r="Q109" s="159"/>
      <c r="R109" s="366"/>
      <c r="S109" s="85"/>
      <c r="T109" s="85"/>
      <c r="W109" s="85"/>
      <c r="X109" s="85"/>
      <c r="Y109" s="85"/>
      <c r="AB109" s="85"/>
      <c r="AC109" s="85"/>
      <c r="AD109" s="85"/>
      <c r="AG109" s="85"/>
      <c r="AH109" s="85"/>
      <c r="AI109" s="85"/>
    </row>
    <row r="110" spans="1:35" ht="14.4" customHeight="1" thickBot="1" x14ac:dyDescent="0.35">
      <c r="A110" s="289"/>
      <c r="B110" s="255"/>
      <c r="C110" s="255"/>
      <c r="D110" s="509" t="s">
        <v>770</v>
      </c>
      <c r="E110" s="510">
        <f>'Power Calculations'!AN9*50</f>
        <v>8.4749999999999996</v>
      </c>
      <c r="F110" s="511" t="s">
        <v>442</v>
      </c>
      <c r="G110" s="170"/>
      <c r="H110" s="184"/>
      <c r="I110" s="127"/>
      <c r="J110" s="127"/>
      <c r="K110" s="127"/>
      <c r="L110" s="127"/>
      <c r="M110" s="127"/>
      <c r="N110" s="127"/>
      <c r="O110" s="127"/>
      <c r="P110" s="127"/>
      <c r="Q110" s="159"/>
      <c r="R110" s="366"/>
      <c r="S110" s="85"/>
      <c r="T110" s="85"/>
      <c r="W110" s="85"/>
      <c r="X110" s="85"/>
      <c r="Y110" s="85"/>
      <c r="AB110" s="85"/>
      <c r="AC110" s="85"/>
      <c r="AD110" s="85"/>
      <c r="AG110" s="85"/>
      <c r="AH110" s="85"/>
      <c r="AI110" s="85"/>
    </row>
    <row r="111" spans="1:35" ht="16.2" customHeight="1" thickBot="1" x14ac:dyDescent="0.35">
      <c r="A111" s="183"/>
      <c r="B111" s="184"/>
      <c r="C111" s="184"/>
      <c r="D111" s="180"/>
      <c r="E111" s="283"/>
      <c r="F111" s="184"/>
      <c r="G111" s="184"/>
      <c r="H111" s="184"/>
      <c r="I111" s="127"/>
      <c r="J111" s="127"/>
      <c r="K111" s="127"/>
      <c r="L111" s="127"/>
      <c r="M111" s="127"/>
      <c r="N111" s="127"/>
      <c r="O111" s="127"/>
      <c r="P111" s="127"/>
      <c r="Q111" s="159"/>
      <c r="R111" s="366"/>
      <c r="S111" s="85"/>
      <c r="T111" s="85"/>
      <c r="W111" s="85"/>
      <c r="X111" s="85"/>
      <c r="Y111" s="85"/>
      <c r="AB111" s="85"/>
      <c r="AC111" s="85"/>
      <c r="AD111" s="85"/>
      <c r="AG111" s="85"/>
      <c r="AH111" s="85"/>
      <c r="AI111" s="85"/>
    </row>
    <row r="112" spans="1:35" ht="14.4" thickBot="1" x14ac:dyDescent="0.35">
      <c r="A112" s="361"/>
      <c r="B112" s="362"/>
      <c r="C112" s="363"/>
      <c r="D112" s="363"/>
      <c r="E112" s="363"/>
      <c r="F112" s="363"/>
      <c r="G112" s="363"/>
      <c r="H112" s="363"/>
      <c r="I112" s="363"/>
      <c r="J112" s="363"/>
      <c r="K112" s="363"/>
      <c r="L112" s="363"/>
      <c r="M112" s="363"/>
      <c r="N112" s="363"/>
      <c r="O112" s="363"/>
      <c r="P112" s="363"/>
      <c r="Q112" s="363"/>
      <c r="R112" s="364"/>
      <c r="S112" s="85"/>
      <c r="T112" s="85"/>
      <c r="W112" s="85"/>
      <c r="X112" s="85"/>
      <c r="Y112" s="85"/>
      <c r="AB112" s="85"/>
      <c r="AC112" s="85"/>
      <c r="AD112" s="85"/>
      <c r="AG112" s="85"/>
      <c r="AH112" s="85"/>
      <c r="AI112" s="85"/>
    </row>
    <row r="113" spans="18:35" x14ac:dyDescent="0.3">
      <c r="R113" s="85"/>
      <c r="S113" s="85"/>
      <c r="T113" s="85"/>
      <c r="W113" s="85"/>
      <c r="X113" s="85"/>
      <c r="Y113" s="85"/>
      <c r="AB113" s="85"/>
      <c r="AC113" s="85"/>
      <c r="AD113" s="85"/>
      <c r="AG113" s="85"/>
      <c r="AH113" s="85"/>
      <c r="AI113" s="85"/>
    </row>
    <row r="114" spans="18:35" x14ac:dyDescent="0.3">
      <c r="R114" s="85"/>
      <c r="S114" s="85"/>
      <c r="T114" s="85"/>
      <c r="W114" s="85"/>
      <c r="X114" s="85"/>
      <c r="Y114" s="85"/>
      <c r="AB114" s="85"/>
      <c r="AC114" s="85"/>
      <c r="AD114" s="85"/>
      <c r="AG114" s="85"/>
      <c r="AH114" s="85"/>
      <c r="AI114" s="85"/>
    </row>
    <row r="115" spans="18:35" x14ac:dyDescent="0.3">
      <c r="R115" s="85"/>
      <c r="S115" s="85"/>
      <c r="T115" s="85"/>
      <c r="W115" s="85"/>
      <c r="X115" s="85"/>
      <c r="Y115" s="85"/>
      <c r="AB115" s="85"/>
      <c r="AC115" s="85"/>
      <c r="AD115" s="85"/>
      <c r="AG115" s="85"/>
      <c r="AH115" s="85"/>
      <c r="AI115" s="85"/>
    </row>
    <row r="116" spans="18:35" x14ac:dyDescent="0.3">
      <c r="R116" s="85"/>
      <c r="S116" s="85"/>
      <c r="T116" s="85"/>
      <c r="W116" s="85"/>
      <c r="X116" s="85"/>
      <c r="Y116" s="85"/>
      <c r="AB116" s="85"/>
      <c r="AC116" s="85"/>
      <c r="AD116" s="85"/>
      <c r="AG116" s="85"/>
      <c r="AH116" s="85"/>
      <c r="AI116" s="85"/>
    </row>
    <row r="117" spans="18:35" x14ac:dyDescent="0.3">
      <c r="R117" s="85"/>
      <c r="S117" s="85"/>
      <c r="T117" s="85"/>
      <c r="W117" s="85"/>
      <c r="X117" s="85"/>
      <c r="Y117" s="85"/>
      <c r="AB117" s="85"/>
      <c r="AC117" s="85"/>
      <c r="AD117" s="85"/>
      <c r="AG117" s="85"/>
      <c r="AH117" s="85"/>
      <c r="AI117" s="85"/>
    </row>
    <row r="118" spans="18:35" x14ac:dyDescent="0.3">
      <c r="R118" s="85"/>
      <c r="S118" s="85"/>
      <c r="T118" s="85"/>
      <c r="W118" s="85"/>
      <c r="X118" s="85"/>
      <c r="Y118" s="85"/>
      <c r="AB118" s="85"/>
      <c r="AC118" s="85"/>
      <c r="AD118" s="85"/>
      <c r="AG118" s="85"/>
      <c r="AH118" s="85"/>
      <c r="AI118" s="85"/>
    </row>
    <row r="119" spans="18:35" x14ac:dyDescent="0.3">
      <c r="R119" s="85"/>
      <c r="S119" s="85"/>
      <c r="T119" s="85"/>
      <c r="W119" s="85"/>
      <c r="X119" s="85"/>
      <c r="Y119" s="85"/>
      <c r="AB119" s="85"/>
      <c r="AC119" s="85"/>
      <c r="AD119" s="85"/>
      <c r="AG119" s="85"/>
      <c r="AH119" s="85"/>
      <c r="AI119" s="85"/>
    </row>
    <row r="120" spans="18:35" x14ac:dyDescent="0.3">
      <c r="R120" s="85"/>
      <c r="S120" s="85"/>
      <c r="T120" s="85"/>
      <c r="W120" s="85"/>
      <c r="X120" s="85"/>
      <c r="Y120" s="85"/>
      <c r="AB120" s="85"/>
      <c r="AC120" s="85"/>
      <c r="AD120" s="85"/>
      <c r="AG120" s="85"/>
      <c r="AH120" s="85"/>
      <c r="AI120" s="85"/>
    </row>
    <row r="121" spans="18:35" x14ac:dyDescent="0.3">
      <c r="R121" s="85"/>
      <c r="S121" s="85"/>
      <c r="T121" s="85"/>
      <c r="W121" s="85"/>
      <c r="X121" s="85"/>
      <c r="Y121" s="85"/>
      <c r="AB121" s="85"/>
      <c r="AC121" s="85"/>
      <c r="AD121" s="85"/>
      <c r="AG121" s="85"/>
      <c r="AH121" s="85"/>
      <c r="AI121" s="85"/>
    </row>
    <row r="122" spans="18:35" x14ac:dyDescent="0.3">
      <c r="R122" s="85"/>
      <c r="S122" s="85"/>
      <c r="T122" s="85"/>
      <c r="W122" s="85"/>
      <c r="X122" s="85"/>
      <c r="Y122" s="85"/>
      <c r="AB122" s="85"/>
      <c r="AC122" s="85"/>
      <c r="AD122" s="85"/>
      <c r="AG122" s="85"/>
      <c r="AH122" s="85"/>
      <c r="AI122" s="85"/>
    </row>
    <row r="123" spans="18:35" x14ac:dyDescent="0.3">
      <c r="R123" s="85"/>
      <c r="S123" s="85"/>
      <c r="T123" s="85"/>
      <c r="W123" s="85"/>
      <c r="X123" s="85"/>
      <c r="Y123" s="85"/>
      <c r="AB123" s="85"/>
      <c r="AC123" s="85"/>
      <c r="AD123" s="85"/>
      <c r="AG123" s="85"/>
      <c r="AH123" s="85"/>
      <c r="AI123" s="85"/>
    </row>
    <row r="124" spans="18:35" x14ac:dyDescent="0.3">
      <c r="R124" s="85"/>
      <c r="S124" s="85"/>
      <c r="T124" s="85"/>
      <c r="W124" s="85"/>
      <c r="X124" s="85"/>
      <c r="Y124" s="85"/>
      <c r="AB124" s="85"/>
      <c r="AC124" s="85"/>
      <c r="AD124" s="85"/>
      <c r="AG124" s="85"/>
      <c r="AH124" s="85"/>
      <c r="AI124" s="85"/>
    </row>
    <row r="125" spans="18:35" x14ac:dyDescent="0.3">
      <c r="R125" s="85"/>
      <c r="S125" s="85"/>
      <c r="T125" s="85"/>
      <c r="W125" s="85"/>
      <c r="X125" s="85"/>
      <c r="Y125" s="85"/>
      <c r="AB125" s="85"/>
      <c r="AC125" s="85"/>
      <c r="AD125" s="85"/>
      <c r="AG125" s="85"/>
      <c r="AH125" s="85"/>
      <c r="AI125" s="85"/>
    </row>
    <row r="126" spans="18:35" x14ac:dyDescent="0.3">
      <c r="R126" s="85"/>
      <c r="S126" s="85"/>
      <c r="T126" s="85"/>
      <c r="W126" s="85"/>
      <c r="X126" s="85"/>
      <c r="Y126" s="85"/>
      <c r="AB126" s="85"/>
      <c r="AC126" s="85"/>
      <c r="AD126" s="85"/>
      <c r="AG126" s="85"/>
      <c r="AH126" s="85"/>
      <c r="AI126" s="85"/>
    </row>
    <row r="127" spans="18:35" x14ac:dyDescent="0.3">
      <c r="R127" s="85"/>
      <c r="S127" s="85"/>
      <c r="T127" s="85"/>
      <c r="W127" s="85"/>
      <c r="X127" s="85"/>
      <c r="Y127" s="85"/>
      <c r="AB127" s="85"/>
      <c r="AC127" s="85"/>
      <c r="AD127" s="85"/>
      <c r="AG127" s="85"/>
      <c r="AH127" s="85"/>
      <c r="AI127" s="85"/>
    </row>
    <row r="128" spans="18:35" x14ac:dyDescent="0.3">
      <c r="R128" s="85"/>
      <c r="S128" s="85"/>
      <c r="T128" s="85"/>
      <c r="W128" s="85"/>
      <c r="X128" s="85"/>
      <c r="Y128" s="85"/>
      <c r="AB128" s="85"/>
      <c r="AC128" s="85"/>
      <c r="AD128" s="85"/>
      <c r="AG128" s="85"/>
      <c r="AH128" s="85"/>
      <c r="AI128" s="85"/>
    </row>
    <row r="129" spans="18:35" x14ac:dyDescent="0.3">
      <c r="R129" s="85"/>
      <c r="S129" s="85"/>
      <c r="T129" s="85"/>
      <c r="W129" s="85"/>
      <c r="X129" s="85"/>
      <c r="Y129" s="85"/>
      <c r="AB129" s="85"/>
      <c r="AC129" s="85"/>
      <c r="AD129" s="85"/>
      <c r="AG129" s="85"/>
      <c r="AH129" s="85"/>
      <c r="AI129" s="85"/>
    </row>
    <row r="130" spans="18:35" x14ac:dyDescent="0.3">
      <c r="R130" s="85"/>
      <c r="S130" s="85"/>
      <c r="T130" s="85"/>
      <c r="W130" s="85"/>
      <c r="X130" s="85"/>
      <c r="Y130" s="85"/>
      <c r="AB130" s="85"/>
      <c r="AC130" s="85"/>
      <c r="AD130" s="85"/>
      <c r="AG130" s="85"/>
      <c r="AH130" s="85"/>
      <c r="AI130" s="85"/>
    </row>
    <row r="131" spans="18:35" x14ac:dyDescent="0.3">
      <c r="R131" s="85"/>
      <c r="S131" s="85"/>
      <c r="T131" s="85"/>
      <c r="W131" s="85"/>
      <c r="X131" s="85"/>
      <c r="Y131" s="85"/>
      <c r="AB131" s="85"/>
      <c r="AC131" s="85"/>
      <c r="AD131" s="85"/>
      <c r="AG131" s="85"/>
      <c r="AH131" s="85"/>
      <c r="AI131" s="85"/>
    </row>
    <row r="132" spans="18:35" x14ac:dyDescent="0.3">
      <c r="R132" s="85"/>
      <c r="S132" s="85"/>
      <c r="T132" s="85"/>
      <c r="W132" s="85"/>
      <c r="X132" s="85"/>
      <c r="Y132" s="85"/>
      <c r="AB132" s="85"/>
      <c r="AC132" s="85"/>
      <c r="AD132" s="85"/>
      <c r="AG132" s="85"/>
      <c r="AH132" s="85"/>
      <c r="AI132" s="85"/>
    </row>
    <row r="133" spans="18:35" x14ac:dyDescent="0.3">
      <c r="R133" s="85"/>
      <c r="S133" s="85"/>
      <c r="T133" s="85"/>
      <c r="W133" s="85"/>
      <c r="X133" s="85"/>
      <c r="Y133" s="85"/>
      <c r="AB133" s="85"/>
      <c r="AC133" s="85"/>
      <c r="AD133" s="85"/>
      <c r="AG133" s="85"/>
      <c r="AH133" s="85"/>
      <c r="AI133" s="85"/>
    </row>
    <row r="134" spans="18:35" x14ac:dyDescent="0.3">
      <c r="R134" s="85"/>
      <c r="S134" s="85"/>
      <c r="T134" s="85"/>
      <c r="W134" s="85"/>
      <c r="X134" s="85"/>
      <c r="Y134" s="85"/>
      <c r="AB134" s="85"/>
      <c r="AC134" s="85"/>
      <c r="AD134" s="85"/>
      <c r="AG134" s="85"/>
      <c r="AH134" s="85"/>
      <c r="AI134" s="85"/>
    </row>
    <row r="135" spans="18:35" x14ac:dyDescent="0.3">
      <c r="R135" s="85"/>
      <c r="S135" s="85"/>
      <c r="T135" s="85"/>
      <c r="W135" s="85"/>
      <c r="X135" s="85"/>
      <c r="Y135" s="85"/>
      <c r="AB135" s="85"/>
      <c r="AC135" s="85"/>
      <c r="AD135" s="85"/>
      <c r="AG135" s="85"/>
      <c r="AH135" s="85"/>
      <c r="AI135" s="85"/>
    </row>
    <row r="136" spans="18:35" x14ac:dyDescent="0.3">
      <c r="R136" s="85"/>
      <c r="S136" s="85"/>
      <c r="T136" s="85"/>
      <c r="W136" s="85"/>
      <c r="X136" s="85"/>
      <c r="Y136" s="85"/>
      <c r="AB136" s="85"/>
      <c r="AC136" s="85"/>
      <c r="AD136" s="85"/>
      <c r="AG136" s="85"/>
      <c r="AH136" s="85"/>
      <c r="AI136" s="85"/>
    </row>
    <row r="137" spans="18:35" x14ac:dyDescent="0.3">
      <c r="R137" s="85"/>
      <c r="S137" s="85"/>
      <c r="T137" s="85"/>
      <c r="W137" s="85"/>
      <c r="X137" s="85"/>
      <c r="Y137" s="85"/>
      <c r="AB137" s="85"/>
      <c r="AC137" s="85"/>
      <c r="AD137" s="85"/>
      <c r="AG137" s="85"/>
      <c r="AH137" s="85"/>
      <c r="AI137" s="85"/>
    </row>
    <row r="138" spans="18:35" x14ac:dyDescent="0.3">
      <c r="R138" s="85"/>
      <c r="S138" s="85"/>
      <c r="T138" s="85"/>
      <c r="W138" s="85"/>
      <c r="X138" s="85"/>
      <c r="Y138" s="85"/>
      <c r="AB138" s="85"/>
      <c r="AC138" s="85"/>
      <c r="AD138" s="85"/>
      <c r="AG138" s="85"/>
      <c r="AH138" s="85"/>
      <c r="AI138" s="85"/>
    </row>
    <row r="139" spans="18:35" x14ac:dyDescent="0.3">
      <c r="R139" s="85"/>
      <c r="S139" s="85"/>
      <c r="T139" s="85"/>
      <c r="W139" s="85"/>
      <c r="X139" s="85"/>
      <c r="Y139" s="85"/>
      <c r="AB139" s="85"/>
      <c r="AC139" s="85"/>
      <c r="AD139" s="85"/>
      <c r="AG139" s="85"/>
      <c r="AH139" s="85"/>
      <c r="AI139" s="85"/>
    </row>
    <row r="140" spans="18:35" x14ac:dyDescent="0.3">
      <c r="R140" s="85"/>
      <c r="S140" s="85"/>
      <c r="T140" s="85"/>
      <c r="W140" s="85"/>
      <c r="X140" s="85"/>
      <c r="Y140" s="85"/>
      <c r="AB140" s="85"/>
      <c r="AC140" s="85"/>
      <c r="AD140" s="85"/>
      <c r="AG140" s="85"/>
      <c r="AH140" s="85"/>
      <c r="AI140" s="85"/>
    </row>
    <row r="141" spans="18:35" x14ac:dyDescent="0.3">
      <c r="R141" s="85"/>
      <c r="S141" s="85"/>
      <c r="T141" s="85"/>
      <c r="W141" s="85"/>
      <c r="X141" s="85"/>
      <c r="Y141" s="85"/>
      <c r="AB141" s="85"/>
      <c r="AC141" s="85"/>
      <c r="AD141" s="85"/>
      <c r="AG141" s="85"/>
      <c r="AH141" s="85"/>
      <c r="AI141" s="85"/>
    </row>
    <row r="142" spans="18:35" x14ac:dyDescent="0.3">
      <c r="R142" s="85"/>
      <c r="S142" s="85"/>
      <c r="T142" s="85"/>
      <c r="W142" s="85"/>
      <c r="X142" s="85"/>
      <c r="Y142" s="85"/>
      <c r="AB142" s="85"/>
      <c r="AC142" s="85"/>
      <c r="AD142" s="85"/>
      <c r="AG142" s="85"/>
      <c r="AH142" s="85"/>
      <c r="AI142" s="85"/>
    </row>
    <row r="143" spans="18:35" x14ac:dyDescent="0.3">
      <c r="R143" s="85"/>
      <c r="S143" s="85"/>
      <c r="T143" s="85"/>
      <c r="W143" s="85"/>
      <c r="X143" s="85"/>
      <c r="Y143" s="85"/>
      <c r="AB143" s="85"/>
      <c r="AC143" s="85"/>
      <c r="AD143" s="85"/>
      <c r="AG143" s="85"/>
      <c r="AH143" s="85"/>
      <c r="AI143" s="85"/>
    </row>
    <row r="144" spans="18:35" x14ac:dyDescent="0.3">
      <c r="R144" s="85"/>
      <c r="S144" s="85"/>
      <c r="T144" s="85"/>
      <c r="W144" s="85"/>
      <c r="X144" s="85"/>
      <c r="Y144" s="85"/>
      <c r="AB144" s="85"/>
      <c r="AC144" s="85"/>
      <c r="AD144" s="85"/>
      <c r="AG144" s="85"/>
      <c r="AH144" s="85"/>
      <c r="AI144" s="85"/>
    </row>
    <row r="145" spans="18:35" x14ac:dyDescent="0.3">
      <c r="R145" s="85"/>
      <c r="S145" s="85"/>
      <c r="T145" s="85"/>
      <c r="W145" s="85"/>
      <c r="X145" s="85"/>
      <c r="Y145" s="85"/>
      <c r="AB145" s="85"/>
      <c r="AC145" s="85"/>
      <c r="AD145" s="85"/>
      <c r="AG145" s="85"/>
      <c r="AH145" s="85"/>
      <c r="AI145" s="85"/>
    </row>
    <row r="146" spans="18:35" x14ac:dyDescent="0.3">
      <c r="R146" s="85"/>
      <c r="S146" s="85"/>
      <c r="T146" s="85"/>
      <c r="W146" s="85"/>
      <c r="X146" s="85"/>
      <c r="Y146" s="85"/>
      <c r="AB146" s="85"/>
      <c r="AC146" s="85"/>
      <c r="AD146" s="85"/>
      <c r="AG146" s="85"/>
      <c r="AH146" s="85"/>
      <c r="AI146" s="85"/>
    </row>
    <row r="147" spans="18:35" x14ac:dyDescent="0.3">
      <c r="R147" s="85"/>
      <c r="S147" s="85"/>
      <c r="T147" s="85"/>
      <c r="W147" s="85"/>
      <c r="X147" s="85"/>
      <c r="Y147" s="85"/>
      <c r="AB147" s="85"/>
      <c r="AC147" s="85"/>
      <c r="AD147" s="85"/>
      <c r="AG147" s="85"/>
      <c r="AH147" s="85"/>
      <c r="AI147" s="85"/>
    </row>
    <row r="148" spans="18:35" x14ac:dyDescent="0.3">
      <c r="R148" s="85"/>
      <c r="S148" s="85"/>
      <c r="T148" s="85"/>
      <c r="W148" s="85"/>
      <c r="X148" s="85"/>
      <c r="Y148" s="85"/>
      <c r="AB148" s="85"/>
      <c r="AC148" s="85"/>
      <c r="AD148" s="85"/>
      <c r="AG148" s="85"/>
      <c r="AH148" s="85"/>
      <c r="AI148" s="85"/>
    </row>
    <row r="149" spans="18:35" x14ac:dyDescent="0.3">
      <c r="R149" s="85"/>
      <c r="S149" s="85"/>
      <c r="T149" s="85"/>
      <c r="W149" s="85"/>
      <c r="X149" s="85"/>
      <c r="Y149" s="85"/>
      <c r="AB149" s="85"/>
      <c r="AC149" s="85"/>
      <c r="AD149" s="85"/>
      <c r="AG149" s="85"/>
      <c r="AH149" s="85"/>
      <c r="AI149" s="85"/>
    </row>
    <row r="150" spans="18:35" x14ac:dyDescent="0.3">
      <c r="R150" s="85"/>
      <c r="S150" s="85"/>
      <c r="T150" s="85"/>
      <c r="W150" s="85"/>
      <c r="X150" s="85"/>
      <c r="Y150" s="85"/>
      <c r="AB150" s="85"/>
      <c r="AC150" s="85"/>
      <c r="AD150" s="85"/>
      <c r="AG150" s="85"/>
      <c r="AH150" s="85"/>
      <c r="AI150" s="85"/>
    </row>
    <row r="151" spans="18:35" x14ac:dyDescent="0.3">
      <c r="R151" s="85"/>
      <c r="S151" s="85"/>
      <c r="T151" s="85"/>
      <c r="W151" s="85"/>
      <c r="X151" s="85"/>
      <c r="Y151" s="85"/>
      <c r="AB151" s="85"/>
      <c r="AC151" s="85"/>
      <c r="AD151" s="85"/>
      <c r="AG151" s="85"/>
      <c r="AH151" s="85"/>
      <c r="AI151" s="85"/>
    </row>
    <row r="152" spans="18:35" x14ac:dyDescent="0.3">
      <c r="R152" s="85"/>
      <c r="S152" s="85"/>
      <c r="T152" s="85"/>
      <c r="W152" s="85"/>
      <c r="X152" s="85"/>
      <c r="Y152" s="85"/>
      <c r="AB152" s="85"/>
      <c r="AC152" s="85"/>
      <c r="AD152" s="85"/>
      <c r="AG152" s="85"/>
      <c r="AH152" s="85"/>
      <c r="AI152" s="85"/>
    </row>
    <row r="153" spans="18:35" x14ac:dyDescent="0.3">
      <c r="R153" s="85"/>
      <c r="S153" s="85"/>
      <c r="T153" s="85"/>
      <c r="W153" s="85"/>
      <c r="X153" s="85"/>
      <c r="Y153" s="85"/>
      <c r="AB153" s="85"/>
      <c r="AC153" s="85"/>
      <c r="AD153" s="85"/>
      <c r="AG153" s="85"/>
      <c r="AH153" s="85"/>
      <c r="AI153" s="85"/>
    </row>
    <row r="154" spans="18:35" x14ac:dyDescent="0.3">
      <c r="R154" s="85"/>
      <c r="S154" s="85"/>
      <c r="T154" s="85"/>
      <c r="W154" s="85"/>
      <c r="X154" s="85"/>
      <c r="Y154" s="85"/>
      <c r="AB154" s="85"/>
      <c r="AC154" s="85"/>
      <c r="AD154" s="85"/>
      <c r="AG154" s="85"/>
      <c r="AH154" s="85"/>
      <c r="AI154" s="85"/>
    </row>
    <row r="155" spans="18:35" x14ac:dyDescent="0.3">
      <c r="R155" s="85"/>
      <c r="S155" s="85"/>
      <c r="T155" s="85"/>
      <c r="W155" s="85"/>
      <c r="X155" s="85"/>
      <c r="Y155" s="85"/>
      <c r="AB155" s="85"/>
      <c r="AC155" s="85"/>
      <c r="AD155" s="85"/>
      <c r="AG155" s="85"/>
      <c r="AH155" s="85"/>
      <c r="AI155" s="85"/>
    </row>
    <row r="156" spans="18:35" x14ac:dyDescent="0.3">
      <c r="R156" s="85"/>
      <c r="S156" s="85"/>
      <c r="T156" s="85"/>
      <c r="W156" s="85"/>
      <c r="X156" s="85"/>
      <c r="Y156" s="85"/>
      <c r="AB156" s="85"/>
      <c r="AC156" s="85"/>
      <c r="AD156" s="85"/>
      <c r="AG156" s="85"/>
      <c r="AH156" s="85"/>
      <c r="AI156" s="85"/>
    </row>
    <row r="157" spans="18:35" x14ac:dyDescent="0.3">
      <c r="R157" s="85"/>
      <c r="S157" s="85"/>
      <c r="T157" s="85"/>
      <c r="W157" s="85"/>
      <c r="X157" s="85"/>
      <c r="Y157" s="85"/>
      <c r="AB157" s="85"/>
      <c r="AC157" s="85"/>
      <c r="AD157" s="85"/>
      <c r="AG157" s="85"/>
      <c r="AH157" s="85"/>
      <c r="AI157" s="85"/>
    </row>
    <row r="158" spans="18:35" x14ac:dyDescent="0.3">
      <c r="R158" s="85"/>
      <c r="S158" s="85"/>
      <c r="T158" s="85"/>
      <c r="W158" s="85"/>
      <c r="X158" s="85"/>
      <c r="Y158" s="85"/>
      <c r="AB158" s="85"/>
      <c r="AC158" s="85"/>
      <c r="AD158" s="85"/>
      <c r="AG158" s="85"/>
      <c r="AH158" s="85"/>
      <c r="AI158" s="85"/>
    </row>
    <row r="159" spans="18:35" x14ac:dyDescent="0.3">
      <c r="R159" s="85"/>
      <c r="S159" s="85"/>
      <c r="T159" s="85"/>
      <c r="W159" s="85"/>
      <c r="X159" s="85"/>
      <c r="Y159" s="85"/>
      <c r="AB159" s="85"/>
      <c r="AC159" s="85"/>
      <c r="AD159" s="85"/>
      <c r="AG159" s="85"/>
      <c r="AH159" s="85"/>
      <c r="AI159" s="85"/>
    </row>
    <row r="160" spans="18:35" x14ac:dyDescent="0.3">
      <c r="R160" s="85"/>
      <c r="S160" s="85"/>
      <c r="T160" s="85"/>
      <c r="W160" s="85"/>
      <c r="X160" s="85"/>
      <c r="Y160" s="85"/>
      <c r="AB160" s="85"/>
      <c r="AC160" s="85"/>
      <c r="AD160" s="85"/>
      <c r="AG160" s="85"/>
      <c r="AH160" s="85"/>
      <c r="AI160" s="85"/>
    </row>
    <row r="161" spans="18:35" x14ac:dyDescent="0.3">
      <c r="R161" s="85"/>
      <c r="S161" s="85"/>
      <c r="T161" s="85"/>
      <c r="W161" s="85"/>
      <c r="X161" s="85"/>
      <c r="Y161" s="85"/>
      <c r="AB161" s="85"/>
      <c r="AC161" s="85"/>
      <c r="AD161" s="85"/>
      <c r="AG161" s="85"/>
      <c r="AH161" s="85"/>
      <c r="AI161" s="85"/>
    </row>
    <row r="162" spans="18:35" x14ac:dyDescent="0.3">
      <c r="R162" s="85"/>
      <c r="S162" s="85"/>
      <c r="T162" s="85"/>
      <c r="W162" s="85"/>
      <c r="X162" s="85"/>
      <c r="Y162" s="85"/>
      <c r="AB162" s="85"/>
      <c r="AC162" s="85"/>
      <c r="AD162" s="85"/>
      <c r="AG162" s="85"/>
      <c r="AH162" s="85"/>
      <c r="AI162" s="85"/>
    </row>
    <row r="163" spans="18:35" x14ac:dyDescent="0.3">
      <c r="R163" s="85"/>
      <c r="S163" s="85"/>
      <c r="T163" s="85"/>
      <c r="W163" s="85"/>
      <c r="X163" s="85"/>
      <c r="Y163" s="85"/>
      <c r="AB163" s="85"/>
      <c r="AC163" s="85"/>
      <c r="AD163" s="85"/>
      <c r="AG163" s="85"/>
      <c r="AH163" s="85"/>
      <c r="AI163" s="85"/>
    </row>
    <row r="164" spans="18:35" x14ac:dyDescent="0.3">
      <c r="R164" s="85"/>
      <c r="S164" s="85"/>
      <c r="T164" s="85"/>
      <c r="W164" s="85"/>
      <c r="X164" s="85"/>
      <c r="Y164" s="85"/>
      <c r="AB164" s="85"/>
      <c r="AC164" s="85"/>
      <c r="AD164" s="85"/>
      <c r="AG164" s="85"/>
      <c r="AH164" s="85"/>
      <c r="AI164" s="85"/>
    </row>
    <row r="165" spans="18:35" x14ac:dyDescent="0.3">
      <c r="R165" s="85"/>
      <c r="S165" s="85"/>
      <c r="T165" s="85"/>
      <c r="W165" s="85"/>
      <c r="X165" s="85"/>
      <c r="Y165" s="85"/>
      <c r="AB165" s="85"/>
      <c r="AC165" s="85"/>
      <c r="AD165" s="85"/>
      <c r="AG165" s="85"/>
      <c r="AH165" s="85"/>
      <c r="AI165" s="85"/>
    </row>
    <row r="166" spans="18:35" x14ac:dyDescent="0.3">
      <c r="R166" s="85"/>
      <c r="S166" s="85"/>
      <c r="T166" s="85"/>
      <c r="W166" s="85"/>
      <c r="X166" s="85"/>
      <c r="Y166" s="85"/>
      <c r="AB166" s="85"/>
      <c r="AC166" s="85"/>
      <c r="AD166" s="85"/>
      <c r="AG166" s="85"/>
      <c r="AH166" s="85"/>
      <c r="AI166" s="85"/>
    </row>
    <row r="167" spans="18:35" x14ac:dyDescent="0.3">
      <c r="R167" s="85"/>
      <c r="S167" s="85"/>
      <c r="T167" s="85"/>
      <c r="W167" s="85"/>
      <c r="X167" s="85"/>
      <c r="Y167" s="85"/>
      <c r="AB167" s="85"/>
      <c r="AC167" s="85"/>
      <c r="AD167" s="85"/>
      <c r="AG167" s="85"/>
      <c r="AH167" s="85"/>
      <c r="AI167" s="85"/>
    </row>
    <row r="168" spans="18:35" x14ac:dyDescent="0.3">
      <c r="R168" s="85"/>
      <c r="S168" s="85"/>
      <c r="T168" s="85"/>
      <c r="W168" s="85"/>
      <c r="X168" s="85"/>
      <c r="Y168" s="85"/>
      <c r="AB168" s="85"/>
      <c r="AC168" s="85"/>
      <c r="AD168" s="85"/>
      <c r="AG168" s="85"/>
      <c r="AH168" s="85"/>
      <c r="AI168" s="85"/>
    </row>
    <row r="169" spans="18:35" x14ac:dyDescent="0.3">
      <c r="R169" s="85"/>
      <c r="S169" s="85"/>
      <c r="T169" s="85"/>
      <c r="W169" s="85"/>
      <c r="X169" s="85"/>
      <c r="Y169" s="85"/>
      <c r="AB169" s="85"/>
      <c r="AC169" s="85"/>
      <c r="AD169" s="85"/>
      <c r="AG169" s="85"/>
      <c r="AH169" s="85"/>
      <c r="AI169" s="85"/>
    </row>
    <row r="170" spans="18:35" x14ac:dyDescent="0.3">
      <c r="R170" s="85"/>
      <c r="S170" s="85"/>
      <c r="T170" s="85"/>
      <c r="W170" s="85"/>
      <c r="X170" s="85"/>
      <c r="Y170" s="85"/>
      <c r="AB170" s="85"/>
      <c r="AC170" s="85"/>
      <c r="AD170" s="85"/>
      <c r="AG170" s="85"/>
      <c r="AH170" s="85"/>
      <c r="AI170" s="85"/>
    </row>
    <row r="171" spans="18:35" x14ac:dyDescent="0.3">
      <c r="R171" s="85"/>
      <c r="S171" s="85"/>
      <c r="T171" s="85"/>
      <c r="W171" s="85"/>
      <c r="X171" s="85"/>
      <c r="Y171" s="85"/>
      <c r="AB171" s="85"/>
      <c r="AC171" s="85"/>
      <c r="AD171" s="85"/>
      <c r="AG171" s="85"/>
      <c r="AH171" s="85"/>
      <c r="AI171" s="85"/>
    </row>
    <row r="172" spans="18:35" x14ac:dyDescent="0.3">
      <c r="R172" s="85"/>
      <c r="S172" s="85"/>
      <c r="T172" s="85"/>
      <c r="W172" s="85"/>
      <c r="X172" s="85"/>
      <c r="Y172" s="85"/>
      <c r="AB172" s="85"/>
      <c r="AC172" s="85"/>
      <c r="AD172" s="85"/>
      <c r="AG172" s="85"/>
      <c r="AH172" s="85"/>
      <c r="AI172" s="85"/>
    </row>
    <row r="173" spans="18:35" x14ac:dyDescent="0.3">
      <c r="R173" s="85"/>
      <c r="S173" s="85"/>
      <c r="T173" s="85"/>
      <c r="W173" s="85"/>
      <c r="X173" s="85"/>
      <c r="Y173" s="85"/>
      <c r="AB173" s="85"/>
      <c r="AC173" s="85"/>
      <c r="AD173" s="85"/>
      <c r="AG173" s="85"/>
      <c r="AH173" s="85"/>
      <c r="AI173" s="85"/>
    </row>
    <row r="174" spans="18:35" x14ac:dyDescent="0.3">
      <c r="R174" s="85"/>
      <c r="S174" s="85"/>
      <c r="T174" s="85"/>
      <c r="W174" s="85"/>
      <c r="X174" s="85"/>
      <c r="Y174" s="85"/>
      <c r="AB174" s="85"/>
      <c r="AC174" s="85"/>
      <c r="AD174" s="85"/>
      <c r="AG174" s="85"/>
      <c r="AH174" s="85"/>
      <c r="AI174" s="85"/>
    </row>
    <row r="175" spans="18:35" x14ac:dyDescent="0.3">
      <c r="R175" s="85"/>
      <c r="S175" s="85"/>
      <c r="T175" s="85"/>
      <c r="W175" s="85"/>
      <c r="X175" s="85"/>
      <c r="Y175" s="85"/>
      <c r="AB175" s="85"/>
      <c r="AC175" s="85"/>
      <c r="AD175" s="85"/>
      <c r="AG175" s="85"/>
      <c r="AH175" s="85"/>
      <c r="AI175" s="85"/>
    </row>
    <row r="176" spans="18:35" x14ac:dyDescent="0.3">
      <c r="R176" s="85"/>
      <c r="S176" s="85"/>
      <c r="T176" s="85"/>
      <c r="W176" s="85"/>
      <c r="X176" s="85"/>
      <c r="Y176" s="85"/>
      <c r="AB176" s="85"/>
      <c r="AC176" s="85"/>
      <c r="AD176" s="85"/>
      <c r="AG176" s="85"/>
      <c r="AH176" s="85"/>
      <c r="AI176" s="85"/>
    </row>
    <row r="177" spans="18:35" x14ac:dyDescent="0.3">
      <c r="R177" s="85"/>
      <c r="S177" s="85"/>
      <c r="T177" s="85"/>
      <c r="W177" s="85"/>
      <c r="X177" s="85"/>
      <c r="Y177" s="85"/>
      <c r="AB177" s="85"/>
      <c r="AC177" s="85"/>
      <c r="AD177" s="85"/>
      <c r="AG177" s="85"/>
      <c r="AH177" s="85"/>
      <c r="AI177" s="85"/>
    </row>
    <row r="178" spans="18:35" x14ac:dyDescent="0.3">
      <c r="R178" s="85"/>
      <c r="S178" s="85"/>
      <c r="T178" s="85"/>
      <c r="W178" s="85"/>
      <c r="X178" s="85"/>
      <c r="Y178" s="85"/>
      <c r="AB178" s="85"/>
      <c r="AC178" s="85"/>
      <c r="AD178" s="85"/>
      <c r="AG178" s="85"/>
      <c r="AH178" s="85"/>
      <c r="AI178" s="85"/>
    </row>
    <row r="179" spans="18:35" x14ac:dyDescent="0.3">
      <c r="R179" s="85"/>
      <c r="S179" s="85"/>
      <c r="T179" s="85"/>
      <c r="W179" s="85"/>
      <c r="X179" s="85"/>
      <c r="Y179" s="85"/>
      <c r="AB179" s="85"/>
      <c r="AC179" s="85"/>
      <c r="AD179" s="85"/>
      <c r="AG179" s="85"/>
      <c r="AH179" s="85"/>
      <c r="AI179" s="85"/>
    </row>
    <row r="180" spans="18:35" x14ac:dyDescent="0.3">
      <c r="R180" s="85"/>
      <c r="S180" s="85"/>
      <c r="T180" s="85"/>
      <c r="W180" s="85"/>
      <c r="X180" s="85"/>
      <c r="Y180" s="85"/>
      <c r="AB180" s="85"/>
      <c r="AC180" s="85"/>
      <c r="AD180" s="85"/>
      <c r="AG180" s="85"/>
      <c r="AH180" s="85"/>
      <c r="AI180" s="85"/>
    </row>
    <row r="181" spans="18:35" x14ac:dyDescent="0.3">
      <c r="R181" s="85"/>
      <c r="S181" s="85"/>
      <c r="T181" s="85"/>
      <c r="W181" s="85"/>
      <c r="X181" s="85"/>
      <c r="Y181" s="85"/>
      <c r="AB181" s="85"/>
      <c r="AC181" s="85"/>
      <c r="AD181" s="85"/>
      <c r="AG181" s="85"/>
      <c r="AH181" s="85"/>
      <c r="AI181" s="85"/>
    </row>
    <row r="182" spans="18:35" x14ac:dyDescent="0.3">
      <c r="R182" s="85"/>
      <c r="S182" s="85"/>
      <c r="T182" s="85"/>
      <c r="W182" s="85"/>
      <c r="X182" s="85"/>
      <c r="Y182" s="85"/>
      <c r="AB182" s="85"/>
      <c r="AC182" s="85"/>
      <c r="AD182" s="85"/>
      <c r="AG182" s="85"/>
      <c r="AH182" s="85"/>
      <c r="AI182" s="85"/>
    </row>
    <row r="183" spans="18:35" x14ac:dyDescent="0.3">
      <c r="R183" s="85"/>
      <c r="S183" s="85"/>
      <c r="T183" s="85"/>
      <c r="W183" s="85"/>
      <c r="X183" s="85"/>
      <c r="Y183" s="85"/>
      <c r="AB183" s="85"/>
      <c r="AC183" s="85"/>
      <c r="AD183" s="85"/>
      <c r="AG183" s="85"/>
      <c r="AH183" s="85"/>
      <c r="AI183" s="85"/>
    </row>
    <row r="184" spans="18:35" x14ac:dyDescent="0.3">
      <c r="R184" s="85"/>
      <c r="S184" s="85"/>
      <c r="T184" s="85"/>
      <c r="W184" s="85"/>
      <c r="X184" s="85"/>
      <c r="Y184" s="85"/>
      <c r="AB184" s="85"/>
      <c r="AC184" s="85"/>
      <c r="AD184" s="85"/>
      <c r="AG184" s="85"/>
      <c r="AH184" s="85"/>
      <c r="AI184" s="85"/>
    </row>
    <row r="185" spans="18:35" x14ac:dyDescent="0.3">
      <c r="R185" s="85"/>
      <c r="S185" s="85"/>
      <c r="T185" s="85"/>
      <c r="W185" s="85"/>
      <c r="X185" s="85"/>
      <c r="Y185" s="85"/>
      <c r="AB185" s="85"/>
      <c r="AC185" s="85"/>
      <c r="AD185" s="85"/>
      <c r="AG185" s="85"/>
      <c r="AH185" s="85"/>
      <c r="AI185" s="85"/>
    </row>
    <row r="186" spans="18:35" x14ac:dyDescent="0.3">
      <c r="R186" s="85"/>
      <c r="S186" s="85"/>
      <c r="T186" s="85"/>
      <c r="W186" s="85"/>
      <c r="X186" s="85"/>
      <c r="Y186" s="85"/>
      <c r="AB186" s="85"/>
      <c r="AC186" s="85"/>
      <c r="AD186" s="85"/>
      <c r="AG186" s="85"/>
      <c r="AH186" s="85"/>
      <c r="AI186" s="85"/>
    </row>
    <row r="187" spans="18:35" x14ac:dyDescent="0.3">
      <c r="R187" s="85"/>
      <c r="S187" s="85"/>
      <c r="T187" s="85"/>
      <c r="W187" s="85"/>
      <c r="X187" s="85"/>
      <c r="Y187" s="85"/>
      <c r="AB187" s="85"/>
      <c r="AC187" s="85"/>
      <c r="AD187" s="85"/>
      <c r="AG187" s="85"/>
      <c r="AH187" s="85"/>
      <c r="AI187" s="85"/>
    </row>
    <row r="188" spans="18:35" x14ac:dyDescent="0.3">
      <c r="R188" s="85"/>
      <c r="S188" s="85"/>
      <c r="T188" s="85"/>
      <c r="W188" s="85"/>
      <c r="X188" s="85"/>
      <c r="Y188" s="85"/>
      <c r="AB188" s="85"/>
      <c r="AC188" s="85"/>
      <c r="AD188" s="85"/>
      <c r="AG188" s="85"/>
      <c r="AH188" s="85"/>
      <c r="AI188" s="85"/>
    </row>
    <row r="189" spans="18:35" x14ac:dyDescent="0.3">
      <c r="R189" s="85"/>
      <c r="S189" s="85"/>
      <c r="T189" s="85"/>
      <c r="W189" s="85"/>
      <c r="X189" s="85"/>
      <c r="Y189" s="85"/>
      <c r="AB189" s="85"/>
      <c r="AC189" s="85"/>
      <c r="AD189" s="85"/>
      <c r="AG189" s="85"/>
      <c r="AH189" s="85"/>
      <c r="AI189" s="85"/>
    </row>
    <row r="190" spans="18:35" x14ac:dyDescent="0.3">
      <c r="R190" s="85"/>
      <c r="S190" s="85"/>
      <c r="T190" s="85"/>
      <c r="W190" s="85"/>
      <c r="X190" s="85"/>
      <c r="Y190" s="85"/>
      <c r="AB190" s="85"/>
      <c r="AC190" s="85"/>
      <c r="AD190" s="85"/>
      <c r="AG190" s="85"/>
      <c r="AH190" s="85"/>
      <c r="AI190" s="85"/>
    </row>
    <row r="191" spans="18:35" x14ac:dyDescent="0.3">
      <c r="R191" s="85"/>
      <c r="S191" s="85"/>
      <c r="T191" s="85"/>
      <c r="W191" s="85"/>
      <c r="X191" s="85"/>
      <c r="Y191" s="85"/>
      <c r="AB191" s="85"/>
      <c r="AC191" s="85"/>
      <c r="AD191" s="85"/>
      <c r="AG191" s="85"/>
      <c r="AH191" s="85"/>
      <c r="AI191" s="85"/>
    </row>
    <row r="192" spans="18:35" x14ac:dyDescent="0.3">
      <c r="R192" s="85"/>
      <c r="S192" s="85"/>
      <c r="T192" s="85"/>
      <c r="W192" s="85"/>
      <c r="X192" s="85"/>
      <c r="Y192" s="85"/>
      <c r="AB192" s="85"/>
      <c r="AC192" s="85"/>
      <c r="AD192" s="85"/>
      <c r="AG192" s="85"/>
      <c r="AH192" s="85"/>
      <c r="AI192" s="85"/>
    </row>
    <row r="193" spans="18:35" x14ac:dyDescent="0.3">
      <c r="R193" s="85"/>
      <c r="S193" s="85"/>
      <c r="T193" s="85"/>
      <c r="W193" s="85"/>
      <c r="X193" s="85"/>
      <c r="Y193" s="85"/>
      <c r="AB193" s="85"/>
      <c r="AC193" s="85"/>
      <c r="AD193" s="85"/>
      <c r="AG193" s="85"/>
      <c r="AH193" s="85"/>
      <c r="AI193" s="85"/>
    </row>
    <row r="194" spans="18:35" x14ac:dyDescent="0.3">
      <c r="R194" s="85"/>
      <c r="S194" s="85"/>
      <c r="T194" s="85"/>
      <c r="W194" s="85"/>
      <c r="X194" s="85"/>
      <c r="Y194" s="85"/>
      <c r="AB194" s="85"/>
      <c r="AC194" s="85"/>
      <c r="AD194" s="85"/>
      <c r="AG194" s="85"/>
      <c r="AH194" s="85"/>
      <c r="AI194" s="85"/>
    </row>
    <row r="195" spans="18:35" x14ac:dyDescent="0.3">
      <c r="R195" s="85"/>
      <c r="S195" s="85"/>
      <c r="T195" s="85"/>
      <c r="W195" s="85"/>
      <c r="X195" s="85"/>
      <c r="Y195" s="85"/>
      <c r="AB195" s="85"/>
      <c r="AC195" s="85"/>
      <c r="AD195" s="85"/>
      <c r="AG195" s="85"/>
      <c r="AH195" s="85"/>
      <c r="AI195" s="85"/>
    </row>
    <row r="196" spans="18:35" x14ac:dyDescent="0.3">
      <c r="R196" s="85"/>
      <c r="S196" s="85"/>
      <c r="T196" s="85"/>
      <c r="W196" s="85"/>
      <c r="X196" s="85"/>
      <c r="Y196" s="85"/>
      <c r="AB196" s="85"/>
      <c r="AC196" s="85"/>
      <c r="AD196" s="85"/>
      <c r="AG196" s="85"/>
      <c r="AH196" s="85"/>
      <c r="AI196" s="85"/>
    </row>
    <row r="197" spans="18:35" x14ac:dyDescent="0.3">
      <c r="R197" s="85"/>
      <c r="S197" s="85"/>
      <c r="T197" s="85"/>
      <c r="W197" s="85"/>
      <c r="X197" s="85"/>
      <c r="Y197" s="85"/>
      <c r="AB197" s="85"/>
      <c r="AC197" s="85"/>
      <c r="AD197" s="85"/>
      <c r="AG197" s="85"/>
      <c r="AH197" s="85"/>
      <c r="AI197" s="85"/>
    </row>
    <row r="198" spans="18:35" x14ac:dyDescent="0.3">
      <c r="R198" s="85"/>
      <c r="S198" s="85"/>
      <c r="T198" s="85"/>
      <c r="W198" s="85"/>
      <c r="X198" s="85"/>
      <c r="Y198" s="85"/>
      <c r="AB198" s="85"/>
      <c r="AC198" s="85"/>
      <c r="AD198" s="85"/>
      <c r="AG198" s="85"/>
      <c r="AH198" s="85"/>
      <c r="AI198" s="85"/>
    </row>
    <row r="199" spans="18:35" x14ac:dyDescent="0.3">
      <c r="R199" s="85"/>
      <c r="S199" s="85"/>
      <c r="T199" s="85"/>
      <c r="W199" s="85"/>
      <c r="X199" s="85"/>
      <c r="Y199" s="85"/>
      <c r="AB199" s="85"/>
      <c r="AC199" s="85"/>
      <c r="AD199" s="85"/>
      <c r="AG199" s="85"/>
      <c r="AH199" s="85"/>
      <c r="AI199" s="85"/>
    </row>
    <row r="200" spans="18:35" x14ac:dyDescent="0.3">
      <c r="R200" s="85"/>
      <c r="S200" s="85"/>
      <c r="T200" s="85"/>
      <c r="W200" s="85"/>
      <c r="X200" s="85"/>
      <c r="Y200" s="85"/>
      <c r="AB200" s="85"/>
      <c r="AC200" s="85"/>
      <c r="AD200" s="85"/>
      <c r="AG200" s="85"/>
      <c r="AH200" s="85"/>
      <c r="AI200" s="85"/>
    </row>
    <row r="201" spans="18:35" x14ac:dyDescent="0.3">
      <c r="R201" s="85"/>
      <c r="S201" s="85"/>
      <c r="T201" s="85"/>
      <c r="W201" s="85"/>
      <c r="X201" s="85"/>
      <c r="Y201" s="85"/>
      <c r="AB201" s="85"/>
      <c r="AC201" s="85"/>
      <c r="AD201" s="85"/>
      <c r="AG201" s="85"/>
      <c r="AH201" s="85"/>
      <c r="AI201" s="85"/>
    </row>
    <row r="202" spans="18:35" x14ac:dyDescent="0.3">
      <c r="R202" s="85"/>
      <c r="S202" s="85"/>
      <c r="T202" s="85"/>
      <c r="W202" s="85"/>
      <c r="X202" s="85"/>
      <c r="Y202" s="85"/>
      <c r="AB202" s="85"/>
      <c r="AC202" s="85"/>
      <c r="AD202" s="85"/>
      <c r="AG202" s="85"/>
      <c r="AH202" s="85"/>
      <c r="AI202" s="85"/>
    </row>
    <row r="203" spans="18:35" x14ac:dyDescent="0.3">
      <c r="R203" s="85"/>
      <c r="S203" s="85"/>
      <c r="T203" s="85"/>
      <c r="W203" s="85"/>
      <c r="X203" s="85"/>
      <c r="Y203" s="85"/>
      <c r="AB203" s="85"/>
      <c r="AC203" s="85"/>
      <c r="AD203" s="85"/>
      <c r="AG203" s="85"/>
      <c r="AH203" s="85"/>
      <c r="AI203" s="85"/>
    </row>
    <row r="204" spans="18:35" x14ac:dyDescent="0.3">
      <c r="R204" s="85"/>
      <c r="S204" s="85"/>
      <c r="T204" s="85"/>
      <c r="W204" s="85"/>
      <c r="X204" s="85"/>
      <c r="Y204" s="85"/>
      <c r="AB204" s="85"/>
      <c r="AC204" s="85"/>
      <c r="AD204" s="85"/>
      <c r="AG204" s="85"/>
      <c r="AH204" s="85"/>
      <c r="AI204" s="85"/>
    </row>
    <row r="205" spans="18:35" x14ac:dyDescent="0.3">
      <c r="R205" s="85"/>
      <c r="S205" s="85"/>
      <c r="T205" s="85"/>
      <c r="W205" s="85"/>
      <c r="X205" s="85"/>
      <c r="Y205" s="85"/>
      <c r="AB205" s="85"/>
      <c r="AC205" s="85"/>
      <c r="AD205" s="85"/>
      <c r="AG205" s="85"/>
      <c r="AH205" s="85"/>
      <c r="AI205" s="85"/>
    </row>
    <row r="206" spans="18:35" x14ac:dyDescent="0.3">
      <c r="R206" s="85"/>
      <c r="S206" s="85"/>
      <c r="T206" s="85"/>
      <c r="W206" s="85"/>
      <c r="X206" s="85"/>
      <c r="Y206" s="85"/>
      <c r="AB206" s="85"/>
      <c r="AC206" s="85"/>
      <c r="AD206" s="85"/>
      <c r="AG206" s="85"/>
      <c r="AH206" s="85"/>
      <c r="AI206" s="85"/>
    </row>
    <row r="207" spans="18:35" x14ac:dyDescent="0.3">
      <c r="R207" s="85"/>
      <c r="S207" s="85"/>
      <c r="T207" s="85"/>
      <c r="W207" s="85"/>
      <c r="X207" s="85"/>
      <c r="Y207" s="85"/>
      <c r="AB207" s="85"/>
      <c r="AC207" s="85"/>
      <c r="AD207" s="85"/>
      <c r="AG207" s="85"/>
      <c r="AH207" s="85"/>
      <c r="AI207" s="85"/>
    </row>
    <row r="208" spans="18:35" x14ac:dyDescent="0.3">
      <c r="R208" s="85"/>
      <c r="S208" s="85"/>
      <c r="T208" s="85"/>
      <c r="W208" s="85"/>
      <c r="X208" s="85"/>
      <c r="Y208" s="85"/>
      <c r="AB208" s="85"/>
      <c r="AC208" s="85"/>
      <c r="AD208" s="85"/>
      <c r="AG208" s="85"/>
      <c r="AH208" s="85"/>
      <c r="AI208" s="85"/>
    </row>
    <row r="209" spans="18:35" x14ac:dyDescent="0.3">
      <c r="R209" s="85"/>
      <c r="S209" s="85"/>
      <c r="T209" s="85"/>
      <c r="W209" s="85"/>
      <c r="X209" s="85"/>
      <c r="Y209" s="85"/>
      <c r="AB209" s="85"/>
      <c r="AC209" s="85"/>
      <c r="AD209" s="85"/>
      <c r="AG209" s="85"/>
      <c r="AH209" s="85"/>
      <c r="AI209" s="85"/>
    </row>
    <row r="210" spans="18:35" x14ac:dyDescent="0.3">
      <c r="R210" s="85"/>
      <c r="S210" s="85"/>
      <c r="T210" s="85"/>
      <c r="W210" s="85"/>
      <c r="X210" s="85"/>
      <c r="Y210" s="85"/>
      <c r="AB210" s="85"/>
      <c r="AC210" s="85"/>
      <c r="AD210" s="85"/>
      <c r="AG210" s="85"/>
      <c r="AH210" s="85"/>
      <c r="AI210" s="85"/>
    </row>
    <row r="211" spans="18:35" x14ac:dyDescent="0.3">
      <c r="R211" s="85"/>
      <c r="S211" s="85"/>
      <c r="T211" s="85"/>
      <c r="W211" s="85"/>
      <c r="X211" s="85"/>
      <c r="Y211" s="85"/>
      <c r="AB211" s="85"/>
      <c r="AC211" s="85"/>
      <c r="AD211" s="85"/>
      <c r="AG211" s="85"/>
      <c r="AH211" s="85"/>
      <c r="AI211" s="85"/>
    </row>
    <row r="212" spans="18:35" x14ac:dyDescent="0.3">
      <c r="R212" s="85"/>
      <c r="S212" s="85"/>
      <c r="T212" s="85"/>
      <c r="W212" s="85"/>
      <c r="X212" s="85"/>
      <c r="Y212" s="85"/>
      <c r="AB212" s="85"/>
      <c r="AC212" s="85"/>
      <c r="AD212" s="85"/>
      <c r="AG212" s="85"/>
      <c r="AH212" s="85"/>
      <c r="AI212" s="85"/>
    </row>
    <row r="213" spans="18:35" x14ac:dyDescent="0.3">
      <c r="R213" s="85"/>
      <c r="S213" s="85"/>
      <c r="T213" s="85"/>
      <c r="W213" s="85"/>
      <c r="X213" s="85"/>
      <c r="Y213" s="85"/>
      <c r="AB213" s="85"/>
      <c r="AC213" s="85"/>
      <c r="AD213" s="85"/>
      <c r="AG213" s="85"/>
      <c r="AH213" s="85"/>
      <c r="AI213" s="85"/>
    </row>
    <row r="214" spans="18:35" x14ac:dyDescent="0.3">
      <c r="R214" s="85"/>
      <c r="S214" s="85"/>
      <c r="T214" s="85"/>
      <c r="W214" s="85"/>
      <c r="X214" s="85"/>
      <c r="Y214" s="85"/>
      <c r="AB214" s="85"/>
      <c r="AC214" s="85"/>
      <c r="AD214" s="85"/>
      <c r="AG214" s="85"/>
      <c r="AH214" s="85"/>
      <c r="AI214" s="85"/>
    </row>
    <row r="215" spans="18:35" x14ac:dyDescent="0.3">
      <c r="R215" s="85"/>
      <c r="S215" s="85"/>
      <c r="T215" s="85"/>
      <c r="W215" s="85"/>
      <c r="X215" s="85"/>
      <c r="Y215" s="85"/>
      <c r="AB215" s="85"/>
      <c r="AC215" s="85"/>
      <c r="AD215" s="85"/>
      <c r="AG215" s="85"/>
      <c r="AH215" s="85"/>
      <c r="AI215" s="85"/>
    </row>
    <row r="216" spans="18:35" x14ac:dyDescent="0.3">
      <c r="R216" s="85"/>
      <c r="S216" s="85"/>
      <c r="T216" s="85"/>
      <c r="W216" s="85"/>
      <c r="X216" s="85"/>
      <c r="Y216" s="85"/>
      <c r="AB216" s="85"/>
      <c r="AC216" s="85"/>
      <c r="AD216" s="85"/>
      <c r="AG216" s="85"/>
      <c r="AH216" s="85"/>
      <c r="AI216" s="85"/>
    </row>
    <row r="217" spans="18:35" x14ac:dyDescent="0.3">
      <c r="R217" s="85"/>
      <c r="S217" s="85"/>
      <c r="T217" s="85"/>
      <c r="W217" s="85"/>
      <c r="X217" s="85"/>
      <c r="Y217" s="85"/>
      <c r="AB217" s="85"/>
      <c r="AC217" s="85"/>
      <c r="AD217" s="85"/>
      <c r="AG217" s="85"/>
      <c r="AH217" s="85"/>
      <c r="AI217" s="85"/>
    </row>
    <row r="218" spans="18:35" x14ac:dyDescent="0.3">
      <c r="R218" s="85"/>
      <c r="S218" s="85"/>
      <c r="T218" s="85"/>
      <c r="W218" s="85"/>
      <c r="X218" s="85"/>
      <c r="Y218" s="85"/>
      <c r="AB218" s="85"/>
      <c r="AC218" s="85"/>
      <c r="AD218" s="85"/>
      <c r="AG218" s="85"/>
      <c r="AH218" s="85"/>
      <c r="AI218" s="85"/>
    </row>
    <row r="219" spans="18:35" x14ac:dyDescent="0.3">
      <c r="R219" s="85"/>
      <c r="S219" s="85"/>
      <c r="T219" s="85"/>
      <c r="W219" s="85"/>
      <c r="X219" s="85"/>
      <c r="Y219" s="85"/>
      <c r="AB219" s="85"/>
      <c r="AC219" s="85"/>
      <c r="AD219" s="85"/>
      <c r="AG219" s="85"/>
      <c r="AH219" s="85"/>
      <c r="AI219" s="85"/>
    </row>
    <row r="220" spans="18:35" x14ac:dyDescent="0.3">
      <c r="R220" s="85"/>
      <c r="S220" s="85"/>
      <c r="T220" s="85"/>
      <c r="W220" s="85"/>
      <c r="X220" s="85"/>
      <c r="Y220" s="85"/>
      <c r="AB220" s="85"/>
      <c r="AC220" s="85"/>
      <c r="AD220" s="85"/>
      <c r="AG220" s="85"/>
      <c r="AH220" s="85"/>
      <c r="AI220" s="85"/>
    </row>
    <row r="221" spans="18:35" x14ac:dyDescent="0.3">
      <c r="R221" s="85"/>
      <c r="S221" s="85"/>
      <c r="T221" s="85"/>
      <c r="W221" s="85"/>
      <c r="X221" s="85"/>
      <c r="Y221" s="85"/>
      <c r="AB221" s="85"/>
      <c r="AC221" s="85"/>
      <c r="AD221" s="85"/>
      <c r="AG221" s="85"/>
      <c r="AH221" s="85"/>
      <c r="AI221" s="85"/>
    </row>
    <row r="222" spans="18:35" x14ac:dyDescent="0.3">
      <c r="R222" s="85"/>
      <c r="S222" s="85"/>
      <c r="T222" s="85"/>
      <c r="W222" s="85"/>
      <c r="X222" s="85"/>
      <c r="Y222" s="85"/>
      <c r="AB222" s="85"/>
      <c r="AC222" s="85"/>
      <c r="AD222" s="85"/>
      <c r="AG222" s="85"/>
      <c r="AH222" s="85"/>
      <c r="AI222" s="85"/>
    </row>
    <row r="223" spans="18:35" x14ac:dyDescent="0.3">
      <c r="R223" s="85"/>
      <c r="S223" s="85"/>
      <c r="T223" s="85"/>
      <c r="W223" s="85"/>
      <c r="X223" s="85"/>
      <c r="Y223" s="85"/>
      <c r="AB223" s="85"/>
      <c r="AC223" s="85"/>
      <c r="AD223" s="85"/>
      <c r="AG223" s="85"/>
      <c r="AH223" s="85"/>
      <c r="AI223" s="85"/>
    </row>
    <row r="224" spans="18:35" x14ac:dyDescent="0.3">
      <c r="R224" s="85"/>
      <c r="S224" s="85"/>
      <c r="T224" s="85"/>
      <c r="W224" s="85"/>
      <c r="X224" s="85"/>
      <c r="Y224" s="85"/>
      <c r="AB224" s="85"/>
      <c r="AC224" s="85"/>
      <c r="AD224" s="85"/>
      <c r="AG224" s="85"/>
      <c r="AH224" s="85"/>
      <c r="AI224" s="85"/>
    </row>
    <row r="225" spans="18:35" x14ac:dyDescent="0.3">
      <c r="R225" s="85"/>
      <c r="S225" s="85"/>
      <c r="T225" s="85"/>
      <c r="W225" s="85"/>
      <c r="X225" s="85"/>
      <c r="Y225" s="85"/>
      <c r="AB225" s="85"/>
      <c r="AC225" s="85"/>
      <c r="AD225" s="85"/>
      <c r="AG225" s="85"/>
      <c r="AH225" s="85"/>
      <c r="AI225" s="85"/>
    </row>
    <row r="226" spans="18:35" x14ac:dyDescent="0.3">
      <c r="R226" s="85"/>
      <c r="S226" s="85"/>
      <c r="T226" s="85"/>
      <c r="W226" s="85"/>
      <c r="X226" s="85"/>
      <c r="Y226" s="85"/>
      <c r="AB226" s="85"/>
      <c r="AC226" s="85"/>
      <c r="AD226" s="85"/>
      <c r="AG226" s="85"/>
      <c r="AH226" s="85"/>
      <c r="AI226" s="85"/>
    </row>
    <row r="227" spans="18:35" x14ac:dyDescent="0.3">
      <c r="R227" s="85"/>
      <c r="S227" s="85"/>
      <c r="T227" s="85"/>
      <c r="W227" s="85"/>
      <c r="X227" s="85"/>
      <c r="Y227" s="85"/>
      <c r="AB227" s="85"/>
      <c r="AC227" s="85"/>
      <c r="AD227" s="85"/>
      <c r="AG227" s="85"/>
      <c r="AH227" s="85"/>
      <c r="AI227" s="85"/>
    </row>
    <row r="228" spans="18:35" x14ac:dyDescent="0.3">
      <c r="R228" s="85"/>
      <c r="S228" s="85"/>
      <c r="T228" s="85"/>
      <c r="W228" s="85"/>
      <c r="X228" s="85"/>
      <c r="Y228" s="85"/>
      <c r="AB228" s="85"/>
      <c r="AC228" s="85"/>
      <c r="AD228" s="85"/>
      <c r="AG228" s="85"/>
      <c r="AH228" s="85"/>
      <c r="AI228" s="85"/>
    </row>
    <row r="229" spans="18:35" x14ac:dyDescent="0.3">
      <c r="R229" s="85"/>
      <c r="S229" s="85"/>
      <c r="T229" s="85"/>
      <c r="W229" s="85"/>
      <c r="X229" s="85"/>
      <c r="Y229" s="85"/>
      <c r="AB229" s="85"/>
      <c r="AC229" s="85"/>
      <c r="AD229" s="85"/>
      <c r="AG229" s="85"/>
      <c r="AH229" s="85"/>
      <c r="AI229" s="85"/>
    </row>
    <row r="230" spans="18:35" x14ac:dyDescent="0.3">
      <c r="R230" s="85"/>
      <c r="S230" s="85"/>
      <c r="T230" s="85"/>
      <c r="W230" s="85"/>
      <c r="X230" s="85"/>
      <c r="Y230" s="85"/>
      <c r="AB230" s="85"/>
      <c r="AC230" s="85"/>
      <c r="AD230" s="85"/>
      <c r="AG230" s="85"/>
      <c r="AH230" s="85"/>
      <c r="AI230" s="85"/>
    </row>
    <row r="231" spans="18:35" x14ac:dyDescent="0.3">
      <c r="R231" s="85"/>
      <c r="S231" s="85"/>
      <c r="T231" s="85"/>
      <c r="W231" s="85"/>
      <c r="X231" s="85"/>
      <c r="Y231" s="85"/>
      <c r="AB231" s="85"/>
      <c r="AC231" s="85"/>
      <c r="AD231" s="85"/>
      <c r="AG231" s="85"/>
      <c r="AH231" s="85"/>
      <c r="AI231" s="85"/>
    </row>
    <row r="232" spans="18:35" x14ac:dyDescent="0.3">
      <c r="R232" s="85"/>
      <c r="S232" s="85"/>
      <c r="T232" s="85"/>
      <c r="W232" s="85"/>
      <c r="X232" s="85"/>
      <c r="Y232" s="85"/>
      <c r="AB232" s="85"/>
      <c r="AC232" s="85"/>
      <c r="AD232" s="85"/>
      <c r="AG232" s="85"/>
      <c r="AH232" s="85"/>
      <c r="AI232" s="85"/>
    </row>
    <row r="233" spans="18:35" x14ac:dyDescent="0.3">
      <c r="R233" s="85"/>
      <c r="S233" s="85"/>
      <c r="T233" s="85"/>
      <c r="W233" s="85"/>
      <c r="X233" s="85"/>
      <c r="Y233" s="85"/>
      <c r="AB233" s="85"/>
      <c r="AC233" s="85"/>
      <c r="AD233" s="85"/>
      <c r="AG233" s="85"/>
      <c r="AH233" s="85"/>
      <c r="AI233" s="85"/>
    </row>
    <row r="234" spans="18:35" x14ac:dyDescent="0.3">
      <c r="R234" s="85"/>
      <c r="S234" s="85"/>
      <c r="T234" s="85"/>
      <c r="W234" s="85"/>
      <c r="X234" s="85"/>
      <c r="Y234" s="85"/>
      <c r="AB234" s="85"/>
      <c r="AC234" s="85"/>
      <c r="AD234" s="85"/>
      <c r="AG234" s="85"/>
      <c r="AH234" s="85"/>
      <c r="AI234" s="85"/>
    </row>
    <row r="235" spans="18:35" x14ac:dyDescent="0.3">
      <c r="R235" s="85"/>
      <c r="S235" s="85"/>
      <c r="T235" s="85"/>
      <c r="W235" s="85"/>
      <c r="X235" s="85"/>
      <c r="Y235" s="85"/>
      <c r="AB235" s="85"/>
      <c r="AC235" s="85"/>
      <c r="AD235" s="85"/>
      <c r="AG235" s="85"/>
      <c r="AH235" s="85"/>
      <c r="AI235" s="85"/>
    </row>
    <row r="236" spans="18:35" x14ac:dyDescent="0.3">
      <c r="R236" s="85"/>
      <c r="S236" s="85"/>
      <c r="T236" s="85"/>
      <c r="W236" s="85"/>
      <c r="X236" s="85"/>
      <c r="Y236" s="85"/>
      <c r="AB236" s="85"/>
      <c r="AC236" s="85"/>
      <c r="AD236" s="85"/>
      <c r="AG236" s="85"/>
      <c r="AH236" s="85"/>
      <c r="AI236" s="85"/>
    </row>
    <row r="237" spans="18:35" x14ac:dyDescent="0.3">
      <c r="R237" s="85"/>
      <c r="S237" s="85"/>
      <c r="T237" s="85"/>
      <c r="W237" s="85"/>
      <c r="X237" s="85"/>
      <c r="Y237" s="85"/>
      <c r="AB237" s="85"/>
      <c r="AC237" s="85"/>
      <c r="AD237" s="85"/>
      <c r="AG237" s="85"/>
      <c r="AH237" s="85"/>
      <c r="AI237" s="85"/>
    </row>
    <row r="238" spans="18:35" x14ac:dyDescent="0.3">
      <c r="R238" s="85"/>
      <c r="S238" s="85"/>
      <c r="T238" s="85"/>
      <c r="W238" s="85"/>
      <c r="X238" s="85"/>
      <c r="Y238" s="85"/>
      <c r="AB238" s="85"/>
      <c r="AC238" s="85"/>
      <c r="AD238" s="85"/>
      <c r="AG238" s="85"/>
      <c r="AH238" s="85"/>
      <c r="AI238" s="85"/>
    </row>
    <row r="239" spans="18:35" x14ac:dyDescent="0.3">
      <c r="R239" s="85"/>
      <c r="S239" s="85"/>
      <c r="T239" s="85"/>
      <c r="W239" s="85"/>
      <c r="X239" s="85"/>
      <c r="Y239" s="85"/>
      <c r="AB239" s="85"/>
      <c r="AC239" s="85"/>
      <c r="AD239" s="85"/>
      <c r="AG239" s="85"/>
      <c r="AH239" s="85"/>
      <c r="AI239" s="85"/>
    </row>
    <row r="240" spans="18:35" x14ac:dyDescent="0.3">
      <c r="R240" s="85"/>
      <c r="S240" s="85"/>
      <c r="T240" s="85"/>
      <c r="W240" s="85"/>
      <c r="X240" s="85"/>
      <c r="Y240" s="85"/>
      <c r="AB240" s="85"/>
      <c r="AC240" s="85"/>
      <c r="AD240" s="85"/>
      <c r="AG240" s="85"/>
      <c r="AH240" s="85"/>
      <c r="AI240" s="85"/>
    </row>
    <row r="241" spans="18:35" x14ac:dyDescent="0.3">
      <c r="R241" s="85"/>
      <c r="S241" s="85"/>
      <c r="T241" s="85"/>
      <c r="W241" s="85"/>
      <c r="X241" s="85"/>
      <c r="Y241" s="85"/>
      <c r="AB241" s="85"/>
      <c r="AC241" s="85"/>
      <c r="AD241" s="85"/>
      <c r="AG241" s="85"/>
      <c r="AH241" s="85"/>
      <c r="AI241" s="85"/>
    </row>
    <row r="242" spans="18:35" x14ac:dyDescent="0.3">
      <c r="R242" s="85"/>
      <c r="S242" s="85"/>
      <c r="T242" s="85"/>
      <c r="W242" s="85"/>
      <c r="X242" s="85"/>
      <c r="Y242" s="85"/>
      <c r="AB242" s="85"/>
      <c r="AC242" s="85"/>
      <c r="AD242" s="85"/>
      <c r="AG242" s="85"/>
      <c r="AH242" s="85"/>
      <c r="AI242" s="85"/>
    </row>
    <row r="243" spans="18:35" x14ac:dyDescent="0.3">
      <c r="R243" s="85"/>
      <c r="S243" s="85"/>
      <c r="T243" s="85"/>
      <c r="W243" s="85"/>
      <c r="X243" s="85"/>
      <c r="Y243" s="85"/>
      <c r="AB243" s="85"/>
      <c r="AC243" s="85"/>
      <c r="AD243" s="85"/>
      <c r="AG243" s="85"/>
      <c r="AH243" s="85"/>
      <c r="AI243" s="85"/>
    </row>
    <row r="244" spans="18:35" x14ac:dyDescent="0.3">
      <c r="R244" s="85"/>
      <c r="S244" s="85"/>
      <c r="T244" s="85"/>
      <c r="W244" s="85"/>
      <c r="X244" s="85"/>
      <c r="Y244" s="85"/>
      <c r="AB244" s="85"/>
      <c r="AC244" s="85"/>
      <c r="AD244" s="85"/>
      <c r="AG244" s="85"/>
      <c r="AH244" s="85"/>
      <c r="AI244" s="85"/>
    </row>
    <row r="245" spans="18:35" x14ac:dyDescent="0.3">
      <c r="R245" s="85"/>
      <c r="S245" s="85"/>
      <c r="T245" s="85"/>
      <c r="W245" s="85"/>
      <c r="X245" s="85"/>
      <c r="Y245" s="85"/>
      <c r="AB245" s="85"/>
      <c r="AC245" s="85"/>
      <c r="AD245" s="85"/>
      <c r="AG245" s="85"/>
      <c r="AH245" s="85"/>
      <c r="AI245" s="85"/>
    </row>
    <row r="246" spans="18:35" x14ac:dyDescent="0.3">
      <c r="R246" s="85"/>
      <c r="S246" s="85"/>
      <c r="T246" s="85"/>
      <c r="W246" s="85"/>
      <c r="X246" s="85"/>
      <c r="Y246" s="85"/>
      <c r="AB246" s="85"/>
      <c r="AC246" s="85"/>
      <c r="AD246" s="85"/>
      <c r="AG246" s="85"/>
      <c r="AH246" s="85"/>
      <c r="AI246" s="85"/>
    </row>
    <row r="247" spans="18:35" x14ac:dyDescent="0.3">
      <c r="R247" s="85"/>
      <c r="S247" s="85"/>
      <c r="T247" s="85"/>
      <c r="W247" s="85"/>
      <c r="X247" s="85"/>
      <c r="Y247" s="85"/>
      <c r="AB247" s="85"/>
      <c r="AC247" s="85"/>
      <c r="AD247" s="85"/>
      <c r="AG247" s="85"/>
      <c r="AH247" s="85"/>
      <c r="AI247" s="85"/>
    </row>
    <row r="248" spans="18:35" x14ac:dyDescent="0.3">
      <c r="R248" s="85"/>
      <c r="S248" s="85"/>
      <c r="T248" s="85"/>
      <c r="W248" s="85"/>
      <c r="X248" s="85"/>
      <c r="Y248" s="85"/>
      <c r="AB248" s="85"/>
      <c r="AC248" s="85"/>
      <c r="AD248" s="85"/>
      <c r="AG248" s="85"/>
      <c r="AH248" s="85"/>
      <c r="AI248" s="85"/>
    </row>
    <row r="249" spans="18:35" x14ac:dyDescent="0.3">
      <c r="R249" s="85"/>
      <c r="S249" s="85"/>
      <c r="T249" s="85"/>
      <c r="W249" s="85"/>
      <c r="X249" s="85"/>
      <c r="Y249" s="85"/>
      <c r="AB249" s="85"/>
      <c r="AC249" s="85"/>
      <c r="AD249" s="85"/>
      <c r="AG249" s="85"/>
      <c r="AH249" s="85"/>
      <c r="AI249" s="85"/>
    </row>
    <row r="250" spans="18:35" x14ac:dyDescent="0.3">
      <c r="R250" s="85"/>
      <c r="S250" s="85"/>
      <c r="T250" s="85"/>
      <c r="W250" s="85"/>
      <c r="X250" s="85"/>
      <c r="Y250" s="85"/>
      <c r="AB250" s="85"/>
      <c r="AC250" s="85"/>
      <c r="AD250" s="85"/>
      <c r="AG250" s="85"/>
      <c r="AH250" s="85"/>
      <c r="AI250" s="85"/>
    </row>
    <row r="251" spans="18:35" x14ac:dyDescent="0.3">
      <c r="R251" s="85"/>
      <c r="S251" s="85"/>
      <c r="T251" s="85"/>
      <c r="W251" s="85"/>
      <c r="X251" s="85"/>
      <c r="Y251" s="85"/>
      <c r="AB251" s="85"/>
      <c r="AC251" s="85"/>
      <c r="AD251" s="85"/>
      <c r="AG251" s="85"/>
      <c r="AH251" s="85"/>
      <c r="AI251" s="85"/>
    </row>
    <row r="252" spans="18:35" x14ac:dyDescent="0.3">
      <c r="R252" s="85"/>
      <c r="S252" s="85"/>
      <c r="T252" s="85"/>
      <c r="W252" s="85"/>
      <c r="X252" s="85"/>
      <c r="Y252" s="85"/>
      <c r="AB252" s="85"/>
      <c r="AC252" s="85"/>
      <c r="AD252" s="85"/>
      <c r="AG252" s="85"/>
      <c r="AH252" s="85"/>
      <c r="AI252" s="85"/>
    </row>
    <row r="253" spans="18:35" x14ac:dyDescent="0.3">
      <c r="R253" s="85"/>
      <c r="S253" s="85"/>
      <c r="T253" s="85"/>
      <c r="W253" s="85"/>
      <c r="X253" s="85"/>
      <c r="Y253" s="85"/>
      <c r="AB253" s="85"/>
      <c r="AC253" s="85"/>
      <c r="AD253" s="85"/>
      <c r="AG253" s="85"/>
      <c r="AH253" s="85"/>
      <c r="AI253" s="85"/>
    </row>
    <row r="254" spans="18:35" x14ac:dyDescent="0.3">
      <c r="R254" s="85"/>
      <c r="S254" s="85"/>
      <c r="T254" s="85"/>
      <c r="W254" s="85"/>
      <c r="X254" s="85"/>
      <c r="Y254" s="85"/>
      <c r="AB254" s="85"/>
      <c r="AC254" s="85"/>
      <c r="AD254" s="85"/>
      <c r="AG254" s="85"/>
      <c r="AH254" s="85"/>
      <c r="AI254" s="85"/>
    </row>
    <row r="255" spans="18:35" x14ac:dyDescent="0.3">
      <c r="R255" s="85"/>
      <c r="S255" s="85"/>
      <c r="T255" s="85"/>
      <c r="W255" s="85"/>
      <c r="X255" s="85"/>
      <c r="Y255" s="85"/>
      <c r="AB255" s="85"/>
      <c r="AC255" s="85"/>
      <c r="AD255" s="85"/>
      <c r="AG255" s="85"/>
      <c r="AH255" s="85"/>
      <c r="AI255" s="85"/>
    </row>
    <row r="256" spans="18:35" x14ac:dyDescent="0.3">
      <c r="R256" s="85"/>
      <c r="S256" s="85"/>
      <c r="T256" s="85"/>
      <c r="W256" s="85"/>
      <c r="X256" s="85"/>
      <c r="Y256" s="85"/>
      <c r="AB256" s="85"/>
      <c r="AC256" s="85"/>
      <c r="AD256" s="85"/>
      <c r="AG256" s="85"/>
      <c r="AH256" s="85"/>
      <c r="AI256" s="85"/>
    </row>
    <row r="257" spans="18:35" x14ac:dyDescent="0.3">
      <c r="R257" s="85"/>
      <c r="S257" s="85"/>
      <c r="T257" s="85"/>
      <c r="W257" s="85"/>
      <c r="X257" s="85"/>
      <c r="Y257" s="85"/>
      <c r="AB257" s="85"/>
      <c r="AC257" s="85"/>
      <c r="AD257" s="85"/>
      <c r="AG257" s="85"/>
      <c r="AH257" s="85"/>
      <c r="AI257" s="85"/>
    </row>
    <row r="258" spans="18:35" x14ac:dyDescent="0.3">
      <c r="R258" s="85"/>
      <c r="S258" s="85"/>
      <c r="T258" s="85"/>
      <c r="W258" s="85"/>
      <c r="X258" s="85"/>
      <c r="Y258" s="85"/>
      <c r="AB258" s="85"/>
      <c r="AC258" s="85"/>
      <c r="AD258" s="85"/>
      <c r="AG258" s="85"/>
      <c r="AH258" s="85"/>
      <c r="AI258" s="85"/>
    </row>
    <row r="259" spans="18:35" x14ac:dyDescent="0.3">
      <c r="R259" s="85"/>
      <c r="S259" s="85"/>
      <c r="T259" s="85"/>
      <c r="W259" s="85"/>
      <c r="X259" s="85"/>
      <c r="Y259" s="85"/>
      <c r="AB259" s="85"/>
      <c r="AC259" s="85"/>
      <c r="AD259" s="85"/>
      <c r="AG259" s="85"/>
      <c r="AH259" s="85"/>
      <c r="AI259" s="85"/>
    </row>
    <row r="260" spans="18:35" x14ac:dyDescent="0.3">
      <c r="R260" s="85"/>
      <c r="S260" s="85"/>
      <c r="T260" s="85"/>
      <c r="W260" s="85"/>
      <c r="X260" s="85"/>
      <c r="Y260" s="85"/>
      <c r="AB260" s="85"/>
      <c r="AC260" s="85"/>
      <c r="AD260" s="85"/>
      <c r="AG260" s="85"/>
      <c r="AH260" s="85"/>
      <c r="AI260" s="85"/>
    </row>
    <row r="261" spans="18:35" x14ac:dyDescent="0.3">
      <c r="R261" s="85"/>
      <c r="S261" s="85"/>
      <c r="T261" s="85"/>
      <c r="W261" s="85"/>
      <c r="X261" s="85"/>
      <c r="Y261" s="85"/>
      <c r="AB261" s="85"/>
      <c r="AC261" s="85"/>
      <c r="AD261" s="85"/>
      <c r="AG261" s="85"/>
      <c r="AH261" s="85"/>
      <c r="AI261" s="85"/>
    </row>
    <row r="262" spans="18:35" x14ac:dyDescent="0.3">
      <c r="R262" s="85"/>
      <c r="S262" s="85"/>
      <c r="T262" s="85"/>
      <c r="W262" s="85"/>
      <c r="X262" s="85"/>
      <c r="Y262" s="85"/>
      <c r="AB262" s="85"/>
      <c r="AC262" s="85"/>
      <c r="AD262" s="85"/>
      <c r="AG262" s="85"/>
      <c r="AH262" s="85"/>
      <c r="AI262" s="85"/>
    </row>
    <row r="263" spans="18:35" x14ac:dyDescent="0.3">
      <c r="R263" s="85"/>
      <c r="S263" s="85"/>
      <c r="T263" s="85"/>
      <c r="W263" s="85"/>
      <c r="X263" s="85"/>
      <c r="Y263" s="85"/>
      <c r="AB263" s="85"/>
      <c r="AC263" s="85"/>
      <c r="AD263" s="85"/>
      <c r="AG263" s="85"/>
      <c r="AH263" s="85"/>
      <c r="AI263" s="85"/>
    </row>
    <row r="264" spans="18:35" x14ac:dyDescent="0.3">
      <c r="R264" s="85"/>
      <c r="S264" s="85"/>
      <c r="T264" s="85"/>
      <c r="W264" s="85"/>
      <c r="X264" s="85"/>
      <c r="Y264" s="85"/>
      <c r="AB264" s="85"/>
      <c r="AC264" s="85"/>
      <c r="AD264" s="85"/>
      <c r="AG264" s="85"/>
      <c r="AH264" s="85"/>
      <c r="AI264" s="85"/>
    </row>
    <row r="265" spans="18:35" x14ac:dyDescent="0.3">
      <c r="R265" s="85"/>
      <c r="S265" s="85"/>
      <c r="T265" s="85"/>
      <c r="W265" s="85"/>
      <c r="X265" s="85"/>
      <c r="Y265" s="85"/>
      <c r="AB265" s="85"/>
      <c r="AC265" s="85"/>
      <c r="AD265" s="85"/>
      <c r="AG265" s="85"/>
      <c r="AH265" s="85"/>
      <c r="AI265" s="85"/>
    </row>
    <row r="266" spans="18:35" x14ac:dyDescent="0.3">
      <c r="R266" s="85"/>
      <c r="S266" s="85"/>
      <c r="T266" s="85"/>
      <c r="W266" s="85"/>
      <c r="X266" s="85"/>
      <c r="Y266" s="85"/>
      <c r="AB266" s="85"/>
      <c r="AC266" s="85"/>
      <c r="AD266" s="85"/>
      <c r="AG266" s="85"/>
      <c r="AH266" s="85"/>
      <c r="AI266" s="85"/>
    </row>
    <row r="267" spans="18:35" x14ac:dyDescent="0.3">
      <c r="R267" s="85"/>
      <c r="S267" s="85"/>
      <c r="T267" s="85"/>
      <c r="W267" s="85"/>
      <c r="X267" s="85"/>
      <c r="Y267" s="85"/>
      <c r="AB267" s="85"/>
      <c r="AC267" s="85"/>
      <c r="AD267" s="85"/>
      <c r="AG267" s="85"/>
      <c r="AH267" s="85"/>
      <c r="AI267" s="85"/>
    </row>
    <row r="268" spans="18:35" x14ac:dyDescent="0.3">
      <c r="R268" s="85"/>
      <c r="S268" s="85"/>
      <c r="T268" s="85"/>
      <c r="W268" s="85"/>
      <c r="X268" s="85"/>
      <c r="Y268" s="85"/>
      <c r="AB268" s="85"/>
      <c r="AC268" s="85"/>
      <c r="AD268" s="85"/>
      <c r="AG268" s="85"/>
      <c r="AH268" s="85"/>
      <c r="AI268" s="85"/>
    </row>
    <row r="269" spans="18:35" x14ac:dyDescent="0.3">
      <c r="R269" s="85"/>
      <c r="S269" s="85"/>
      <c r="T269" s="85"/>
      <c r="W269" s="85"/>
      <c r="X269" s="85"/>
      <c r="Y269" s="85"/>
      <c r="AB269" s="85"/>
      <c r="AC269" s="85"/>
      <c r="AD269" s="85"/>
      <c r="AG269" s="85"/>
      <c r="AH269" s="85"/>
      <c r="AI269" s="85"/>
    </row>
    <row r="270" spans="18:35" x14ac:dyDescent="0.3">
      <c r="R270" s="85"/>
      <c r="S270" s="85"/>
      <c r="T270" s="85"/>
      <c r="W270" s="85"/>
      <c r="X270" s="85"/>
      <c r="Y270" s="85"/>
      <c r="AB270" s="85"/>
      <c r="AC270" s="85"/>
      <c r="AD270" s="85"/>
      <c r="AG270" s="85"/>
      <c r="AH270" s="85"/>
      <c r="AI270" s="85"/>
    </row>
    <row r="271" spans="18:35" x14ac:dyDescent="0.3">
      <c r="R271" s="85"/>
      <c r="S271" s="85"/>
      <c r="T271" s="85"/>
      <c r="W271" s="85"/>
      <c r="X271" s="85"/>
      <c r="Y271" s="85"/>
      <c r="AB271" s="85"/>
      <c r="AC271" s="85"/>
      <c r="AD271" s="85"/>
      <c r="AG271" s="85"/>
      <c r="AH271" s="85"/>
      <c r="AI271" s="85"/>
    </row>
    <row r="272" spans="18:35" x14ac:dyDescent="0.3">
      <c r="R272" s="85"/>
      <c r="S272" s="85"/>
      <c r="T272" s="85"/>
      <c r="W272" s="85"/>
      <c r="X272" s="85"/>
      <c r="Y272" s="85"/>
      <c r="AB272" s="85"/>
      <c r="AC272" s="85"/>
      <c r="AD272" s="85"/>
      <c r="AG272" s="85"/>
      <c r="AH272" s="85"/>
      <c r="AI272" s="85"/>
    </row>
    <row r="273" spans="18:35" x14ac:dyDescent="0.3">
      <c r="R273" s="85"/>
      <c r="S273" s="85"/>
      <c r="T273" s="85"/>
      <c r="W273" s="85"/>
      <c r="X273" s="85"/>
      <c r="Y273" s="85"/>
      <c r="AB273" s="85"/>
      <c r="AC273" s="85"/>
      <c r="AD273" s="85"/>
      <c r="AG273" s="85"/>
      <c r="AH273" s="85"/>
      <c r="AI273" s="85"/>
    </row>
    <row r="274" spans="18:35" x14ac:dyDescent="0.3">
      <c r="R274" s="85"/>
      <c r="S274" s="85"/>
      <c r="T274" s="85"/>
      <c r="W274" s="85"/>
      <c r="X274" s="85"/>
      <c r="Y274" s="85"/>
      <c r="AB274" s="85"/>
      <c r="AC274" s="85"/>
      <c r="AD274" s="85"/>
      <c r="AG274" s="85"/>
      <c r="AH274" s="85"/>
      <c r="AI274" s="85"/>
    </row>
    <row r="275" spans="18:35" x14ac:dyDescent="0.3">
      <c r="R275" s="85"/>
      <c r="S275" s="85"/>
      <c r="T275" s="85"/>
      <c r="W275" s="85"/>
      <c r="X275" s="85"/>
      <c r="Y275" s="85"/>
      <c r="AB275" s="85"/>
      <c r="AC275" s="85"/>
      <c r="AD275" s="85"/>
      <c r="AG275" s="85"/>
      <c r="AH275" s="85"/>
      <c r="AI275" s="85"/>
    </row>
    <row r="276" spans="18:35" x14ac:dyDescent="0.3">
      <c r="R276" s="85"/>
      <c r="S276" s="85"/>
      <c r="T276" s="85"/>
      <c r="W276" s="85"/>
      <c r="X276" s="85"/>
      <c r="Y276" s="85"/>
      <c r="AB276" s="85"/>
      <c r="AC276" s="85"/>
      <c r="AD276" s="85"/>
      <c r="AG276" s="85"/>
      <c r="AH276" s="85"/>
      <c r="AI276" s="85"/>
    </row>
    <row r="277" spans="18:35" x14ac:dyDescent="0.3">
      <c r="R277" s="85"/>
      <c r="S277" s="85"/>
      <c r="T277" s="85"/>
      <c r="W277" s="85"/>
      <c r="X277" s="85"/>
      <c r="Y277" s="85"/>
      <c r="AB277" s="85"/>
      <c r="AC277" s="85"/>
      <c r="AD277" s="85"/>
      <c r="AG277" s="85"/>
      <c r="AH277" s="85"/>
      <c r="AI277" s="85"/>
    </row>
    <row r="278" spans="18:35" x14ac:dyDescent="0.3">
      <c r="R278" s="85"/>
      <c r="S278" s="85"/>
      <c r="T278" s="85"/>
      <c r="W278" s="85"/>
      <c r="X278" s="85"/>
      <c r="Y278" s="85"/>
      <c r="AB278" s="85"/>
      <c r="AC278" s="85"/>
      <c r="AD278" s="85"/>
      <c r="AG278" s="85"/>
      <c r="AH278" s="85"/>
      <c r="AI278" s="85"/>
    </row>
    <row r="279" spans="18:35" x14ac:dyDescent="0.3">
      <c r="R279" s="85"/>
      <c r="S279" s="85"/>
      <c r="T279" s="85"/>
      <c r="W279" s="85"/>
      <c r="X279" s="85"/>
      <c r="Y279" s="85"/>
      <c r="AB279" s="85"/>
      <c r="AC279" s="85"/>
      <c r="AD279" s="85"/>
      <c r="AG279" s="85"/>
      <c r="AH279" s="85"/>
      <c r="AI279" s="85"/>
    </row>
    <row r="280" spans="18:35" x14ac:dyDescent="0.3">
      <c r="R280" s="85"/>
      <c r="S280" s="85"/>
      <c r="T280" s="85"/>
      <c r="W280" s="85"/>
      <c r="X280" s="85"/>
      <c r="Y280" s="85"/>
      <c r="AB280" s="85"/>
      <c r="AC280" s="85"/>
      <c r="AD280" s="85"/>
      <c r="AG280" s="85"/>
      <c r="AH280" s="85"/>
      <c r="AI280" s="85"/>
    </row>
    <row r="281" spans="18:35" x14ac:dyDescent="0.3">
      <c r="R281" s="85"/>
      <c r="S281" s="85"/>
      <c r="T281" s="85"/>
      <c r="W281" s="85"/>
      <c r="X281" s="85"/>
      <c r="Y281" s="85"/>
      <c r="AB281" s="85"/>
      <c r="AC281" s="85"/>
      <c r="AD281" s="85"/>
      <c r="AG281" s="85"/>
      <c r="AH281" s="85"/>
      <c r="AI281" s="85"/>
    </row>
    <row r="282" spans="18:35" x14ac:dyDescent="0.3">
      <c r="R282" s="85"/>
      <c r="S282" s="85"/>
      <c r="T282" s="85"/>
      <c r="W282" s="85"/>
      <c r="X282" s="85"/>
      <c r="Y282" s="85"/>
      <c r="AB282" s="85"/>
      <c r="AC282" s="85"/>
      <c r="AD282" s="85"/>
      <c r="AG282" s="85"/>
      <c r="AH282" s="85"/>
      <c r="AI282" s="85"/>
    </row>
    <row r="283" spans="18:35" x14ac:dyDescent="0.3">
      <c r="R283" s="85"/>
      <c r="S283" s="85"/>
      <c r="T283" s="85"/>
      <c r="W283" s="85"/>
      <c r="X283" s="85"/>
      <c r="Y283" s="85"/>
      <c r="AB283" s="85"/>
      <c r="AC283" s="85"/>
      <c r="AD283" s="85"/>
      <c r="AG283" s="85"/>
      <c r="AH283" s="85"/>
      <c r="AI283" s="85"/>
    </row>
    <row r="284" spans="18:35" x14ac:dyDescent="0.3">
      <c r="R284" s="85"/>
      <c r="S284" s="85"/>
      <c r="T284" s="85"/>
      <c r="W284" s="85"/>
      <c r="X284" s="85"/>
      <c r="Y284" s="85"/>
      <c r="AB284" s="85"/>
      <c r="AC284" s="85"/>
      <c r="AD284" s="85"/>
      <c r="AG284" s="85"/>
      <c r="AH284" s="85"/>
      <c r="AI284" s="85"/>
    </row>
    <row r="285" spans="18:35" x14ac:dyDescent="0.3">
      <c r="R285" s="85"/>
      <c r="S285" s="85"/>
      <c r="T285" s="85"/>
      <c r="W285" s="85"/>
      <c r="X285" s="85"/>
      <c r="Y285" s="85"/>
      <c r="AB285" s="85"/>
      <c r="AC285" s="85"/>
      <c r="AD285" s="85"/>
      <c r="AG285" s="85"/>
      <c r="AH285" s="85"/>
      <c r="AI285" s="85"/>
    </row>
    <row r="286" spans="18:35" x14ac:dyDescent="0.3">
      <c r="R286" s="85"/>
      <c r="S286" s="85"/>
      <c r="T286" s="85"/>
      <c r="W286" s="85"/>
      <c r="X286" s="85"/>
      <c r="Y286" s="85"/>
      <c r="AB286" s="85"/>
      <c r="AC286" s="85"/>
      <c r="AD286" s="85"/>
      <c r="AG286" s="85"/>
      <c r="AH286" s="85"/>
      <c r="AI286" s="85"/>
    </row>
    <row r="287" spans="18:35" x14ac:dyDescent="0.3">
      <c r="R287" s="85"/>
      <c r="S287" s="85"/>
      <c r="T287" s="85"/>
      <c r="W287" s="85"/>
      <c r="X287" s="85"/>
      <c r="Y287" s="85"/>
      <c r="AB287" s="85"/>
      <c r="AC287" s="85"/>
      <c r="AD287" s="85"/>
      <c r="AG287" s="85"/>
      <c r="AH287" s="85"/>
      <c r="AI287" s="85"/>
    </row>
    <row r="288" spans="18:35" x14ac:dyDescent="0.3">
      <c r="R288" s="85"/>
      <c r="S288" s="85"/>
      <c r="T288" s="85"/>
      <c r="W288" s="85"/>
      <c r="X288" s="85"/>
      <c r="Y288" s="85"/>
      <c r="AB288" s="85"/>
      <c r="AC288" s="85"/>
      <c r="AD288" s="85"/>
      <c r="AG288" s="85"/>
      <c r="AH288" s="85"/>
      <c r="AI288" s="85"/>
    </row>
    <row r="289" spans="18:35" x14ac:dyDescent="0.3">
      <c r="R289" s="85"/>
      <c r="S289" s="85"/>
      <c r="T289" s="85"/>
      <c r="W289" s="85"/>
      <c r="X289" s="85"/>
      <c r="Y289" s="85"/>
      <c r="AB289" s="85"/>
      <c r="AC289" s="85"/>
      <c r="AD289" s="85"/>
      <c r="AG289" s="85"/>
      <c r="AH289" s="85"/>
      <c r="AI289" s="85"/>
    </row>
    <row r="290" spans="18:35" x14ac:dyDescent="0.3">
      <c r="R290" s="85"/>
      <c r="S290" s="85"/>
      <c r="T290" s="85"/>
      <c r="W290" s="85"/>
      <c r="X290" s="85"/>
      <c r="Y290" s="85"/>
      <c r="AB290" s="85"/>
      <c r="AC290" s="85"/>
      <c r="AD290" s="85"/>
      <c r="AG290" s="85"/>
      <c r="AH290" s="85"/>
      <c r="AI290" s="85"/>
    </row>
    <row r="291" spans="18:35" x14ac:dyDescent="0.3">
      <c r="R291" s="85"/>
      <c r="S291" s="85"/>
      <c r="T291" s="85"/>
      <c r="W291" s="85"/>
      <c r="X291" s="85"/>
      <c r="Y291" s="85"/>
      <c r="AB291" s="85"/>
      <c r="AC291" s="85"/>
      <c r="AD291" s="85"/>
      <c r="AG291" s="85"/>
      <c r="AH291" s="85"/>
      <c r="AI291" s="85"/>
    </row>
    <row r="292" spans="18:35" x14ac:dyDescent="0.3">
      <c r="R292" s="85"/>
      <c r="S292" s="85"/>
      <c r="T292" s="85"/>
      <c r="W292" s="85"/>
      <c r="X292" s="85"/>
      <c r="Y292" s="85"/>
      <c r="AB292" s="85"/>
      <c r="AC292" s="85"/>
      <c r="AD292" s="85"/>
      <c r="AG292" s="85"/>
      <c r="AH292" s="85"/>
      <c r="AI292" s="85"/>
    </row>
    <row r="293" spans="18:35" x14ac:dyDescent="0.3">
      <c r="R293" s="85"/>
      <c r="S293" s="85"/>
      <c r="T293" s="85"/>
      <c r="W293" s="85"/>
      <c r="X293" s="85"/>
      <c r="Y293" s="85"/>
      <c r="AB293" s="85"/>
      <c r="AC293" s="85"/>
      <c r="AD293" s="85"/>
      <c r="AG293" s="85"/>
      <c r="AH293" s="85"/>
      <c r="AI293" s="85"/>
    </row>
    <row r="294" spans="18:35" x14ac:dyDescent="0.3">
      <c r="R294" s="85"/>
      <c r="S294" s="85"/>
      <c r="T294" s="85"/>
      <c r="W294" s="85"/>
      <c r="X294" s="85"/>
      <c r="Y294" s="85"/>
      <c r="AB294" s="85"/>
      <c r="AC294" s="85"/>
      <c r="AD294" s="85"/>
      <c r="AG294" s="85"/>
      <c r="AH294" s="85"/>
      <c r="AI294" s="85"/>
    </row>
    <row r="295" spans="18:35" x14ac:dyDescent="0.3">
      <c r="R295" s="85"/>
      <c r="S295" s="85"/>
      <c r="T295" s="85"/>
      <c r="W295" s="85"/>
      <c r="X295" s="85"/>
      <c r="Y295" s="85"/>
      <c r="AB295" s="85"/>
      <c r="AC295" s="85"/>
      <c r="AD295" s="85"/>
      <c r="AG295" s="85"/>
      <c r="AH295" s="85"/>
      <c r="AI295" s="85"/>
    </row>
    <row r="296" spans="18:35" x14ac:dyDescent="0.3">
      <c r="R296" s="85"/>
      <c r="S296" s="85"/>
      <c r="T296" s="85"/>
      <c r="W296" s="85"/>
      <c r="X296" s="85"/>
      <c r="Y296" s="85"/>
      <c r="AB296" s="85"/>
      <c r="AC296" s="85"/>
      <c r="AD296" s="85"/>
      <c r="AG296" s="85"/>
      <c r="AH296" s="85"/>
      <c r="AI296" s="85"/>
    </row>
    <row r="297" spans="18:35" x14ac:dyDescent="0.3">
      <c r="R297" s="85"/>
      <c r="S297" s="85"/>
      <c r="T297" s="85"/>
      <c r="W297" s="85"/>
      <c r="X297" s="85"/>
      <c r="Y297" s="85"/>
      <c r="AB297" s="85"/>
      <c r="AC297" s="85"/>
      <c r="AD297" s="85"/>
      <c r="AG297" s="85"/>
      <c r="AH297" s="85"/>
      <c r="AI297" s="85"/>
    </row>
    <row r="298" spans="18:35" x14ac:dyDescent="0.3">
      <c r="R298" s="85"/>
      <c r="S298" s="85"/>
      <c r="T298" s="85"/>
      <c r="W298" s="85"/>
      <c r="X298" s="85"/>
      <c r="Y298" s="85"/>
      <c r="AB298" s="85"/>
      <c r="AC298" s="85"/>
      <c r="AD298" s="85"/>
      <c r="AG298" s="85"/>
      <c r="AH298" s="85"/>
      <c r="AI298" s="85"/>
    </row>
    <row r="299" spans="18:35" x14ac:dyDescent="0.3">
      <c r="R299" s="85"/>
      <c r="S299" s="85"/>
      <c r="T299" s="85"/>
      <c r="W299" s="85"/>
      <c r="X299" s="85"/>
      <c r="Y299" s="85"/>
      <c r="AB299" s="85"/>
      <c r="AC299" s="85"/>
      <c r="AD299" s="85"/>
      <c r="AG299" s="85"/>
      <c r="AH299" s="85"/>
      <c r="AI299" s="85"/>
    </row>
    <row r="300" spans="18:35" x14ac:dyDescent="0.3">
      <c r="R300" s="85"/>
      <c r="S300" s="85"/>
      <c r="T300" s="85"/>
      <c r="W300" s="85"/>
      <c r="X300" s="85"/>
      <c r="Y300" s="85"/>
      <c r="AB300" s="85"/>
      <c r="AC300" s="85"/>
      <c r="AD300" s="85"/>
      <c r="AG300" s="85"/>
      <c r="AH300" s="85"/>
      <c r="AI300" s="85"/>
    </row>
    <row r="301" spans="18:35" x14ac:dyDescent="0.3">
      <c r="R301" s="85"/>
      <c r="S301" s="85"/>
      <c r="T301" s="85"/>
      <c r="W301" s="85"/>
      <c r="X301" s="85"/>
      <c r="Y301" s="85"/>
      <c r="AB301" s="85"/>
      <c r="AC301" s="85"/>
      <c r="AD301" s="85"/>
      <c r="AG301" s="85"/>
      <c r="AH301" s="85"/>
      <c r="AI301" s="85"/>
    </row>
    <row r="302" spans="18:35" x14ac:dyDescent="0.3">
      <c r="R302" s="85"/>
      <c r="S302" s="85"/>
      <c r="T302" s="85"/>
      <c r="W302" s="85"/>
      <c r="X302" s="85"/>
      <c r="Y302" s="85"/>
      <c r="AB302" s="85"/>
      <c r="AC302" s="85"/>
      <c r="AD302" s="85"/>
      <c r="AG302" s="85"/>
      <c r="AH302" s="85"/>
      <c r="AI302" s="85"/>
    </row>
    <row r="303" spans="18:35" x14ac:dyDescent="0.3">
      <c r="R303" s="85"/>
      <c r="S303" s="85"/>
      <c r="T303" s="85"/>
      <c r="W303" s="85"/>
      <c r="X303" s="85"/>
      <c r="Y303" s="85"/>
      <c r="AB303" s="85"/>
      <c r="AC303" s="85"/>
      <c r="AD303" s="85"/>
      <c r="AG303" s="85"/>
      <c r="AH303" s="85"/>
      <c r="AI303" s="85"/>
    </row>
    <row r="304" spans="18:35" x14ac:dyDescent="0.3">
      <c r="R304" s="85"/>
      <c r="S304" s="85"/>
      <c r="T304" s="85"/>
      <c r="W304" s="85"/>
      <c r="X304" s="85"/>
      <c r="Y304" s="85"/>
      <c r="AB304" s="85"/>
      <c r="AC304" s="85"/>
      <c r="AD304" s="85"/>
      <c r="AG304" s="85"/>
      <c r="AH304" s="85"/>
      <c r="AI304" s="85"/>
    </row>
    <row r="305" spans="18:35" x14ac:dyDescent="0.3">
      <c r="R305" s="85"/>
      <c r="S305" s="85"/>
      <c r="T305" s="85"/>
      <c r="W305" s="85"/>
      <c r="X305" s="85"/>
      <c r="Y305" s="85"/>
      <c r="AB305" s="85"/>
      <c r="AC305" s="85"/>
      <c r="AD305" s="85"/>
      <c r="AG305" s="85"/>
      <c r="AH305" s="85"/>
      <c r="AI305" s="85"/>
    </row>
    <row r="306" spans="18:35" x14ac:dyDescent="0.3">
      <c r="R306" s="85"/>
      <c r="S306" s="85"/>
      <c r="T306" s="85"/>
      <c r="W306" s="85"/>
      <c r="X306" s="85"/>
      <c r="Y306" s="85"/>
      <c r="AB306" s="85"/>
      <c r="AC306" s="85"/>
      <c r="AD306" s="85"/>
      <c r="AG306" s="85"/>
      <c r="AH306" s="85"/>
      <c r="AI306" s="85"/>
    </row>
    <row r="307" spans="18:35" x14ac:dyDescent="0.3">
      <c r="R307" s="85"/>
      <c r="S307" s="85"/>
      <c r="T307" s="85"/>
      <c r="W307" s="85"/>
      <c r="X307" s="85"/>
      <c r="Y307" s="85"/>
      <c r="AB307" s="85"/>
      <c r="AC307" s="85"/>
      <c r="AD307" s="85"/>
      <c r="AG307" s="85"/>
      <c r="AH307" s="85"/>
      <c r="AI307" s="85"/>
    </row>
    <row r="308" spans="18:35" x14ac:dyDescent="0.3">
      <c r="R308" s="85"/>
      <c r="S308" s="85"/>
      <c r="T308" s="85"/>
      <c r="W308" s="85"/>
      <c r="X308" s="85"/>
      <c r="Y308" s="85"/>
      <c r="AB308" s="85"/>
      <c r="AC308" s="85"/>
      <c r="AD308" s="85"/>
      <c r="AG308" s="85"/>
      <c r="AH308" s="85"/>
      <c r="AI308" s="85"/>
    </row>
    <row r="309" spans="18:35" x14ac:dyDescent="0.3">
      <c r="R309" s="85"/>
      <c r="S309" s="85"/>
      <c r="T309" s="85"/>
      <c r="W309" s="85"/>
      <c r="X309" s="85"/>
      <c r="Y309" s="85"/>
      <c r="AB309" s="85"/>
      <c r="AC309" s="85"/>
      <c r="AD309" s="85"/>
      <c r="AG309" s="85"/>
      <c r="AH309" s="85"/>
      <c r="AI309" s="85"/>
    </row>
    <row r="310" spans="18:35" x14ac:dyDescent="0.3">
      <c r="R310" s="85"/>
      <c r="S310" s="85"/>
      <c r="T310" s="85"/>
      <c r="W310" s="85"/>
      <c r="X310" s="85"/>
      <c r="Y310" s="85"/>
      <c r="AB310" s="85"/>
      <c r="AC310" s="85"/>
      <c r="AD310" s="85"/>
      <c r="AG310" s="85"/>
      <c r="AH310" s="85"/>
      <c r="AI310" s="85"/>
    </row>
    <row r="311" spans="18:35" x14ac:dyDescent="0.3">
      <c r="R311" s="85"/>
      <c r="S311" s="85"/>
      <c r="T311" s="85"/>
      <c r="W311" s="85"/>
      <c r="X311" s="85"/>
      <c r="Y311" s="85"/>
      <c r="AB311" s="85"/>
      <c r="AC311" s="85"/>
      <c r="AD311" s="85"/>
      <c r="AG311" s="85"/>
      <c r="AH311" s="85"/>
      <c r="AI311" s="85"/>
    </row>
    <row r="312" spans="18:35" x14ac:dyDescent="0.3">
      <c r="R312" s="85"/>
      <c r="S312" s="85"/>
      <c r="T312" s="85"/>
      <c r="W312" s="85"/>
      <c r="X312" s="85"/>
      <c r="Y312" s="85"/>
      <c r="AB312" s="85"/>
      <c r="AC312" s="85"/>
      <c r="AD312" s="85"/>
      <c r="AG312" s="85"/>
      <c r="AH312" s="85"/>
      <c r="AI312" s="85"/>
    </row>
    <row r="313" spans="18:35" x14ac:dyDescent="0.3">
      <c r="R313" s="85"/>
      <c r="S313" s="85"/>
      <c r="T313" s="85"/>
      <c r="W313" s="85"/>
      <c r="X313" s="85"/>
      <c r="Y313" s="85"/>
      <c r="AB313" s="85"/>
      <c r="AC313" s="85"/>
      <c r="AD313" s="85"/>
      <c r="AG313" s="85"/>
      <c r="AH313" s="85"/>
      <c r="AI313" s="85"/>
    </row>
    <row r="314" spans="18:35" x14ac:dyDescent="0.3">
      <c r="R314" s="85"/>
      <c r="S314" s="85"/>
      <c r="T314" s="85"/>
      <c r="W314" s="85"/>
      <c r="X314" s="85"/>
      <c r="Y314" s="85"/>
      <c r="AB314" s="85"/>
      <c r="AC314" s="85"/>
      <c r="AD314" s="85"/>
      <c r="AG314" s="85"/>
      <c r="AH314" s="85"/>
      <c r="AI314" s="85"/>
    </row>
    <row r="315" spans="18:35" x14ac:dyDescent="0.3">
      <c r="R315" s="85"/>
      <c r="S315" s="85"/>
      <c r="T315" s="85"/>
      <c r="W315" s="85"/>
      <c r="X315" s="85"/>
      <c r="Y315" s="85"/>
      <c r="AB315" s="85"/>
      <c r="AC315" s="85"/>
      <c r="AD315" s="85"/>
      <c r="AG315" s="85"/>
      <c r="AH315" s="85"/>
      <c r="AI315" s="85"/>
    </row>
    <row r="316" spans="18:35" x14ac:dyDescent="0.3">
      <c r="R316" s="85"/>
      <c r="S316" s="85"/>
      <c r="T316" s="85"/>
      <c r="W316" s="85"/>
      <c r="X316" s="85"/>
      <c r="Y316" s="85"/>
      <c r="AB316" s="85"/>
      <c r="AC316" s="85"/>
      <c r="AD316" s="85"/>
      <c r="AG316" s="85"/>
      <c r="AH316" s="85"/>
      <c r="AI316" s="85"/>
    </row>
    <row r="317" spans="18:35" x14ac:dyDescent="0.3">
      <c r="R317" s="85"/>
      <c r="S317" s="85"/>
      <c r="T317" s="85"/>
      <c r="W317" s="85"/>
      <c r="X317" s="85"/>
      <c r="Y317" s="85"/>
      <c r="AB317" s="85"/>
      <c r="AC317" s="85"/>
      <c r="AD317" s="85"/>
      <c r="AG317" s="85"/>
      <c r="AH317" s="85"/>
      <c r="AI317" s="85"/>
    </row>
    <row r="318" spans="18:35" x14ac:dyDescent="0.3">
      <c r="R318" s="85"/>
      <c r="S318" s="85"/>
      <c r="T318" s="85"/>
      <c r="W318" s="85"/>
      <c r="X318" s="85"/>
      <c r="Y318" s="85"/>
      <c r="AB318" s="85"/>
      <c r="AC318" s="85"/>
      <c r="AD318" s="85"/>
      <c r="AG318" s="85"/>
      <c r="AH318" s="85"/>
      <c r="AI318" s="85"/>
    </row>
    <row r="319" spans="18:35" x14ac:dyDescent="0.3">
      <c r="R319" s="85"/>
      <c r="S319" s="85"/>
      <c r="T319" s="85"/>
      <c r="W319" s="85"/>
      <c r="X319" s="85"/>
      <c r="Y319" s="85"/>
      <c r="AB319" s="85"/>
      <c r="AC319" s="85"/>
      <c r="AD319" s="85"/>
      <c r="AG319" s="85"/>
      <c r="AH319" s="85"/>
      <c r="AI319" s="85"/>
    </row>
    <row r="320" spans="18:35" x14ac:dyDescent="0.3">
      <c r="R320" s="85"/>
      <c r="S320" s="85"/>
      <c r="T320" s="85"/>
      <c r="W320" s="85"/>
      <c r="X320" s="85"/>
      <c r="Y320" s="85"/>
      <c r="AB320" s="85"/>
      <c r="AC320" s="85"/>
      <c r="AD320" s="85"/>
      <c r="AG320" s="85"/>
      <c r="AH320" s="85"/>
      <c r="AI320" s="85"/>
    </row>
    <row r="321" spans="18:35" x14ac:dyDescent="0.3">
      <c r="R321" s="85"/>
      <c r="S321" s="85"/>
      <c r="T321" s="85"/>
      <c r="W321" s="85"/>
      <c r="X321" s="85"/>
      <c r="Y321" s="85"/>
      <c r="AB321" s="85"/>
      <c r="AC321" s="85"/>
      <c r="AD321" s="85"/>
      <c r="AG321" s="85"/>
      <c r="AH321" s="85"/>
      <c r="AI321" s="85"/>
    </row>
    <row r="322" spans="18:35" x14ac:dyDescent="0.3">
      <c r="R322" s="85"/>
      <c r="S322" s="85"/>
      <c r="T322" s="85"/>
      <c r="W322" s="85"/>
      <c r="X322" s="85"/>
      <c r="Y322" s="85"/>
      <c r="AB322" s="85"/>
      <c r="AC322" s="85"/>
      <c r="AD322" s="85"/>
      <c r="AG322" s="85"/>
      <c r="AH322" s="85"/>
      <c r="AI322" s="85"/>
    </row>
    <row r="323" spans="18:35" x14ac:dyDescent="0.3">
      <c r="R323" s="85"/>
      <c r="S323" s="85"/>
      <c r="T323" s="85"/>
      <c r="W323" s="85"/>
      <c r="X323" s="85"/>
      <c r="Y323" s="85"/>
      <c r="AB323" s="85"/>
      <c r="AC323" s="85"/>
      <c r="AD323" s="85"/>
      <c r="AG323" s="85"/>
      <c r="AH323" s="85"/>
      <c r="AI323" s="85"/>
    </row>
    <row r="324" spans="18:35" x14ac:dyDescent="0.3">
      <c r="R324" s="85"/>
      <c r="S324" s="85"/>
      <c r="T324" s="85"/>
      <c r="W324" s="85"/>
      <c r="X324" s="85"/>
      <c r="Y324" s="85"/>
      <c r="AB324" s="85"/>
      <c r="AC324" s="85"/>
      <c r="AD324" s="85"/>
      <c r="AG324" s="85"/>
      <c r="AH324" s="85"/>
      <c r="AI324" s="85"/>
    </row>
    <row r="325" spans="18:35" x14ac:dyDescent="0.3">
      <c r="R325" s="85"/>
      <c r="S325" s="85"/>
      <c r="T325" s="85"/>
      <c r="W325" s="85"/>
      <c r="X325" s="85"/>
      <c r="Y325" s="85"/>
      <c r="AB325" s="85"/>
      <c r="AC325" s="85"/>
      <c r="AD325" s="85"/>
      <c r="AG325" s="85"/>
      <c r="AH325" s="85"/>
      <c r="AI325" s="85"/>
    </row>
    <row r="326" spans="18:35" x14ac:dyDescent="0.3">
      <c r="R326" s="85"/>
      <c r="S326" s="85"/>
      <c r="T326" s="85"/>
      <c r="W326" s="85"/>
      <c r="X326" s="85"/>
      <c r="Y326" s="85"/>
      <c r="AB326" s="85"/>
      <c r="AC326" s="85"/>
      <c r="AD326" s="85"/>
      <c r="AG326" s="85"/>
      <c r="AH326" s="85"/>
      <c r="AI326" s="85"/>
    </row>
    <row r="327" spans="18:35" x14ac:dyDescent="0.3">
      <c r="R327" s="85"/>
      <c r="S327" s="85"/>
      <c r="T327" s="85"/>
      <c r="W327" s="85"/>
      <c r="X327" s="85"/>
      <c r="Y327" s="85"/>
      <c r="AB327" s="85"/>
      <c r="AC327" s="85"/>
      <c r="AD327" s="85"/>
      <c r="AG327" s="85"/>
      <c r="AH327" s="85"/>
      <c r="AI327" s="85"/>
    </row>
    <row r="328" spans="18:35" x14ac:dyDescent="0.3">
      <c r="R328" s="85"/>
      <c r="S328" s="85"/>
      <c r="T328" s="85"/>
      <c r="W328" s="85"/>
      <c r="X328" s="85"/>
      <c r="Y328" s="85"/>
      <c r="AB328" s="85"/>
      <c r="AC328" s="85"/>
      <c r="AD328" s="85"/>
      <c r="AG328" s="85"/>
      <c r="AH328" s="85"/>
      <c r="AI328" s="85"/>
    </row>
    <row r="329" spans="18:35" x14ac:dyDescent="0.3">
      <c r="R329" s="85"/>
      <c r="S329" s="85"/>
      <c r="T329" s="85"/>
      <c r="W329" s="85"/>
      <c r="X329" s="85"/>
      <c r="Y329" s="85"/>
      <c r="AB329" s="85"/>
      <c r="AC329" s="85"/>
      <c r="AD329" s="85"/>
      <c r="AG329" s="85"/>
      <c r="AH329" s="85"/>
      <c r="AI329" s="85"/>
    </row>
    <row r="330" spans="18:35" x14ac:dyDescent="0.3">
      <c r="R330" s="85"/>
      <c r="S330" s="85"/>
      <c r="T330" s="85"/>
      <c r="W330" s="85"/>
      <c r="X330" s="85"/>
      <c r="Y330" s="85"/>
      <c r="AB330" s="85"/>
      <c r="AC330" s="85"/>
      <c r="AD330" s="85"/>
      <c r="AG330" s="85"/>
      <c r="AH330" s="85"/>
      <c r="AI330" s="85"/>
    </row>
    <row r="331" spans="18:35" x14ac:dyDescent="0.3">
      <c r="R331" s="85"/>
      <c r="S331" s="85"/>
      <c r="T331" s="85"/>
      <c r="W331" s="85"/>
      <c r="X331" s="85"/>
      <c r="Y331" s="85"/>
      <c r="AB331" s="85"/>
      <c r="AC331" s="85"/>
      <c r="AD331" s="85"/>
      <c r="AG331" s="85"/>
      <c r="AH331" s="85"/>
      <c r="AI331" s="85"/>
    </row>
    <row r="332" spans="18:35" x14ac:dyDescent="0.3">
      <c r="R332" s="85"/>
      <c r="S332" s="85"/>
      <c r="T332" s="85"/>
      <c r="W332" s="85"/>
      <c r="X332" s="85"/>
      <c r="Y332" s="85"/>
      <c r="AB332" s="85"/>
      <c r="AC332" s="85"/>
      <c r="AD332" s="85"/>
      <c r="AG332" s="85"/>
      <c r="AH332" s="85"/>
      <c r="AI332" s="85"/>
    </row>
    <row r="333" spans="18:35" x14ac:dyDescent="0.3">
      <c r="R333" s="85"/>
      <c r="S333" s="85"/>
      <c r="T333" s="85"/>
      <c r="W333" s="85"/>
      <c r="X333" s="85"/>
      <c r="Y333" s="85"/>
      <c r="AB333" s="85"/>
      <c r="AC333" s="85"/>
      <c r="AD333" s="85"/>
      <c r="AG333" s="85"/>
      <c r="AH333" s="85"/>
      <c r="AI333" s="85"/>
    </row>
    <row r="334" spans="18:35" x14ac:dyDescent="0.3">
      <c r="R334" s="85"/>
      <c r="S334" s="85"/>
      <c r="T334" s="85"/>
      <c r="W334" s="85"/>
      <c r="X334" s="85"/>
      <c r="Y334" s="85"/>
      <c r="AB334" s="85"/>
      <c r="AC334" s="85"/>
      <c r="AD334" s="85"/>
      <c r="AG334" s="85"/>
      <c r="AH334" s="85"/>
      <c r="AI334" s="85"/>
    </row>
    <row r="335" spans="18:35" x14ac:dyDescent="0.3">
      <c r="R335" s="85"/>
      <c r="S335" s="85"/>
      <c r="T335" s="85"/>
      <c r="W335" s="85"/>
      <c r="X335" s="85"/>
      <c r="Y335" s="85"/>
      <c r="AB335" s="85"/>
      <c r="AC335" s="85"/>
      <c r="AD335" s="85"/>
      <c r="AG335" s="85"/>
      <c r="AH335" s="85"/>
      <c r="AI335" s="85"/>
    </row>
    <row r="336" spans="18:35" x14ac:dyDescent="0.3">
      <c r="R336" s="85"/>
      <c r="S336" s="85"/>
      <c r="T336" s="85"/>
      <c r="W336" s="85"/>
      <c r="X336" s="85"/>
      <c r="Y336" s="85"/>
      <c r="AB336" s="85"/>
      <c r="AC336" s="85"/>
      <c r="AD336" s="85"/>
      <c r="AG336" s="85"/>
      <c r="AH336" s="85"/>
      <c r="AI336" s="85"/>
    </row>
    <row r="337" spans="18:35" x14ac:dyDescent="0.3">
      <c r="R337" s="85"/>
      <c r="S337" s="85"/>
      <c r="T337" s="85"/>
      <c r="W337" s="85"/>
      <c r="X337" s="85"/>
      <c r="Y337" s="85"/>
      <c r="AB337" s="85"/>
      <c r="AC337" s="85"/>
      <c r="AD337" s="85"/>
      <c r="AG337" s="85"/>
      <c r="AH337" s="85"/>
      <c r="AI337" s="85"/>
    </row>
    <row r="338" spans="18:35" x14ac:dyDescent="0.3">
      <c r="R338" s="85"/>
      <c r="S338" s="85"/>
      <c r="T338" s="85"/>
      <c r="W338" s="85"/>
      <c r="X338" s="85"/>
      <c r="Y338" s="85"/>
      <c r="AB338" s="85"/>
      <c r="AC338" s="85"/>
      <c r="AD338" s="85"/>
      <c r="AG338" s="85"/>
      <c r="AH338" s="85"/>
      <c r="AI338" s="85"/>
    </row>
    <row r="339" spans="18:35" x14ac:dyDescent="0.3">
      <c r="R339" s="85"/>
      <c r="S339" s="85"/>
      <c r="T339" s="85"/>
      <c r="W339" s="85"/>
      <c r="X339" s="85"/>
      <c r="Y339" s="85"/>
      <c r="AB339" s="85"/>
      <c r="AC339" s="85"/>
      <c r="AD339" s="85"/>
      <c r="AG339" s="85"/>
      <c r="AH339" s="85"/>
      <c r="AI339" s="85"/>
    </row>
    <row r="340" spans="18:35" x14ac:dyDescent="0.3">
      <c r="R340" s="85"/>
      <c r="S340" s="85"/>
      <c r="T340" s="85"/>
      <c r="W340" s="85"/>
      <c r="X340" s="85"/>
      <c r="Y340" s="85"/>
      <c r="AB340" s="85"/>
      <c r="AC340" s="85"/>
      <c r="AD340" s="85"/>
      <c r="AG340" s="85"/>
      <c r="AH340" s="85"/>
      <c r="AI340" s="85"/>
    </row>
    <row r="341" spans="18:35" x14ac:dyDescent="0.3">
      <c r="R341" s="85"/>
      <c r="S341" s="85"/>
      <c r="T341" s="85"/>
      <c r="W341" s="85"/>
      <c r="X341" s="85"/>
      <c r="Y341" s="85"/>
      <c r="AB341" s="85"/>
      <c r="AC341" s="85"/>
      <c r="AD341" s="85"/>
      <c r="AG341" s="85"/>
      <c r="AH341" s="85"/>
      <c r="AI341" s="85"/>
    </row>
    <row r="342" spans="18:35" x14ac:dyDescent="0.3">
      <c r="R342" s="85"/>
      <c r="S342" s="85"/>
      <c r="T342" s="85"/>
      <c r="W342" s="85"/>
      <c r="X342" s="85"/>
      <c r="Y342" s="85"/>
      <c r="AB342" s="85"/>
      <c r="AC342" s="85"/>
      <c r="AD342" s="85"/>
      <c r="AG342" s="85"/>
      <c r="AH342" s="85"/>
      <c r="AI342" s="85"/>
    </row>
    <row r="343" spans="18:35" x14ac:dyDescent="0.3">
      <c r="R343" s="85"/>
      <c r="S343" s="85"/>
      <c r="T343" s="85"/>
      <c r="W343" s="85"/>
      <c r="X343" s="85"/>
      <c r="Y343" s="85"/>
      <c r="AB343" s="85"/>
      <c r="AC343" s="85"/>
      <c r="AD343" s="85"/>
      <c r="AG343" s="85"/>
      <c r="AH343" s="85"/>
      <c r="AI343" s="85"/>
    </row>
    <row r="344" spans="18:35" x14ac:dyDescent="0.3">
      <c r="R344" s="85"/>
      <c r="S344" s="85"/>
      <c r="T344" s="85"/>
      <c r="W344" s="85"/>
      <c r="X344" s="85"/>
      <c r="Y344" s="85"/>
      <c r="AB344" s="85"/>
      <c r="AC344" s="85"/>
      <c r="AD344" s="85"/>
      <c r="AG344" s="85"/>
      <c r="AH344" s="85"/>
      <c r="AI344" s="85"/>
    </row>
    <row r="345" spans="18:35" x14ac:dyDescent="0.3">
      <c r="R345" s="85"/>
      <c r="S345" s="85"/>
      <c r="T345" s="85"/>
      <c r="W345" s="85"/>
      <c r="X345" s="85"/>
      <c r="Y345" s="85"/>
      <c r="AB345" s="85"/>
      <c r="AC345" s="85"/>
      <c r="AD345" s="85"/>
      <c r="AG345" s="85"/>
      <c r="AH345" s="85"/>
      <c r="AI345" s="85"/>
    </row>
    <row r="346" spans="18:35" x14ac:dyDescent="0.3">
      <c r="R346" s="85"/>
      <c r="S346" s="85"/>
      <c r="T346" s="85"/>
      <c r="W346" s="85"/>
      <c r="X346" s="85"/>
      <c r="Y346" s="85"/>
      <c r="AB346" s="85"/>
      <c r="AC346" s="85"/>
      <c r="AD346" s="85"/>
      <c r="AG346" s="85"/>
      <c r="AH346" s="85"/>
      <c r="AI346" s="85"/>
    </row>
    <row r="347" spans="18:35" x14ac:dyDescent="0.3">
      <c r="R347" s="85"/>
      <c r="S347" s="85"/>
      <c r="T347" s="85"/>
      <c r="W347" s="85"/>
      <c r="X347" s="85"/>
      <c r="Y347" s="85"/>
      <c r="AB347" s="85"/>
      <c r="AC347" s="85"/>
      <c r="AD347" s="85"/>
      <c r="AG347" s="85"/>
      <c r="AH347" s="85"/>
      <c r="AI347" s="85"/>
    </row>
    <row r="348" spans="18:35" x14ac:dyDescent="0.3">
      <c r="R348" s="85"/>
      <c r="S348" s="85"/>
      <c r="T348" s="85"/>
      <c r="W348" s="85"/>
      <c r="X348" s="85"/>
      <c r="Y348" s="85"/>
      <c r="AB348" s="85"/>
      <c r="AC348" s="85"/>
      <c r="AD348" s="85"/>
      <c r="AG348" s="85"/>
      <c r="AH348" s="85"/>
      <c r="AI348" s="85"/>
    </row>
    <row r="349" spans="18:35" x14ac:dyDescent="0.3">
      <c r="R349" s="85"/>
      <c r="S349" s="85"/>
      <c r="T349" s="85"/>
      <c r="W349" s="85"/>
      <c r="X349" s="85"/>
      <c r="Y349" s="85"/>
      <c r="AB349" s="85"/>
      <c r="AC349" s="85"/>
      <c r="AD349" s="85"/>
      <c r="AG349" s="85"/>
      <c r="AH349" s="85"/>
      <c r="AI349" s="85"/>
    </row>
    <row r="350" spans="18:35" x14ac:dyDescent="0.3">
      <c r="R350" s="85"/>
      <c r="S350" s="85"/>
      <c r="T350" s="85"/>
      <c r="W350" s="85"/>
      <c r="X350" s="85"/>
      <c r="Y350" s="85"/>
      <c r="AB350" s="85"/>
      <c r="AC350" s="85"/>
      <c r="AD350" s="85"/>
      <c r="AG350" s="85"/>
      <c r="AH350" s="85"/>
      <c r="AI350" s="85"/>
    </row>
    <row r="351" spans="18:35" x14ac:dyDescent="0.3">
      <c r="R351" s="85"/>
      <c r="S351" s="85"/>
      <c r="T351" s="85"/>
      <c r="W351" s="85"/>
      <c r="X351" s="85"/>
      <c r="Y351" s="85"/>
      <c r="AB351" s="85"/>
      <c r="AC351" s="85"/>
      <c r="AD351" s="85"/>
      <c r="AG351" s="85"/>
      <c r="AH351" s="85"/>
      <c r="AI351" s="85"/>
    </row>
    <row r="352" spans="18:35" x14ac:dyDescent="0.3">
      <c r="R352" s="85"/>
      <c r="S352" s="85"/>
      <c r="T352" s="85"/>
      <c r="W352" s="85"/>
      <c r="X352" s="85"/>
      <c r="Y352" s="85"/>
      <c r="AB352" s="85"/>
      <c r="AC352" s="85"/>
      <c r="AD352" s="85"/>
      <c r="AG352" s="85"/>
      <c r="AH352" s="85"/>
      <c r="AI352" s="85"/>
    </row>
    <row r="353" spans="18:35" x14ac:dyDescent="0.3">
      <c r="R353" s="85"/>
      <c r="S353" s="85"/>
      <c r="T353" s="85"/>
      <c r="W353" s="85"/>
      <c r="X353" s="85"/>
      <c r="Y353" s="85"/>
      <c r="AB353" s="85"/>
      <c r="AC353" s="85"/>
      <c r="AD353" s="85"/>
      <c r="AG353" s="85"/>
      <c r="AH353" s="85"/>
      <c r="AI353" s="85"/>
    </row>
    <row r="354" spans="18:35" x14ac:dyDescent="0.3">
      <c r="R354" s="85"/>
      <c r="S354" s="85"/>
      <c r="T354" s="85"/>
      <c r="W354" s="85"/>
      <c r="X354" s="85"/>
      <c r="Y354" s="85"/>
      <c r="AB354" s="85"/>
      <c r="AC354" s="85"/>
      <c r="AD354" s="85"/>
      <c r="AG354" s="85"/>
      <c r="AH354" s="85"/>
      <c r="AI354" s="85"/>
    </row>
    <row r="355" spans="18:35" x14ac:dyDescent="0.3">
      <c r="R355" s="85"/>
      <c r="S355" s="85"/>
      <c r="T355" s="85"/>
      <c r="W355" s="85"/>
      <c r="X355" s="85"/>
      <c r="Y355" s="85"/>
      <c r="AB355" s="85"/>
      <c r="AC355" s="85"/>
      <c r="AD355" s="85"/>
      <c r="AG355" s="85"/>
      <c r="AH355" s="85"/>
      <c r="AI355" s="85"/>
    </row>
    <row r="356" spans="18:35" x14ac:dyDescent="0.3">
      <c r="R356" s="85"/>
      <c r="S356" s="85"/>
      <c r="T356" s="85"/>
      <c r="W356" s="85"/>
      <c r="X356" s="85"/>
      <c r="Y356" s="85"/>
      <c r="AB356" s="85"/>
      <c r="AC356" s="85"/>
      <c r="AD356" s="85"/>
      <c r="AG356" s="85"/>
      <c r="AH356" s="85"/>
      <c r="AI356" s="85"/>
    </row>
    <row r="357" spans="18:35" x14ac:dyDescent="0.3">
      <c r="R357" s="85"/>
      <c r="S357" s="85"/>
      <c r="T357" s="85"/>
      <c r="W357" s="85"/>
      <c r="X357" s="85"/>
      <c r="Y357" s="85"/>
      <c r="AB357" s="85"/>
      <c r="AC357" s="85"/>
      <c r="AD357" s="85"/>
      <c r="AG357" s="85"/>
      <c r="AH357" s="85"/>
      <c r="AI357" s="85"/>
    </row>
    <row r="358" spans="18:35" x14ac:dyDescent="0.3">
      <c r="R358" s="85"/>
      <c r="S358" s="85"/>
      <c r="T358" s="85"/>
      <c r="W358" s="85"/>
      <c r="X358" s="85"/>
      <c r="Y358" s="85"/>
      <c r="AB358" s="85"/>
      <c r="AC358" s="85"/>
      <c r="AD358" s="85"/>
      <c r="AG358" s="85"/>
      <c r="AH358" s="85"/>
      <c r="AI358" s="85"/>
    </row>
    <row r="359" spans="18:35" x14ac:dyDescent="0.3">
      <c r="R359" s="85"/>
      <c r="S359" s="85"/>
      <c r="T359" s="85"/>
      <c r="W359" s="85"/>
      <c r="X359" s="85"/>
      <c r="Y359" s="85"/>
      <c r="AB359" s="85"/>
      <c r="AC359" s="85"/>
      <c r="AD359" s="85"/>
      <c r="AG359" s="85"/>
      <c r="AH359" s="85"/>
      <c r="AI359" s="85"/>
    </row>
    <row r="360" spans="18:35" x14ac:dyDescent="0.3">
      <c r="R360" s="85"/>
      <c r="S360" s="85"/>
      <c r="T360" s="85"/>
      <c r="W360" s="85"/>
      <c r="X360" s="85"/>
      <c r="Y360" s="85"/>
      <c r="AB360" s="85"/>
      <c r="AC360" s="85"/>
      <c r="AD360" s="85"/>
      <c r="AG360" s="85"/>
      <c r="AH360" s="85"/>
      <c r="AI360" s="85"/>
    </row>
    <row r="361" spans="18:35" x14ac:dyDescent="0.3">
      <c r="R361" s="85"/>
      <c r="S361" s="85"/>
      <c r="T361" s="85"/>
      <c r="W361" s="85"/>
      <c r="X361" s="85"/>
      <c r="Y361" s="85"/>
      <c r="AB361" s="85"/>
      <c r="AC361" s="85"/>
      <c r="AD361" s="85"/>
      <c r="AG361" s="85"/>
      <c r="AH361" s="85"/>
      <c r="AI361" s="85"/>
    </row>
    <row r="362" spans="18:35" x14ac:dyDescent="0.3">
      <c r="R362" s="85"/>
      <c r="S362" s="85"/>
      <c r="T362" s="85"/>
      <c r="W362" s="85"/>
      <c r="X362" s="85"/>
      <c r="Y362" s="85"/>
      <c r="AB362" s="85"/>
      <c r="AC362" s="85"/>
      <c r="AD362" s="85"/>
      <c r="AG362" s="85"/>
      <c r="AH362" s="85"/>
      <c r="AI362" s="85"/>
    </row>
    <row r="363" spans="18:35" x14ac:dyDescent="0.3">
      <c r="R363" s="85"/>
      <c r="S363" s="85"/>
      <c r="T363" s="85"/>
      <c r="W363" s="85"/>
      <c r="X363" s="85"/>
      <c r="Y363" s="85"/>
      <c r="AB363" s="85"/>
      <c r="AC363" s="85"/>
      <c r="AD363" s="85"/>
      <c r="AG363" s="85"/>
      <c r="AH363" s="85"/>
      <c r="AI363" s="85"/>
    </row>
    <row r="364" spans="18:35" x14ac:dyDescent="0.3">
      <c r="R364" s="85"/>
      <c r="S364" s="85"/>
      <c r="T364" s="85"/>
      <c r="W364" s="85"/>
      <c r="X364" s="85"/>
      <c r="Y364" s="85"/>
      <c r="AB364" s="85"/>
      <c r="AC364" s="85"/>
      <c r="AD364" s="85"/>
      <c r="AG364" s="85"/>
      <c r="AH364" s="85"/>
      <c r="AI364" s="85"/>
    </row>
    <row r="365" spans="18:35" x14ac:dyDescent="0.3">
      <c r="R365" s="85"/>
      <c r="S365" s="85"/>
      <c r="T365" s="85"/>
      <c r="W365" s="85"/>
      <c r="X365" s="85"/>
      <c r="Y365" s="85"/>
      <c r="AB365" s="85"/>
      <c r="AC365" s="85"/>
      <c r="AD365" s="85"/>
      <c r="AG365" s="85"/>
      <c r="AH365" s="85"/>
      <c r="AI365" s="85"/>
    </row>
    <row r="366" spans="18:35" x14ac:dyDescent="0.3">
      <c r="R366" s="85"/>
      <c r="S366" s="85"/>
      <c r="T366" s="85"/>
      <c r="W366" s="85"/>
      <c r="X366" s="85"/>
      <c r="Y366" s="85"/>
      <c r="AB366" s="85"/>
      <c r="AC366" s="85"/>
      <c r="AD366" s="85"/>
      <c r="AG366" s="85"/>
      <c r="AH366" s="85"/>
      <c r="AI366" s="85"/>
    </row>
    <row r="367" spans="18:35" x14ac:dyDescent="0.3">
      <c r="R367" s="85"/>
      <c r="S367" s="85"/>
      <c r="T367" s="85"/>
      <c r="W367" s="85"/>
      <c r="X367" s="85"/>
      <c r="Y367" s="85"/>
      <c r="AB367" s="85"/>
      <c r="AC367" s="85"/>
      <c r="AD367" s="85"/>
      <c r="AG367" s="85"/>
      <c r="AH367" s="85"/>
      <c r="AI367" s="85"/>
    </row>
    <row r="368" spans="18:35" x14ac:dyDescent="0.3">
      <c r="R368" s="85"/>
      <c r="S368" s="85"/>
      <c r="T368" s="85"/>
      <c r="W368" s="85"/>
      <c r="X368" s="85"/>
      <c r="Y368" s="85"/>
      <c r="AB368" s="85"/>
      <c r="AC368" s="85"/>
      <c r="AD368" s="85"/>
      <c r="AG368" s="85"/>
      <c r="AH368" s="85"/>
      <c r="AI368" s="85"/>
    </row>
    <row r="369" spans="18:35" x14ac:dyDescent="0.3">
      <c r="R369" s="85"/>
      <c r="S369" s="85"/>
      <c r="T369" s="85"/>
      <c r="W369" s="85"/>
      <c r="X369" s="85"/>
      <c r="Y369" s="85"/>
      <c r="AB369" s="85"/>
      <c r="AC369" s="85"/>
      <c r="AD369" s="85"/>
      <c r="AG369" s="85"/>
      <c r="AH369" s="85"/>
      <c r="AI369" s="85"/>
    </row>
    <row r="370" spans="18:35" x14ac:dyDescent="0.3">
      <c r="R370" s="85"/>
      <c r="S370" s="85"/>
      <c r="T370" s="85"/>
      <c r="W370" s="85"/>
      <c r="X370" s="85"/>
      <c r="Y370" s="85"/>
      <c r="AB370" s="85"/>
      <c r="AC370" s="85"/>
      <c r="AD370" s="85"/>
      <c r="AG370" s="85"/>
      <c r="AH370" s="85"/>
      <c r="AI370" s="85"/>
    </row>
    <row r="371" spans="18:35" x14ac:dyDescent="0.3">
      <c r="R371" s="85"/>
      <c r="S371" s="85"/>
      <c r="T371" s="85"/>
      <c r="W371" s="85"/>
      <c r="X371" s="85"/>
      <c r="Y371" s="85"/>
      <c r="AB371" s="85"/>
      <c r="AC371" s="85"/>
      <c r="AD371" s="85"/>
      <c r="AG371" s="85"/>
      <c r="AH371" s="85"/>
      <c r="AI371" s="85"/>
    </row>
    <row r="372" spans="18:35" x14ac:dyDescent="0.3">
      <c r="R372" s="85"/>
      <c r="S372" s="85"/>
      <c r="T372" s="85"/>
      <c r="W372" s="85"/>
      <c r="X372" s="85"/>
      <c r="Y372" s="85"/>
      <c r="AB372" s="85"/>
      <c r="AC372" s="85"/>
      <c r="AD372" s="85"/>
      <c r="AG372" s="85"/>
      <c r="AH372" s="85"/>
      <c r="AI372" s="85"/>
    </row>
    <row r="373" spans="18:35" x14ac:dyDescent="0.3">
      <c r="R373" s="85"/>
      <c r="S373" s="85"/>
      <c r="T373" s="85"/>
      <c r="W373" s="85"/>
      <c r="X373" s="85"/>
      <c r="Y373" s="85"/>
      <c r="AB373" s="85"/>
      <c r="AC373" s="85"/>
      <c r="AD373" s="85"/>
      <c r="AG373" s="85"/>
      <c r="AH373" s="85"/>
      <c r="AI373" s="85"/>
    </row>
    <row r="374" spans="18:35" x14ac:dyDescent="0.3">
      <c r="R374" s="85"/>
      <c r="S374" s="85"/>
      <c r="T374" s="85"/>
      <c r="W374" s="85"/>
      <c r="X374" s="85"/>
      <c r="Y374" s="85"/>
      <c r="AB374" s="85"/>
      <c r="AC374" s="85"/>
      <c r="AD374" s="85"/>
      <c r="AG374" s="85"/>
      <c r="AH374" s="85"/>
      <c r="AI374" s="85"/>
    </row>
    <row r="375" spans="18:35" x14ac:dyDescent="0.3">
      <c r="R375" s="85"/>
      <c r="S375" s="85"/>
      <c r="T375" s="85"/>
      <c r="W375" s="85"/>
      <c r="X375" s="85"/>
      <c r="Y375" s="85"/>
      <c r="AB375" s="85"/>
      <c r="AC375" s="85"/>
      <c r="AD375" s="85"/>
      <c r="AG375" s="85"/>
      <c r="AH375" s="85"/>
      <c r="AI375" s="85"/>
    </row>
    <row r="376" spans="18:35" x14ac:dyDescent="0.3">
      <c r="R376" s="85"/>
      <c r="S376" s="85"/>
      <c r="T376" s="85"/>
      <c r="W376" s="85"/>
      <c r="X376" s="85"/>
      <c r="Y376" s="85"/>
      <c r="AB376" s="85"/>
      <c r="AC376" s="85"/>
      <c r="AD376" s="85"/>
      <c r="AG376" s="85"/>
      <c r="AH376" s="85"/>
      <c r="AI376" s="85"/>
    </row>
    <row r="377" spans="18:35" x14ac:dyDescent="0.3">
      <c r="R377" s="85"/>
      <c r="S377" s="85"/>
      <c r="T377" s="85"/>
      <c r="W377" s="85"/>
      <c r="X377" s="85"/>
      <c r="Y377" s="85"/>
      <c r="AB377" s="85"/>
      <c r="AC377" s="85"/>
      <c r="AD377" s="85"/>
      <c r="AG377" s="85"/>
      <c r="AH377" s="85"/>
      <c r="AI377" s="85"/>
    </row>
    <row r="378" spans="18:35" x14ac:dyDescent="0.3">
      <c r="R378" s="85"/>
      <c r="S378" s="85"/>
      <c r="T378" s="85"/>
      <c r="W378" s="85"/>
      <c r="X378" s="85"/>
      <c r="Y378" s="85"/>
      <c r="AB378" s="85"/>
      <c r="AC378" s="85"/>
      <c r="AD378" s="85"/>
      <c r="AG378" s="85"/>
      <c r="AH378" s="85"/>
      <c r="AI378" s="85"/>
    </row>
    <row r="379" spans="18:35" x14ac:dyDescent="0.3">
      <c r="R379" s="85"/>
      <c r="S379" s="85"/>
      <c r="T379" s="85"/>
      <c r="W379" s="85"/>
      <c r="X379" s="85"/>
      <c r="Y379" s="85"/>
      <c r="AB379" s="85"/>
      <c r="AC379" s="85"/>
      <c r="AD379" s="85"/>
      <c r="AG379" s="85"/>
      <c r="AH379" s="85"/>
      <c r="AI379" s="85"/>
    </row>
    <row r="380" spans="18:35" x14ac:dyDescent="0.3">
      <c r="R380" s="85"/>
      <c r="S380" s="85"/>
      <c r="T380" s="85"/>
      <c r="W380" s="85"/>
      <c r="X380" s="85"/>
      <c r="Y380" s="85"/>
      <c r="AB380" s="85"/>
      <c r="AC380" s="85"/>
      <c r="AD380" s="85"/>
      <c r="AG380" s="85"/>
      <c r="AH380" s="85"/>
      <c r="AI380" s="85"/>
    </row>
    <row r="381" spans="18:35" x14ac:dyDescent="0.3">
      <c r="R381" s="85"/>
      <c r="S381" s="85"/>
      <c r="T381" s="85"/>
      <c r="W381" s="85"/>
      <c r="X381" s="85"/>
      <c r="Y381" s="85"/>
      <c r="AB381" s="85"/>
      <c r="AC381" s="85"/>
      <c r="AD381" s="85"/>
      <c r="AG381" s="85"/>
      <c r="AH381" s="85"/>
      <c r="AI381" s="85"/>
    </row>
    <row r="382" spans="18:35" x14ac:dyDescent="0.3">
      <c r="R382" s="85"/>
      <c r="S382" s="85"/>
      <c r="T382" s="85"/>
      <c r="W382" s="85"/>
      <c r="X382" s="85"/>
      <c r="Y382" s="85"/>
      <c r="AB382" s="85"/>
      <c r="AC382" s="85"/>
      <c r="AD382" s="85"/>
      <c r="AG382" s="85"/>
      <c r="AH382" s="85"/>
      <c r="AI382" s="85"/>
    </row>
    <row r="383" spans="18:35" x14ac:dyDescent="0.3">
      <c r="R383" s="85"/>
      <c r="S383" s="85"/>
      <c r="T383" s="85"/>
      <c r="W383" s="85"/>
      <c r="X383" s="85"/>
      <c r="Y383" s="85"/>
      <c r="AB383" s="85"/>
      <c r="AC383" s="85"/>
      <c r="AD383" s="85"/>
      <c r="AG383" s="85"/>
      <c r="AH383" s="85"/>
      <c r="AI383" s="85"/>
    </row>
    <row r="384" spans="18:35" x14ac:dyDescent="0.3">
      <c r="R384" s="85"/>
      <c r="S384" s="85"/>
      <c r="T384" s="85"/>
      <c r="W384" s="85"/>
      <c r="X384" s="85"/>
      <c r="Y384" s="85"/>
      <c r="AB384" s="85"/>
      <c r="AC384" s="85"/>
      <c r="AD384" s="85"/>
      <c r="AG384" s="85"/>
      <c r="AH384" s="85"/>
      <c r="AI384" s="85"/>
    </row>
    <row r="385" spans="18:35" x14ac:dyDescent="0.3">
      <c r="R385" s="85"/>
      <c r="S385" s="85"/>
      <c r="T385" s="85"/>
      <c r="W385" s="85"/>
      <c r="X385" s="85"/>
      <c r="Y385" s="85"/>
      <c r="AB385" s="85"/>
      <c r="AC385" s="85"/>
      <c r="AD385" s="85"/>
      <c r="AG385" s="85"/>
      <c r="AH385" s="85"/>
      <c r="AI385" s="85"/>
    </row>
    <row r="386" spans="18:35" x14ac:dyDescent="0.3">
      <c r="R386" s="85"/>
      <c r="S386" s="85"/>
      <c r="T386" s="85"/>
      <c r="W386" s="85"/>
      <c r="X386" s="85"/>
      <c r="Y386" s="85"/>
      <c r="AB386" s="85"/>
      <c r="AC386" s="85"/>
      <c r="AD386" s="85"/>
      <c r="AG386" s="85"/>
      <c r="AH386" s="85"/>
      <c r="AI386" s="85"/>
    </row>
    <row r="387" spans="18:35" x14ac:dyDescent="0.3">
      <c r="R387" s="85"/>
      <c r="S387" s="85"/>
      <c r="T387" s="85"/>
      <c r="W387" s="85"/>
      <c r="X387" s="85"/>
      <c r="Y387" s="85"/>
      <c r="AB387" s="85"/>
      <c r="AC387" s="85"/>
      <c r="AD387" s="85"/>
      <c r="AG387" s="85"/>
      <c r="AH387" s="85"/>
      <c r="AI387" s="85"/>
    </row>
    <row r="388" spans="18:35" x14ac:dyDescent="0.3">
      <c r="R388" s="85"/>
      <c r="S388" s="85"/>
      <c r="T388" s="85"/>
      <c r="W388" s="85"/>
      <c r="X388" s="85"/>
      <c r="Y388" s="85"/>
      <c r="AB388" s="85"/>
      <c r="AC388" s="85"/>
      <c r="AD388" s="85"/>
      <c r="AG388" s="85"/>
      <c r="AH388" s="85"/>
      <c r="AI388" s="85"/>
    </row>
    <row r="389" spans="18:35" x14ac:dyDescent="0.3">
      <c r="R389" s="85"/>
      <c r="S389" s="85"/>
      <c r="T389" s="85"/>
      <c r="W389" s="85"/>
      <c r="X389" s="85"/>
      <c r="Y389" s="85"/>
      <c r="AB389" s="85"/>
      <c r="AC389" s="85"/>
      <c r="AD389" s="85"/>
      <c r="AG389" s="85"/>
      <c r="AH389" s="85"/>
      <c r="AI389" s="85"/>
    </row>
    <row r="390" spans="18:35" x14ac:dyDescent="0.3">
      <c r="R390" s="85"/>
      <c r="S390" s="85"/>
      <c r="T390" s="85"/>
      <c r="W390" s="85"/>
      <c r="X390" s="85"/>
      <c r="Y390" s="85"/>
      <c r="AB390" s="85"/>
      <c r="AC390" s="85"/>
      <c r="AD390" s="85"/>
      <c r="AG390" s="85"/>
      <c r="AH390" s="85"/>
      <c r="AI390" s="85"/>
    </row>
    <row r="391" spans="18:35" x14ac:dyDescent="0.3">
      <c r="R391" s="85"/>
      <c r="S391" s="85"/>
      <c r="T391" s="85"/>
      <c r="W391" s="85"/>
      <c r="X391" s="85"/>
      <c r="Y391" s="85"/>
      <c r="AB391" s="85"/>
      <c r="AC391" s="85"/>
      <c r="AD391" s="85"/>
      <c r="AG391" s="85"/>
      <c r="AH391" s="85"/>
      <c r="AI391" s="85"/>
    </row>
    <row r="392" spans="18:35" x14ac:dyDescent="0.3">
      <c r="R392" s="85"/>
      <c r="S392" s="85"/>
      <c r="T392" s="85"/>
      <c r="W392" s="85"/>
      <c r="X392" s="85"/>
      <c r="Y392" s="85"/>
      <c r="AB392" s="85"/>
      <c r="AC392" s="85"/>
      <c r="AD392" s="85"/>
      <c r="AG392" s="85"/>
      <c r="AH392" s="85"/>
      <c r="AI392" s="85"/>
    </row>
    <row r="393" spans="18:35" x14ac:dyDescent="0.3">
      <c r="R393" s="85"/>
      <c r="S393" s="85"/>
      <c r="T393" s="85"/>
      <c r="W393" s="85"/>
      <c r="X393" s="85"/>
      <c r="Y393" s="85"/>
      <c r="AB393" s="85"/>
      <c r="AC393" s="85"/>
      <c r="AD393" s="85"/>
      <c r="AG393" s="85"/>
      <c r="AH393" s="85"/>
      <c r="AI393" s="85"/>
    </row>
    <row r="394" spans="18:35" x14ac:dyDescent="0.3">
      <c r="R394" s="85"/>
      <c r="S394" s="85"/>
      <c r="T394" s="85"/>
      <c r="W394" s="85"/>
      <c r="X394" s="85"/>
      <c r="Y394" s="85"/>
      <c r="AB394" s="85"/>
      <c r="AC394" s="85"/>
      <c r="AD394" s="85"/>
      <c r="AG394" s="85"/>
      <c r="AH394" s="85"/>
      <c r="AI394" s="85"/>
    </row>
    <row r="395" spans="18:35" x14ac:dyDescent="0.3">
      <c r="R395" s="85"/>
      <c r="S395" s="85"/>
      <c r="T395" s="85"/>
      <c r="W395" s="85"/>
      <c r="X395" s="85"/>
      <c r="Y395" s="85"/>
      <c r="AB395" s="85"/>
      <c r="AC395" s="85"/>
      <c r="AD395" s="85"/>
      <c r="AG395" s="85"/>
      <c r="AH395" s="85"/>
      <c r="AI395" s="85"/>
    </row>
    <row r="396" spans="18:35" x14ac:dyDescent="0.3">
      <c r="R396" s="85"/>
      <c r="S396" s="85"/>
      <c r="T396" s="85"/>
      <c r="W396" s="85"/>
      <c r="X396" s="85"/>
      <c r="Y396" s="85"/>
      <c r="AB396" s="85"/>
      <c r="AC396" s="85"/>
      <c r="AD396" s="85"/>
      <c r="AG396" s="85"/>
      <c r="AH396" s="85"/>
      <c r="AI396" s="85"/>
    </row>
    <row r="397" spans="18:35" x14ac:dyDescent="0.3">
      <c r="R397" s="85"/>
      <c r="S397" s="85"/>
      <c r="T397" s="85"/>
      <c r="W397" s="85"/>
      <c r="X397" s="85"/>
      <c r="Y397" s="85"/>
      <c r="AB397" s="85"/>
      <c r="AC397" s="85"/>
      <c r="AD397" s="85"/>
      <c r="AG397" s="85"/>
      <c r="AH397" s="85"/>
      <c r="AI397" s="85"/>
    </row>
    <row r="398" spans="18:35" x14ac:dyDescent="0.3">
      <c r="R398" s="85"/>
      <c r="S398" s="85"/>
      <c r="T398" s="85"/>
      <c r="W398" s="85"/>
      <c r="X398" s="85"/>
      <c r="Y398" s="85"/>
      <c r="AB398" s="85"/>
      <c r="AC398" s="85"/>
      <c r="AD398" s="85"/>
      <c r="AG398" s="85"/>
      <c r="AH398" s="85"/>
      <c r="AI398" s="85"/>
    </row>
    <row r="399" spans="18:35" x14ac:dyDescent="0.3">
      <c r="R399" s="85"/>
      <c r="S399" s="85"/>
      <c r="T399" s="85"/>
      <c r="W399" s="85"/>
      <c r="X399" s="85"/>
      <c r="Y399" s="85"/>
      <c r="AB399" s="85"/>
      <c r="AC399" s="85"/>
      <c r="AD399" s="85"/>
      <c r="AG399" s="85"/>
      <c r="AH399" s="85"/>
      <c r="AI399" s="85"/>
    </row>
    <row r="400" spans="18:35" x14ac:dyDescent="0.3">
      <c r="R400" s="85"/>
      <c r="S400" s="85"/>
      <c r="T400" s="85"/>
      <c r="W400" s="85"/>
      <c r="X400" s="85"/>
      <c r="Y400" s="85"/>
      <c r="AB400" s="85"/>
      <c r="AC400" s="85"/>
      <c r="AD400" s="85"/>
      <c r="AG400" s="85"/>
      <c r="AH400" s="85"/>
      <c r="AI400" s="85"/>
    </row>
    <row r="401" spans="18:35" x14ac:dyDescent="0.3">
      <c r="R401" s="85"/>
      <c r="S401" s="85"/>
      <c r="T401" s="85"/>
      <c r="W401" s="85"/>
      <c r="X401" s="85"/>
      <c r="Y401" s="85"/>
      <c r="AB401" s="85"/>
      <c r="AC401" s="85"/>
      <c r="AD401" s="85"/>
      <c r="AG401" s="85"/>
      <c r="AH401" s="85"/>
      <c r="AI401" s="85"/>
    </row>
    <row r="402" spans="18:35" x14ac:dyDescent="0.3">
      <c r="R402" s="85"/>
      <c r="S402" s="85"/>
      <c r="T402" s="85"/>
      <c r="W402" s="85"/>
      <c r="X402" s="85"/>
      <c r="Y402" s="85"/>
      <c r="AB402" s="85"/>
      <c r="AC402" s="85"/>
      <c r="AD402" s="85"/>
      <c r="AG402" s="85"/>
      <c r="AH402" s="85"/>
      <c r="AI402" s="85"/>
    </row>
    <row r="403" spans="18:35" x14ac:dyDescent="0.3">
      <c r="R403" s="85"/>
      <c r="S403" s="85"/>
      <c r="T403" s="85"/>
      <c r="W403" s="85"/>
      <c r="X403" s="85"/>
      <c r="Y403" s="85"/>
      <c r="AB403" s="85"/>
      <c r="AC403" s="85"/>
      <c r="AD403" s="85"/>
      <c r="AG403" s="85"/>
      <c r="AH403" s="85"/>
      <c r="AI403" s="85"/>
    </row>
    <row r="404" spans="18:35" x14ac:dyDescent="0.3">
      <c r="R404" s="85"/>
      <c r="S404" s="85"/>
      <c r="T404" s="85"/>
      <c r="W404" s="85"/>
      <c r="X404" s="85"/>
      <c r="Y404" s="85"/>
      <c r="AB404" s="85"/>
      <c r="AC404" s="85"/>
      <c r="AD404" s="85"/>
      <c r="AG404" s="85"/>
      <c r="AH404" s="85"/>
      <c r="AI404" s="85"/>
    </row>
    <row r="405" spans="18:35" x14ac:dyDescent="0.3">
      <c r="R405" s="85"/>
      <c r="S405" s="85"/>
      <c r="T405" s="85"/>
      <c r="W405" s="85"/>
      <c r="X405" s="85"/>
      <c r="Y405" s="85"/>
      <c r="AB405" s="85"/>
      <c r="AC405" s="85"/>
      <c r="AD405" s="85"/>
      <c r="AG405" s="85"/>
      <c r="AH405" s="85"/>
      <c r="AI405" s="85"/>
    </row>
    <row r="406" spans="18:35" x14ac:dyDescent="0.3">
      <c r="R406" s="85"/>
      <c r="S406" s="85"/>
      <c r="T406" s="85"/>
      <c r="W406" s="85"/>
      <c r="X406" s="85"/>
      <c r="Y406" s="85"/>
      <c r="AB406" s="85"/>
      <c r="AC406" s="85"/>
      <c r="AD406" s="85"/>
      <c r="AG406" s="85"/>
      <c r="AH406" s="85"/>
      <c r="AI406" s="85"/>
    </row>
    <row r="407" spans="18:35" x14ac:dyDescent="0.3">
      <c r="R407" s="85"/>
      <c r="S407" s="85"/>
      <c r="T407" s="85"/>
      <c r="W407" s="85"/>
      <c r="X407" s="85"/>
      <c r="Y407" s="85"/>
      <c r="AB407" s="85"/>
      <c r="AC407" s="85"/>
      <c r="AD407" s="85"/>
      <c r="AG407" s="85"/>
      <c r="AH407" s="85"/>
      <c r="AI407" s="85"/>
    </row>
    <row r="408" spans="18:35" x14ac:dyDescent="0.3">
      <c r="R408" s="85"/>
      <c r="S408" s="85"/>
      <c r="T408" s="85"/>
      <c r="W408" s="85"/>
      <c r="X408" s="85"/>
      <c r="Y408" s="85"/>
      <c r="AB408" s="85"/>
      <c r="AC408" s="85"/>
      <c r="AD408" s="85"/>
      <c r="AG408" s="85"/>
      <c r="AH408" s="85"/>
      <c r="AI408" s="85"/>
    </row>
    <row r="409" spans="18:35" x14ac:dyDescent="0.3">
      <c r="R409" s="85"/>
      <c r="S409" s="85"/>
      <c r="T409" s="85"/>
      <c r="W409" s="85"/>
      <c r="X409" s="85"/>
      <c r="Y409" s="85"/>
      <c r="AB409" s="85"/>
      <c r="AC409" s="85"/>
      <c r="AD409" s="85"/>
      <c r="AG409" s="85"/>
      <c r="AH409" s="85"/>
      <c r="AI409" s="85"/>
    </row>
    <row r="410" spans="18:35" x14ac:dyDescent="0.3">
      <c r="R410" s="85"/>
      <c r="S410" s="85"/>
      <c r="T410" s="85"/>
      <c r="W410" s="85"/>
      <c r="X410" s="85"/>
      <c r="Y410" s="85"/>
      <c r="AB410" s="85"/>
      <c r="AC410" s="85"/>
      <c r="AD410" s="85"/>
      <c r="AG410" s="85"/>
      <c r="AH410" s="85"/>
      <c r="AI410" s="85"/>
    </row>
    <row r="411" spans="18:35" x14ac:dyDescent="0.3">
      <c r="R411" s="85"/>
      <c r="S411" s="85"/>
      <c r="T411" s="85"/>
      <c r="W411" s="85"/>
      <c r="X411" s="85"/>
      <c r="Y411" s="85"/>
      <c r="AB411" s="85"/>
      <c r="AC411" s="85"/>
      <c r="AD411" s="85"/>
      <c r="AG411" s="85"/>
      <c r="AH411" s="85"/>
      <c r="AI411" s="85"/>
    </row>
    <row r="412" spans="18:35" x14ac:dyDescent="0.3">
      <c r="R412" s="85"/>
      <c r="S412" s="85"/>
      <c r="T412" s="85"/>
      <c r="W412" s="85"/>
      <c r="X412" s="85"/>
      <c r="Y412" s="85"/>
      <c r="AB412" s="85"/>
      <c r="AC412" s="85"/>
      <c r="AD412" s="85"/>
      <c r="AG412" s="85"/>
      <c r="AH412" s="85"/>
      <c r="AI412" s="85"/>
    </row>
    <row r="413" spans="18:35" x14ac:dyDescent="0.3">
      <c r="R413" s="85"/>
      <c r="S413" s="85"/>
      <c r="T413" s="85"/>
      <c r="W413" s="85"/>
      <c r="X413" s="85"/>
      <c r="Y413" s="85"/>
      <c r="AB413" s="85"/>
      <c r="AC413" s="85"/>
      <c r="AD413" s="85"/>
      <c r="AG413" s="85"/>
      <c r="AH413" s="85"/>
      <c r="AI413" s="85"/>
    </row>
    <row r="414" spans="18:35" x14ac:dyDescent="0.3">
      <c r="R414" s="85"/>
      <c r="S414" s="85"/>
      <c r="T414" s="85"/>
      <c r="W414" s="85"/>
      <c r="X414" s="85"/>
      <c r="Y414" s="85"/>
      <c r="AB414" s="85"/>
      <c r="AC414" s="85"/>
      <c r="AD414" s="85"/>
      <c r="AG414" s="85"/>
      <c r="AH414" s="85"/>
      <c r="AI414" s="85"/>
    </row>
    <row r="415" spans="18:35" x14ac:dyDescent="0.3">
      <c r="R415" s="85"/>
      <c r="S415" s="85"/>
      <c r="T415" s="85"/>
      <c r="W415" s="85"/>
      <c r="X415" s="85"/>
      <c r="Y415" s="85"/>
      <c r="AB415" s="85"/>
      <c r="AC415" s="85"/>
      <c r="AD415" s="85"/>
      <c r="AG415" s="85"/>
      <c r="AH415" s="85"/>
      <c r="AI415" s="85"/>
    </row>
    <row r="416" spans="18:35" x14ac:dyDescent="0.3">
      <c r="R416" s="85"/>
      <c r="S416" s="85"/>
      <c r="T416" s="85"/>
      <c r="W416" s="85"/>
      <c r="X416" s="85"/>
      <c r="Y416" s="85"/>
      <c r="AB416" s="85"/>
      <c r="AC416" s="85"/>
      <c r="AD416" s="85"/>
      <c r="AG416" s="85"/>
      <c r="AH416" s="85"/>
      <c r="AI416" s="85"/>
    </row>
    <row r="417" spans="18:35" x14ac:dyDescent="0.3">
      <c r="R417" s="85"/>
      <c r="S417" s="85"/>
      <c r="T417" s="85"/>
      <c r="W417" s="85"/>
      <c r="X417" s="85"/>
      <c r="Y417" s="85"/>
      <c r="AB417" s="85"/>
      <c r="AC417" s="85"/>
      <c r="AD417" s="85"/>
      <c r="AG417" s="85"/>
      <c r="AH417" s="85"/>
      <c r="AI417" s="85"/>
    </row>
    <row r="418" spans="18:35" x14ac:dyDescent="0.3">
      <c r="R418" s="85"/>
      <c r="S418" s="85"/>
      <c r="T418" s="85"/>
      <c r="W418" s="85"/>
      <c r="X418" s="85"/>
      <c r="Y418" s="85"/>
      <c r="AB418" s="85"/>
      <c r="AC418" s="85"/>
      <c r="AD418" s="85"/>
      <c r="AG418" s="85"/>
      <c r="AH418" s="85"/>
      <c r="AI418" s="85"/>
    </row>
    <row r="419" spans="18:35" x14ac:dyDescent="0.3">
      <c r="R419" s="85"/>
      <c r="S419" s="85"/>
      <c r="T419" s="85"/>
      <c r="W419" s="85"/>
      <c r="X419" s="85"/>
      <c r="Y419" s="85"/>
      <c r="AB419" s="85"/>
      <c r="AC419" s="85"/>
      <c r="AD419" s="85"/>
      <c r="AG419" s="85"/>
      <c r="AH419" s="85"/>
      <c r="AI419" s="85"/>
    </row>
    <row r="420" spans="18:35" x14ac:dyDescent="0.3">
      <c r="R420" s="85"/>
      <c r="S420" s="85"/>
      <c r="T420" s="85"/>
      <c r="W420" s="85"/>
      <c r="X420" s="85"/>
      <c r="Y420" s="85"/>
      <c r="AB420" s="85"/>
      <c r="AC420" s="85"/>
      <c r="AD420" s="85"/>
      <c r="AG420" s="85"/>
      <c r="AH420" s="85"/>
      <c r="AI420" s="85"/>
    </row>
    <row r="421" spans="18:35" x14ac:dyDescent="0.3">
      <c r="R421" s="85"/>
      <c r="S421" s="85"/>
      <c r="T421" s="85"/>
      <c r="W421" s="85"/>
      <c r="X421" s="85"/>
      <c r="Y421" s="85"/>
      <c r="AB421" s="85"/>
      <c r="AC421" s="85"/>
      <c r="AD421" s="85"/>
      <c r="AG421" s="85"/>
      <c r="AH421" s="85"/>
      <c r="AI421" s="85"/>
    </row>
    <row r="422" spans="18:35" x14ac:dyDescent="0.3">
      <c r="R422" s="85"/>
      <c r="S422" s="85"/>
      <c r="T422" s="85"/>
      <c r="W422" s="85"/>
      <c r="X422" s="85"/>
      <c r="Y422" s="85"/>
      <c r="AB422" s="85"/>
      <c r="AC422" s="85"/>
      <c r="AD422" s="85"/>
      <c r="AG422" s="85"/>
      <c r="AH422" s="85"/>
      <c r="AI422" s="85"/>
    </row>
    <row r="423" spans="18:35" x14ac:dyDescent="0.3">
      <c r="R423" s="85"/>
      <c r="S423" s="85"/>
      <c r="T423" s="85"/>
      <c r="W423" s="85"/>
      <c r="X423" s="85"/>
      <c r="Y423" s="85"/>
      <c r="AB423" s="85"/>
      <c r="AC423" s="85"/>
      <c r="AD423" s="85"/>
      <c r="AG423" s="85"/>
      <c r="AH423" s="85"/>
      <c r="AI423" s="85"/>
    </row>
    <row r="424" spans="18:35" x14ac:dyDescent="0.3">
      <c r="R424" s="85"/>
      <c r="S424" s="85"/>
      <c r="T424" s="85"/>
      <c r="W424" s="85"/>
      <c r="X424" s="85"/>
      <c r="Y424" s="85"/>
      <c r="AB424" s="85"/>
      <c r="AC424" s="85"/>
      <c r="AD424" s="85"/>
      <c r="AG424" s="85"/>
      <c r="AH424" s="85"/>
      <c r="AI424" s="85"/>
    </row>
    <row r="425" spans="18:35" x14ac:dyDescent="0.3">
      <c r="R425" s="85"/>
      <c r="S425" s="85"/>
      <c r="T425" s="85"/>
      <c r="W425" s="85"/>
      <c r="X425" s="85"/>
      <c r="Y425" s="85"/>
      <c r="AB425" s="85"/>
      <c r="AC425" s="85"/>
      <c r="AD425" s="85"/>
      <c r="AG425" s="85"/>
      <c r="AH425" s="85"/>
      <c r="AI425" s="85"/>
    </row>
    <row r="426" spans="18:35" x14ac:dyDescent="0.3">
      <c r="R426" s="85"/>
      <c r="S426" s="85"/>
      <c r="T426" s="85"/>
      <c r="W426" s="85"/>
      <c r="X426" s="85"/>
      <c r="Y426" s="85"/>
      <c r="AB426" s="85"/>
      <c r="AC426" s="85"/>
      <c r="AD426" s="85"/>
      <c r="AG426" s="85"/>
      <c r="AH426" s="85"/>
      <c r="AI426" s="85"/>
    </row>
    <row r="427" spans="18:35" x14ac:dyDescent="0.3">
      <c r="R427" s="85"/>
      <c r="S427" s="85"/>
      <c r="T427" s="85"/>
      <c r="W427" s="85"/>
      <c r="X427" s="85"/>
      <c r="Y427" s="85"/>
      <c r="AB427" s="85"/>
      <c r="AC427" s="85"/>
      <c r="AD427" s="85"/>
      <c r="AG427" s="85"/>
      <c r="AH427" s="85"/>
      <c r="AI427" s="85"/>
    </row>
    <row r="428" spans="18:35" x14ac:dyDescent="0.3">
      <c r="R428" s="85"/>
      <c r="S428" s="85"/>
      <c r="T428" s="85"/>
      <c r="W428" s="85"/>
      <c r="X428" s="85"/>
      <c r="Y428" s="85"/>
      <c r="AB428" s="85"/>
      <c r="AC428" s="85"/>
      <c r="AD428" s="85"/>
      <c r="AG428" s="85"/>
      <c r="AH428" s="85"/>
      <c r="AI428" s="85"/>
    </row>
    <row r="429" spans="18:35" x14ac:dyDescent="0.3">
      <c r="R429" s="85"/>
      <c r="S429" s="85"/>
      <c r="T429" s="85"/>
      <c r="W429" s="85"/>
      <c r="X429" s="85"/>
      <c r="Y429" s="85"/>
      <c r="AB429" s="85"/>
      <c r="AC429" s="85"/>
      <c r="AD429" s="85"/>
      <c r="AG429" s="85"/>
      <c r="AH429" s="85"/>
      <c r="AI429" s="85"/>
    </row>
    <row r="430" spans="18:35" x14ac:dyDescent="0.3">
      <c r="R430" s="85"/>
      <c r="S430" s="85"/>
      <c r="T430" s="85"/>
      <c r="W430" s="85"/>
      <c r="X430" s="85"/>
      <c r="Y430" s="85"/>
      <c r="AB430" s="85"/>
      <c r="AC430" s="85"/>
      <c r="AD430" s="85"/>
      <c r="AG430" s="85"/>
      <c r="AH430" s="85"/>
      <c r="AI430" s="85"/>
    </row>
    <row r="431" spans="18:35" x14ac:dyDescent="0.3">
      <c r="R431" s="85"/>
      <c r="S431" s="85"/>
      <c r="T431" s="85"/>
      <c r="W431" s="85"/>
      <c r="X431" s="85"/>
      <c r="Y431" s="85"/>
      <c r="AB431" s="85"/>
      <c r="AC431" s="85"/>
      <c r="AD431" s="85"/>
      <c r="AG431" s="85"/>
      <c r="AH431" s="85"/>
      <c r="AI431" s="85"/>
    </row>
    <row r="432" spans="18:35" x14ac:dyDescent="0.3">
      <c r="R432" s="85"/>
      <c r="S432" s="85"/>
      <c r="T432" s="85"/>
      <c r="W432" s="85"/>
      <c r="X432" s="85"/>
      <c r="Y432" s="85"/>
      <c r="AB432" s="85"/>
      <c r="AC432" s="85"/>
      <c r="AD432" s="85"/>
      <c r="AG432" s="85"/>
      <c r="AH432" s="85"/>
      <c r="AI432" s="85"/>
    </row>
    <row r="433" spans="18:35" x14ac:dyDescent="0.3">
      <c r="R433" s="85"/>
      <c r="S433" s="85"/>
      <c r="T433" s="85"/>
      <c r="W433" s="85"/>
      <c r="X433" s="85"/>
      <c r="Y433" s="85"/>
      <c r="AB433" s="85"/>
      <c r="AC433" s="85"/>
      <c r="AD433" s="85"/>
      <c r="AG433" s="85"/>
      <c r="AH433" s="85"/>
      <c r="AI433" s="85"/>
    </row>
    <row r="434" spans="18:35" x14ac:dyDescent="0.3">
      <c r="R434" s="85"/>
      <c r="S434" s="85"/>
      <c r="T434" s="85"/>
      <c r="W434" s="85"/>
      <c r="X434" s="85"/>
      <c r="Y434" s="85"/>
      <c r="AB434" s="85"/>
      <c r="AC434" s="85"/>
      <c r="AD434" s="85"/>
      <c r="AG434" s="85"/>
      <c r="AH434" s="85"/>
      <c r="AI434" s="85"/>
    </row>
    <row r="435" spans="18:35" x14ac:dyDescent="0.3">
      <c r="R435" s="85"/>
      <c r="S435" s="85"/>
      <c r="T435" s="85"/>
      <c r="W435" s="85"/>
      <c r="X435" s="85"/>
      <c r="Y435" s="85"/>
      <c r="AB435" s="85"/>
      <c r="AC435" s="85"/>
      <c r="AD435" s="85"/>
      <c r="AG435" s="85"/>
      <c r="AH435" s="85"/>
      <c r="AI435" s="85"/>
    </row>
    <row r="436" spans="18:35" x14ac:dyDescent="0.3">
      <c r="R436" s="85"/>
      <c r="S436" s="85"/>
      <c r="T436" s="85"/>
      <c r="W436" s="85"/>
      <c r="X436" s="85"/>
      <c r="Y436" s="85"/>
      <c r="AB436" s="85"/>
      <c r="AC436" s="85"/>
      <c r="AD436" s="85"/>
      <c r="AG436" s="85"/>
      <c r="AH436" s="85"/>
      <c r="AI436" s="85"/>
    </row>
    <row r="437" spans="18:35" x14ac:dyDescent="0.3">
      <c r="R437" s="85"/>
      <c r="S437" s="85"/>
      <c r="T437" s="85"/>
      <c r="W437" s="85"/>
      <c r="X437" s="85"/>
      <c r="Y437" s="85"/>
      <c r="AB437" s="85"/>
      <c r="AC437" s="85"/>
      <c r="AD437" s="85"/>
      <c r="AG437" s="85"/>
      <c r="AH437" s="85"/>
      <c r="AI437" s="85"/>
    </row>
    <row r="438" spans="18:35" x14ac:dyDescent="0.3">
      <c r="R438" s="85"/>
      <c r="S438" s="85"/>
      <c r="T438" s="85"/>
      <c r="W438" s="85"/>
      <c r="X438" s="85"/>
      <c r="Y438" s="85"/>
      <c r="AB438" s="85"/>
      <c r="AC438" s="85"/>
      <c r="AD438" s="85"/>
      <c r="AG438" s="85"/>
      <c r="AH438" s="85"/>
      <c r="AI438" s="85"/>
    </row>
    <row r="439" spans="18:35" x14ac:dyDescent="0.3">
      <c r="R439" s="85"/>
      <c r="S439" s="85"/>
      <c r="T439" s="85"/>
      <c r="W439" s="85"/>
      <c r="X439" s="85"/>
      <c r="Y439" s="85"/>
      <c r="AB439" s="85"/>
      <c r="AC439" s="85"/>
      <c r="AD439" s="85"/>
      <c r="AG439" s="85"/>
      <c r="AH439" s="85"/>
      <c r="AI439" s="85"/>
    </row>
    <row r="440" spans="18:35" x14ac:dyDescent="0.3">
      <c r="R440" s="85"/>
      <c r="S440" s="85"/>
      <c r="T440" s="85"/>
      <c r="W440" s="85"/>
      <c r="X440" s="85"/>
      <c r="Y440" s="85"/>
      <c r="AB440" s="85"/>
      <c r="AC440" s="85"/>
      <c r="AD440" s="85"/>
      <c r="AG440" s="85"/>
      <c r="AH440" s="85"/>
      <c r="AI440" s="85"/>
    </row>
    <row r="441" spans="18:35" x14ac:dyDescent="0.3">
      <c r="R441" s="85"/>
      <c r="S441" s="85"/>
      <c r="T441" s="85"/>
      <c r="W441" s="85"/>
      <c r="X441" s="85"/>
      <c r="Y441" s="85"/>
      <c r="AB441" s="85"/>
      <c r="AC441" s="85"/>
      <c r="AD441" s="85"/>
      <c r="AG441" s="85"/>
      <c r="AH441" s="85"/>
      <c r="AI441" s="85"/>
    </row>
    <row r="442" spans="18:35" x14ac:dyDescent="0.3">
      <c r="R442" s="85"/>
      <c r="S442" s="85"/>
      <c r="T442" s="85"/>
      <c r="W442" s="85"/>
      <c r="X442" s="85"/>
      <c r="Y442" s="85"/>
      <c r="AB442" s="85"/>
      <c r="AC442" s="85"/>
      <c r="AD442" s="85"/>
      <c r="AG442" s="85"/>
      <c r="AH442" s="85"/>
      <c r="AI442" s="85"/>
    </row>
    <row r="443" spans="18:35" x14ac:dyDescent="0.3">
      <c r="R443" s="85"/>
      <c r="S443" s="85"/>
      <c r="T443" s="85"/>
      <c r="W443" s="85"/>
      <c r="X443" s="85"/>
      <c r="Y443" s="85"/>
      <c r="AB443" s="85"/>
      <c r="AC443" s="85"/>
      <c r="AD443" s="85"/>
      <c r="AG443" s="85"/>
      <c r="AH443" s="85"/>
      <c r="AI443" s="85"/>
    </row>
    <row r="444" spans="18:35" x14ac:dyDescent="0.3">
      <c r="R444" s="85"/>
      <c r="S444" s="85"/>
      <c r="T444" s="85"/>
      <c r="W444" s="85"/>
      <c r="X444" s="85"/>
      <c r="Y444" s="85"/>
      <c r="AB444" s="85"/>
      <c r="AC444" s="85"/>
      <c r="AD444" s="85"/>
      <c r="AG444" s="85"/>
      <c r="AH444" s="85"/>
      <c r="AI444" s="85"/>
    </row>
    <row r="445" spans="18:35" x14ac:dyDescent="0.3">
      <c r="R445" s="85"/>
      <c r="S445" s="85"/>
      <c r="T445" s="85"/>
      <c r="W445" s="85"/>
      <c r="X445" s="85"/>
      <c r="Y445" s="85"/>
      <c r="AB445" s="85"/>
      <c r="AC445" s="85"/>
      <c r="AD445" s="85"/>
      <c r="AG445" s="85"/>
      <c r="AH445" s="85"/>
      <c r="AI445" s="85"/>
    </row>
    <row r="446" spans="18:35" x14ac:dyDescent="0.3">
      <c r="R446" s="85"/>
      <c r="S446" s="85"/>
      <c r="T446" s="85"/>
      <c r="W446" s="85"/>
      <c r="X446" s="85"/>
      <c r="Y446" s="85"/>
      <c r="AB446" s="85"/>
      <c r="AC446" s="85"/>
      <c r="AD446" s="85"/>
      <c r="AG446" s="85"/>
      <c r="AH446" s="85"/>
      <c r="AI446" s="85"/>
    </row>
    <row r="447" spans="18:35" x14ac:dyDescent="0.3">
      <c r="R447" s="85"/>
      <c r="S447" s="85"/>
      <c r="T447" s="85"/>
      <c r="W447" s="85"/>
      <c r="X447" s="85"/>
      <c r="Y447" s="85"/>
      <c r="AB447" s="85"/>
      <c r="AC447" s="85"/>
      <c r="AD447" s="85"/>
      <c r="AG447" s="85"/>
      <c r="AH447" s="85"/>
      <c r="AI447" s="85"/>
    </row>
    <row r="448" spans="18:35" x14ac:dyDescent="0.3">
      <c r="R448" s="85"/>
      <c r="S448" s="85"/>
      <c r="T448" s="85"/>
      <c r="W448" s="85"/>
      <c r="X448" s="85"/>
      <c r="Y448" s="85"/>
      <c r="AB448" s="85"/>
      <c r="AC448" s="85"/>
      <c r="AD448" s="85"/>
      <c r="AG448" s="85"/>
      <c r="AH448" s="85"/>
      <c r="AI448" s="85"/>
    </row>
    <row r="449" spans="18:35" x14ac:dyDescent="0.3">
      <c r="R449" s="85"/>
      <c r="S449" s="85"/>
      <c r="T449" s="85"/>
      <c r="W449" s="85"/>
      <c r="X449" s="85"/>
      <c r="Y449" s="85"/>
      <c r="AB449" s="85"/>
      <c r="AC449" s="85"/>
      <c r="AD449" s="85"/>
      <c r="AG449" s="85"/>
      <c r="AH449" s="85"/>
      <c r="AI449" s="85"/>
    </row>
    <row r="450" spans="18:35" x14ac:dyDescent="0.3">
      <c r="R450" s="85"/>
      <c r="S450" s="85"/>
      <c r="T450" s="85"/>
      <c r="W450" s="85"/>
      <c r="X450" s="85"/>
      <c r="Y450" s="85"/>
      <c r="AB450" s="85"/>
      <c r="AC450" s="85"/>
      <c r="AD450" s="85"/>
      <c r="AG450" s="85"/>
      <c r="AH450" s="85"/>
      <c r="AI450" s="85"/>
    </row>
    <row r="451" spans="18:35" x14ac:dyDescent="0.3">
      <c r="R451" s="85"/>
      <c r="S451" s="85"/>
      <c r="T451" s="85"/>
      <c r="W451" s="85"/>
      <c r="X451" s="85"/>
      <c r="Y451" s="85"/>
      <c r="AB451" s="85"/>
      <c r="AC451" s="85"/>
      <c r="AD451" s="85"/>
      <c r="AG451" s="85"/>
      <c r="AH451" s="85"/>
      <c r="AI451" s="85"/>
    </row>
    <row r="452" spans="18:35" x14ac:dyDescent="0.3">
      <c r="R452" s="85"/>
      <c r="S452" s="85"/>
      <c r="T452" s="85"/>
      <c r="W452" s="85"/>
      <c r="X452" s="85"/>
      <c r="Y452" s="85"/>
      <c r="AB452" s="85"/>
      <c r="AC452" s="85"/>
      <c r="AD452" s="85"/>
      <c r="AG452" s="85"/>
      <c r="AH452" s="85"/>
      <c r="AI452" s="85"/>
    </row>
    <row r="453" spans="18:35" x14ac:dyDescent="0.3">
      <c r="R453" s="85"/>
      <c r="S453" s="85"/>
      <c r="T453" s="85"/>
      <c r="W453" s="85"/>
      <c r="X453" s="85"/>
      <c r="Y453" s="85"/>
      <c r="AB453" s="85"/>
      <c r="AC453" s="85"/>
      <c r="AD453" s="85"/>
      <c r="AG453" s="85"/>
      <c r="AH453" s="85"/>
      <c r="AI453" s="85"/>
    </row>
    <row r="454" spans="18:35" x14ac:dyDescent="0.3">
      <c r="R454" s="85"/>
      <c r="S454" s="85"/>
      <c r="T454" s="85"/>
      <c r="W454" s="85"/>
      <c r="X454" s="85"/>
      <c r="Y454" s="85"/>
      <c r="AB454" s="85"/>
      <c r="AC454" s="85"/>
      <c r="AD454" s="85"/>
      <c r="AG454" s="85"/>
      <c r="AH454" s="85"/>
      <c r="AI454" s="85"/>
    </row>
    <row r="455" spans="18:35" x14ac:dyDescent="0.3">
      <c r="R455" s="85"/>
      <c r="S455" s="85"/>
      <c r="T455" s="85"/>
      <c r="W455" s="85"/>
      <c r="X455" s="85"/>
      <c r="Y455" s="85"/>
      <c r="AB455" s="85"/>
      <c r="AC455" s="85"/>
      <c r="AD455" s="85"/>
      <c r="AG455" s="85"/>
      <c r="AH455" s="85"/>
      <c r="AI455" s="85"/>
    </row>
    <row r="456" spans="18:35" x14ac:dyDescent="0.3">
      <c r="R456" s="85"/>
      <c r="S456" s="85"/>
      <c r="T456" s="85"/>
      <c r="W456" s="85"/>
      <c r="X456" s="85"/>
      <c r="Y456" s="85"/>
      <c r="AB456" s="85"/>
      <c r="AC456" s="85"/>
      <c r="AD456" s="85"/>
      <c r="AG456" s="85"/>
      <c r="AH456" s="85"/>
      <c r="AI456" s="85"/>
    </row>
    <row r="457" spans="18:35" x14ac:dyDescent="0.3">
      <c r="R457" s="85"/>
      <c r="S457" s="85"/>
      <c r="T457" s="85"/>
      <c r="W457" s="85"/>
      <c r="X457" s="85"/>
      <c r="Y457" s="85"/>
      <c r="AB457" s="85"/>
      <c r="AC457" s="85"/>
      <c r="AD457" s="85"/>
      <c r="AG457" s="85"/>
      <c r="AH457" s="85"/>
      <c r="AI457" s="85"/>
    </row>
    <row r="458" spans="18:35" x14ac:dyDescent="0.3">
      <c r="R458" s="85"/>
      <c r="S458" s="85"/>
      <c r="T458" s="85"/>
      <c r="W458" s="85"/>
      <c r="X458" s="85"/>
      <c r="Y458" s="85"/>
      <c r="AB458" s="85"/>
      <c r="AC458" s="85"/>
      <c r="AD458" s="85"/>
      <c r="AG458" s="85"/>
      <c r="AH458" s="85"/>
      <c r="AI458" s="85"/>
    </row>
    <row r="459" spans="18:35" x14ac:dyDescent="0.3">
      <c r="AG459" s="85"/>
      <c r="AH459" s="85"/>
      <c r="AI459" s="85"/>
    </row>
  </sheetData>
  <sheetProtection algorithmName="SHA-512" hashValue="3V6IPD3TILxWZBYWYhlQIG0C1jVndyNCQLaerwFeP2RkaePQkvEGBPH+uzcrFs0IgqM2pBBmJPZVvjuZIQFNHQ==" saltValue="oXAkgWx/JLS6/bjvOoBpKQ==" spinCount="100000" sheet="1" selectLockedCells="1"/>
  <mergeCells count="3">
    <mergeCell ref="F73:H73"/>
    <mergeCell ref="O3:P3"/>
    <mergeCell ref="A1:Q1"/>
  </mergeCells>
  <phoneticPr fontId="5" type="noConversion"/>
  <conditionalFormatting sqref="E12">
    <cfRule type="cellIs" dxfId="24" priority="23" stopIfTrue="1" operator="notBetween">
      <formula>1000</formula>
      <formula>100</formula>
    </cfRule>
    <cfRule type="cellIs" dxfId="23" priority="24" stopIfTrue="1" operator="notBetween">
      <formula>$E$11*0.8</formula>
      <formula>$E$11*1.5</formula>
    </cfRule>
  </conditionalFormatting>
  <conditionalFormatting sqref="E11">
    <cfRule type="cellIs" dxfId="22" priority="26" stopIfTrue="1" operator="notBetween">
      <formula>1000</formula>
      <formula>100</formula>
    </cfRule>
    <cfRule type="cellIs" dxfId="21" priority="27" stopIfTrue="1" operator="notBetween">
      <formula>$E$12/1.5</formula>
      <formula>$E$12/0.8</formula>
    </cfRule>
  </conditionalFormatting>
  <conditionalFormatting sqref="E31">
    <cfRule type="cellIs" dxfId="20" priority="20" stopIfTrue="1" operator="lessThanOrEqual">
      <formula>0</formula>
    </cfRule>
  </conditionalFormatting>
  <conditionalFormatting sqref="E33">
    <cfRule type="cellIs" dxfId="19" priority="19" stopIfTrue="1" operator="lessThan">
      <formula>$E$32</formula>
    </cfRule>
  </conditionalFormatting>
  <conditionalFormatting sqref="E35">
    <cfRule type="cellIs" dxfId="18" priority="18" stopIfTrue="1" operator="greaterThan">
      <formula>$E$34</formula>
    </cfRule>
  </conditionalFormatting>
  <conditionalFormatting sqref="E40">
    <cfRule type="cellIs" dxfId="17" priority="16" stopIfTrue="1" operator="equal">
      <formula>0</formula>
    </cfRule>
  </conditionalFormatting>
  <conditionalFormatting sqref="E42">
    <cfRule type="cellIs" dxfId="16" priority="15" stopIfTrue="1" operator="lessThan">
      <formula>$E$41</formula>
    </cfRule>
  </conditionalFormatting>
  <conditionalFormatting sqref="E44">
    <cfRule type="cellIs" dxfId="15" priority="13" stopIfTrue="1" operator="greaterThan">
      <formula>$E$43</formula>
    </cfRule>
    <cfRule type="cellIs" dxfId="14" priority="14" stopIfTrue="1" operator="equal">
      <formula>0</formula>
    </cfRule>
  </conditionalFormatting>
  <conditionalFormatting sqref="E51">
    <cfRule type="cellIs" dxfId="13" priority="11" operator="notBetween">
      <formula>VIN_MIN_RATING</formula>
      <formula>VIN_MAX_RATING</formula>
    </cfRule>
  </conditionalFormatting>
  <conditionalFormatting sqref="E52">
    <cfRule type="cellIs" dxfId="12" priority="10" operator="notBetween">
      <formula>VIN_MIN_RATING</formula>
      <formula>VIN_MAX_RATING</formula>
    </cfRule>
  </conditionalFormatting>
  <conditionalFormatting sqref="E9">
    <cfRule type="cellIs" dxfId="11" priority="28" operator="greaterThan">
      <formula>$E$7</formula>
    </cfRule>
    <cfRule type="cellIs" dxfId="10" priority="29" stopIfTrue="1" operator="notBetween">
      <formula>0.8</formula>
      <formula>VOUT_MAX_RATING</formula>
    </cfRule>
  </conditionalFormatting>
  <conditionalFormatting sqref="E6:E8">
    <cfRule type="cellIs" dxfId="9" priority="7" operator="notBetween">
      <formula>VIN_MIN_RATING</formula>
      <formula>VIN_MAX_RATING</formula>
    </cfRule>
  </conditionalFormatting>
  <conditionalFormatting sqref="D24:F24">
    <cfRule type="expression" dxfId="8" priority="3">
      <formula>RDSON_sense=1</formula>
    </cfRule>
  </conditionalFormatting>
  <hyperlinks>
    <hyperlink ref="C3" r:id="rId1" xr:uid="{00000000-0004-0000-0000-000000000000}"/>
  </hyperlinks>
  <printOptions horizontalCentered="1" verticalCentered="1"/>
  <pageMargins left="0.1" right="0.17" top="0.25" bottom="0.25" header="0.25" footer="0.25"/>
  <pageSetup scale="47" orientation="portrait" r:id="rId2"/>
  <headerFooter alignWithMargins="0"/>
  <rowBreaks count="1" manualBreakCount="1">
    <brk id="111" max="16" man="1"/>
  </rowBreaks>
  <ignoredErrors>
    <ignoredError sqref="E72" unlockedFormula="1"/>
  </ignoredErrors>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73565" r:id="rId6" name="Button 797">
              <controlPr locked="0" defaultSize="0" print="0" autoFill="0" autoPict="0" macro="[0]!FIXValues">
                <anchor moveWithCells="1" sizeWithCells="1">
                  <from>
                    <xdr:col>2</xdr:col>
                    <xdr:colOff>388620</xdr:colOff>
                    <xdr:row>74</xdr:row>
                    <xdr:rowOff>7620</xdr:rowOff>
                  </from>
                  <to>
                    <xdr:col>3</xdr:col>
                    <xdr:colOff>7620</xdr:colOff>
                    <xdr:row>77</xdr:row>
                    <xdr:rowOff>22860</xdr:rowOff>
                  </to>
                </anchor>
              </controlPr>
            </control>
          </mc:Choice>
        </mc:AlternateContent>
        <mc:AlternateContent xmlns:mc="http://schemas.openxmlformats.org/markup-compatibility/2006">
          <mc:Choice Requires="x14">
            <control shapeId="683100" r:id="rId7" name="Drop Down 1116">
              <controlPr defaultSize="0" autoLine="0" autoPict="0">
                <anchor moveWithCells="1">
                  <from>
                    <xdr:col>16</xdr:col>
                    <xdr:colOff>1699260</xdr:colOff>
                    <xdr:row>0</xdr:row>
                    <xdr:rowOff>449580</xdr:rowOff>
                  </from>
                  <to>
                    <xdr:col>16</xdr:col>
                    <xdr:colOff>2080260</xdr:colOff>
                    <xdr:row>1</xdr:row>
                    <xdr:rowOff>30480</xdr:rowOff>
                  </to>
                </anchor>
              </controlPr>
            </control>
          </mc:Choice>
        </mc:AlternateContent>
        <mc:AlternateContent xmlns:mc="http://schemas.openxmlformats.org/markup-compatibility/2006">
          <mc:Choice Requires="x14">
            <control shapeId="673566" r:id="rId8" name="Button 798">
              <controlPr locked="0" defaultSize="0" print="0" autoFill="0" autoPict="0" macro="[0]!RESETValues">
                <anchor moveWithCells="1" sizeWithCells="1">
                  <from>
                    <xdr:col>2</xdr:col>
                    <xdr:colOff>388620</xdr:colOff>
                    <xdr:row>74</xdr:row>
                    <xdr:rowOff>7620</xdr:rowOff>
                  </from>
                  <to>
                    <xdr:col>3</xdr:col>
                    <xdr:colOff>7620</xdr:colOff>
                    <xdr:row>77</xdr:row>
                    <xdr:rowOff>22860</xdr:rowOff>
                  </to>
                </anchor>
              </controlPr>
            </control>
          </mc:Choice>
        </mc:AlternateContent>
        <mc:AlternateContent xmlns:mc="http://schemas.openxmlformats.org/markup-compatibility/2006">
          <mc:Choice Requires="x14">
            <control shapeId="672829" r:id="rId9" name="Spinner 61">
              <controlPr defaultSize="0" autoPict="0">
                <anchor moveWithCells="1" sizeWithCells="1">
                  <from>
                    <xdr:col>5</xdr:col>
                    <xdr:colOff>0</xdr:colOff>
                    <xdr:row>59</xdr:row>
                    <xdr:rowOff>160020</xdr:rowOff>
                  </from>
                  <to>
                    <xdr:col>5</xdr:col>
                    <xdr:colOff>182880</xdr:colOff>
                    <xdr:row>61</xdr:row>
                    <xdr:rowOff>7620</xdr:rowOff>
                  </to>
                </anchor>
              </controlPr>
            </control>
          </mc:Choice>
        </mc:AlternateContent>
        <mc:AlternateContent xmlns:mc="http://schemas.openxmlformats.org/markup-compatibility/2006">
          <mc:Choice Requires="x14">
            <control shapeId="672830" r:id="rId10" name="Spinner 62">
              <controlPr defaultSize="0" autoPict="0">
                <anchor moveWithCells="1" sizeWithCells="1">
                  <from>
                    <xdr:col>5</xdr:col>
                    <xdr:colOff>0</xdr:colOff>
                    <xdr:row>66</xdr:row>
                    <xdr:rowOff>0</xdr:rowOff>
                  </from>
                  <to>
                    <xdr:col>5</xdr:col>
                    <xdr:colOff>182880</xdr:colOff>
                    <xdr:row>67</xdr:row>
                    <xdr:rowOff>0</xdr:rowOff>
                  </to>
                </anchor>
              </controlPr>
            </control>
          </mc:Choice>
        </mc:AlternateContent>
        <mc:AlternateContent xmlns:mc="http://schemas.openxmlformats.org/markup-compatibility/2006">
          <mc:Choice Requires="x14">
            <control shapeId="672831" r:id="rId11" name="Spinner 63">
              <controlPr defaultSize="0" autoPict="0">
                <anchor moveWithCells="1" sizeWithCells="1">
                  <from>
                    <xdr:col>5</xdr:col>
                    <xdr:colOff>0</xdr:colOff>
                    <xdr:row>67</xdr:row>
                    <xdr:rowOff>0</xdr:rowOff>
                  </from>
                  <to>
                    <xdr:col>5</xdr:col>
                    <xdr:colOff>182880</xdr:colOff>
                    <xdr:row>67</xdr:row>
                    <xdr:rowOff>190500</xdr:rowOff>
                  </to>
                </anchor>
              </controlPr>
            </control>
          </mc:Choice>
        </mc:AlternateContent>
        <mc:AlternateContent xmlns:mc="http://schemas.openxmlformats.org/markup-compatibility/2006">
          <mc:Choice Requires="x14">
            <control shapeId="672832" r:id="rId12" name="Spinner 64">
              <controlPr defaultSize="0" autoPict="0">
                <anchor moveWithCells="1" sizeWithCells="1">
                  <from>
                    <xdr:col>5</xdr:col>
                    <xdr:colOff>0</xdr:colOff>
                    <xdr:row>68</xdr:row>
                    <xdr:rowOff>0</xdr:rowOff>
                  </from>
                  <to>
                    <xdr:col>5</xdr:col>
                    <xdr:colOff>182880</xdr:colOff>
                    <xdr:row>68</xdr:row>
                    <xdr:rowOff>190500</xdr:rowOff>
                  </to>
                </anchor>
              </controlPr>
            </control>
          </mc:Choice>
        </mc:AlternateContent>
        <mc:AlternateContent xmlns:mc="http://schemas.openxmlformats.org/markup-compatibility/2006">
          <mc:Choice Requires="x14">
            <control shapeId="672833" r:id="rId13" name="Spinner 65">
              <controlPr defaultSize="0" autoPict="0">
                <anchor moveWithCells="1" sizeWithCells="1">
                  <from>
                    <xdr:col>5</xdr:col>
                    <xdr:colOff>0</xdr:colOff>
                    <xdr:row>69</xdr:row>
                    <xdr:rowOff>0</xdr:rowOff>
                  </from>
                  <to>
                    <xdr:col>5</xdr:col>
                    <xdr:colOff>182880</xdr:colOff>
                    <xdr:row>69</xdr:row>
                    <xdr:rowOff>190500</xdr:rowOff>
                  </to>
                </anchor>
              </controlPr>
            </control>
          </mc:Choice>
        </mc:AlternateContent>
        <mc:AlternateContent xmlns:mc="http://schemas.openxmlformats.org/markup-compatibility/2006">
          <mc:Choice Requires="x14">
            <control shapeId="672871" r:id="rId14" name="Drop Down 103">
              <controlPr defaultSize="0" autoLine="0" autoPict="0">
                <anchor moveWithCells="1">
                  <from>
                    <xdr:col>0</xdr:col>
                    <xdr:colOff>7620</xdr:colOff>
                    <xdr:row>23</xdr:row>
                    <xdr:rowOff>0</xdr:rowOff>
                  </from>
                  <to>
                    <xdr:col>1</xdr:col>
                    <xdr:colOff>525780</xdr:colOff>
                    <xdr:row>24</xdr:row>
                    <xdr:rowOff>0</xdr:rowOff>
                  </to>
                </anchor>
              </controlPr>
            </control>
          </mc:Choice>
        </mc:AlternateContent>
        <mc:AlternateContent xmlns:mc="http://schemas.openxmlformats.org/markup-compatibility/2006">
          <mc:Choice Requires="x14">
            <control shapeId="683041" r:id="rId15" name="Drop Down 1057">
              <controlPr locked="0" defaultSize="0" autoLine="0" autoPict="0">
                <anchor moveWithCells="1">
                  <from>
                    <xdr:col>4</xdr:col>
                    <xdr:colOff>38100</xdr:colOff>
                    <xdr:row>3</xdr:row>
                    <xdr:rowOff>175260</xdr:rowOff>
                  </from>
                  <to>
                    <xdr:col>6</xdr:col>
                    <xdr:colOff>0</xdr:colOff>
                    <xdr:row>4</xdr:row>
                    <xdr:rowOff>236220</xdr:rowOff>
                  </to>
                </anchor>
              </controlPr>
            </control>
          </mc:Choice>
        </mc:AlternateContent>
        <mc:AlternateContent xmlns:mc="http://schemas.openxmlformats.org/markup-compatibility/2006">
          <mc:Choice Requires="x14">
            <control shapeId="683134" r:id="rId16" name="Drop Down 1150">
              <controlPr defaultSize="0" autoLine="0" autoPict="0">
                <anchor moveWithCells="1">
                  <from>
                    <xdr:col>0</xdr:col>
                    <xdr:colOff>22860</xdr:colOff>
                    <xdr:row>108</xdr:row>
                    <xdr:rowOff>0</xdr:rowOff>
                  </from>
                  <to>
                    <xdr:col>2</xdr:col>
                    <xdr:colOff>198120</xdr:colOff>
                    <xdr:row>109</xdr:row>
                    <xdr:rowOff>15240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7A020C5F-9345-43EA-822E-8A1B038AD51E}">
            <xm:f>'Variable Management'!$B$18&lt;140</xm:f>
            <x14:dxf>
              <font>
                <color rgb="FFFF0000"/>
              </font>
            </x14:dxf>
          </x14:cfRule>
          <xm:sqref>E6</xm:sqref>
        </x14:conditionalFormatting>
        <x14:conditionalFormatting xmlns:xm="http://schemas.microsoft.com/office/excel/2006/main">
          <x14:cfRule type="expression" priority="1" id="{A84700B2-9D6A-4FAA-BAEF-6285CF5F700C}">
            <xm:f>'Variable Management'!$B$17&lt;40</xm:f>
            <x14:dxf>
              <font>
                <color rgb="FFFF0000"/>
              </font>
            </x14:dxf>
          </x14:cfRule>
          <xm:sqref>E8</xm:sqref>
        </x14:conditionalFormatting>
        <x14:conditionalFormatting xmlns:xm="http://schemas.microsoft.com/office/excel/2006/main">
          <x14:cfRule type="expression" priority="30" id="{07A203AC-6DB1-4954-A98A-B7A4EB5F4CBB}">
            <xm:f>'Variable Management'!$M$56=1</xm:f>
            <x14:dxf>
              <font>
                <color theme="0"/>
              </font>
            </x14:dxf>
          </x14:cfRule>
          <xm:sqref>D28:F28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0000FF"/>
  </sheetPr>
  <dimension ref="A1:S455"/>
  <sheetViews>
    <sheetView topLeftCell="A5" zoomScaleNormal="100" workbookViewId="0">
      <selection activeCell="C63" sqref="C63"/>
    </sheetView>
  </sheetViews>
  <sheetFormatPr defaultRowHeight="13.2" x14ac:dyDescent="0.25"/>
  <cols>
    <col min="1" max="1" width="8.6640625" style="310" bestFit="1" customWidth="1"/>
    <col min="2" max="2" width="14.88671875" style="310" customWidth="1"/>
    <col min="3" max="3" width="16.109375" style="310" bestFit="1" customWidth="1"/>
    <col min="4" max="4" width="20.109375" style="310" customWidth="1"/>
    <col min="5" max="5" width="17.33203125" style="310" customWidth="1"/>
    <col min="6" max="6" width="20.5546875" style="310" bestFit="1" customWidth="1"/>
    <col min="7" max="7" width="9.6640625" style="310" customWidth="1"/>
    <col min="8" max="8" width="16.109375" style="310" customWidth="1"/>
    <col min="9" max="9" width="18.6640625" style="310" customWidth="1"/>
    <col min="10" max="10" width="12.6640625" style="310" customWidth="1"/>
    <col min="11" max="11" width="17.109375" style="310" customWidth="1"/>
    <col min="12" max="12" width="13.88671875" style="310" customWidth="1"/>
    <col min="13" max="13" width="9.109375" style="311"/>
    <col min="14" max="16" width="9.109375" style="310"/>
    <col min="17" max="17" width="4.88671875" style="310" customWidth="1"/>
    <col min="18" max="256" width="9.109375" style="310"/>
    <col min="257" max="257" width="8.6640625" style="310" bestFit="1" customWidth="1"/>
    <col min="258" max="258" width="13.33203125" style="310" customWidth="1"/>
    <col min="259" max="259" width="16.109375" style="310" bestFit="1" customWidth="1"/>
    <col min="260" max="260" width="23.5546875" style="310" customWidth="1"/>
    <col min="261" max="261" width="17.33203125" style="310" customWidth="1"/>
    <col min="262" max="262" width="20.5546875" style="310" bestFit="1" customWidth="1"/>
    <col min="263" max="263" width="17.109375" style="310" customWidth="1"/>
    <col min="264" max="264" width="21.88671875" style="310" bestFit="1" customWidth="1"/>
    <col min="265" max="265" width="17.109375" style="310" bestFit="1" customWidth="1"/>
    <col min="266" max="266" width="18.109375" style="310" bestFit="1" customWidth="1"/>
    <col min="267" max="267" width="26.44140625" style="310" customWidth="1"/>
    <col min="268" max="512" width="9.109375" style="310"/>
    <col min="513" max="513" width="8.6640625" style="310" bestFit="1" customWidth="1"/>
    <col min="514" max="514" width="13.33203125" style="310" customWidth="1"/>
    <col min="515" max="515" width="16.109375" style="310" bestFit="1" customWidth="1"/>
    <col min="516" max="516" width="23.5546875" style="310" customWidth="1"/>
    <col min="517" max="517" width="17.33203125" style="310" customWidth="1"/>
    <col min="518" max="518" width="20.5546875" style="310" bestFit="1" customWidth="1"/>
    <col min="519" max="519" width="17.109375" style="310" customWidth="1"/>
    <col min="520" max="520" width="21.88671875" style="310" bestFit="1" customWidth="1"/>
    <col min="521" max="521" width="17.109375" style="310" bestFit="1" customWidth="1"/>
    <col min="522" max="522" width="18.109375" style="310" bestFit="1" customWidth="1"/>
    <col min="523" max="523" width="26.44140625" style="310" customWidth="1"/>
    <col min="524" max="768" width="9.109375" style="310"/>
    <col min="769" max="769" width="8.6640625" style="310" bestFit="1" customWidth="1"/>
    <col min="770" max="770" width="13.33203125" style="310" customWidth="1"/>
    <col min="771" max="771" width="16.109375" style="310" bestFit="1" customWidth="1"/>
    <col min="772" max="772" width="23.5546875" style="310" customWidth="1"/>
    <col min="773" max="773" width="17.33203125" style="310" customWidth="1"/>
    <col min="774" max="774" width="20.5546875" style="310" bestFit="1" customWidth="1"/>
    <col min="775" max="775" width="17.109375" style="310" customWidth="1"/>
    <col min="776" max="776" width="21.88671875" style="310" bestFit="1" customWidth="1"/>
    <col min="777" max="777" width="17.109375" style="310" bestFit="1" customWidth="1"/>
    <col min="778" max="778" width="18.109375" style="310" bestFit="1" customWidth="1"/>
    <col min="779" max="779" width="26.44140625" style="310" customWidth="1"/>
    <col min="780" max="1024" width="9.109375" style="310"/>
    <col min="1025" max="1025" width="8.6640625" style="310" bestFit="1" customWidth="1"/>
    <col min="1026" max="1026" width="13.33203125" style="310" customWidth="1"/>
    <col min="1027" max="1027" width="16.109375" style="310" bestFit="1" customWidth="1"/>
    <col min="1028" max="1028" width="23.5546875" style="310" customWidth="1"/>
    <col min="1029" max="1029" width="17.33203125" style="310" customWidth="1"/>
    <col min="1030" max="1030" width="20.5546875" style="310" bestFit="1" customWidth="1"/>
    <col min="1031" max="1031" width="17.109375" style="310" customWidth="1"/>
    <col min="1032" max="1032" width="21.88671875" style="310" bestFit="1" customWidth="1"/>
    <col min="1033" max="1033" width="17.109375" style="310" bestFit="1" customWidth="1"/>
    <col min="1034" max="1034" width="18.109375" style="310" bestFit="1" customWidth="1"/>
    <col min="1035" max="1035" width="26.44140625" style="310" customWidth="1"/>
    <col min="1036" max="1280" width="9.109375" style="310"/>
    <col min="1281" max="1281" width="8.6640625" style="310" bestFit="1" customWidth="1"/>
    <col min="1282" max="1282" width="13.33203125" style="310" customWidth="1"/>
    <col min="1283" max="1283" width="16.109375" style="310" bestFit="1" customWidth="1"/>
    <col min="1284" max="1284" width="23.5546875" style="310" customWidth="1"/>
    <col min="1285" max="1285" width="17.33203125" style="310" customWidth="1"/>
    <col min="1286" max="1286" width="20.5546875" style="310" bestFit="1" customWidth="1"/>
    <col min="1287" max="1287" width="17.109375" style="310" customWidth="1"/>
    <col min="1288" max="1288" width="21.88671875" style="310" bestFit="1" customWidth="1"/>
    <col min="1289" max="1289" width="17.109375" style="310" bestFit="1" customWidth="1"/>
    <col min="1290" max="1290" width="18.109375" style="310" bestFit="1" customWidth="1"/>
    <col min="1291" max="1291" width="26.44140625" style="310" customWidth="1"/>
    <col min="1292" max="1536" width="9.109375" style="310"/>
    <col min="1537" max="1537" width="8.6640625" style="310" bestFit="1" customWidth="1"/>
    <col min="1538" max="1538" width="13.33203125" style="310" customWidth="1"/>
    <col min="1539" max="1539" width="16.109375" style="310" bestFit="1" customWidth="1"/>
    <col min="1540" max="1540" width="23.5546875" style="310" customWidth="1"/>
    <col min="1541" max="1541" width="17.33203125" style="310" customWidth="1"/>
    <col min="1542" max="1542" width="20.5546875" style="310" bestFit="1" customWidth="1"/>
    <col min="1543" max="1543" width="17.109375" style="310" customWidth="1"/>
    <col min="1544" max="1544" width="21.88671875" style="310" bestFit="1" customWidth="1"/>
    <col min="1545" max="1545" width="17.109375" style="310" bestFit="1" customWidth="1"/>
    <col min="1546" max="1546" width="18.109375" style="310" bestFit="1" customWidth="1"/>
    <col min="1547" max="1547" width="26.44140625" style="310" customWidth="1"/>
    <col min="1548" max="1792" width="9.109375" style="310"/>
    <col min="1793" max="1793" width="8.6640625" style="310" bestFit="1" customWidth="1"/>
    <col min="1794" max="1794" width="13.33203125" style="310" customWidth="1"/>
    <col min="1795" max="1795" width="16.109375" style="310" bestFit="1" customWidth="1"/>
    <col min="1796" max="1796" width="23.5546875" style="310" customWidth="1"/>
    <col min="1797" max="1797" width="17.33203125" style="310" customWidth="1"/>
    <col min="1798" max="1798" width="20.5546875" style="310" bestFit="1" customWidth="1"/>
    <col min="1799" max="1799" width="17.109375" style="310" customWidth="1"/>
    <col min="1800" max="1800" width="21.88671875" style="310" bestFit="1" customWidth="1"/>
    <col min="1801" max="1801" width="17.109375" style="310" bestFit="1" customWidth="1"/>
    <col min="1802" max="1802" width="18.109375" style="310" bestFit="1" customWidth="1"/>
    <col min="1803" max="1803" width="26.44140625" style="310" customWidth="1"/>
    <col min="1804" max="2048" width="9.109375" style="310"/>
    <col min="2049" max="2049" width="8.6640625" style="310" bestFit="1" customWidth="1"/>
    <col min="2050" max="2050" width="13.33203125" style="310" customWidth="1"/>
    <col min="2051" max="2051" width="16.109375" style="310" bestFit="1" customWidth="1"/>
    <col min="2052" max="2052" width="23.5546875" style="310" customWidth="1"/>
    <col min="2053" max="2053" width="17.33203125" style="310" customWidth="1"/>
    <col min="2054" max="2054" width="20.5546875" style="310" bestFit="1" customWidth="1"/>
    <col min="2055" max="2055" width="17.109375" style="310" customWidth="1"/>
    <col min="2056" max="2056" width="21.88671875" style="310" bestFit="1" customWidth="1"/>
    <col min="2057" max="2057" width="17.109375" style="310" bestFit="1" customWidth="1"/>
    <col min="2058" max="2058" width="18.109375" style="310" bestFit="1" customWidth="1"/>
    <col min="2059" max="2059" width="26.44140625" style="310" customWidth="1"/>
    <col min="2060" max="2304" width="9.109375" style="310"/>
    <col min="2305" max="2305" width="8.6640625" style="310" bestFit="1" customWidth="1"/>
    <col min="2306" max="2306" width="13.33203125" style="310" customWidth="1"/>
    <col min="2307" max="2307" width="16.109375" style="310" bestFit="1" customWidth="1"/>
    <col min="2308" max="2308" width="23.5546875" style="310" customWidth="1"/>
    <col min="2309" max="2309" width="17.33203125" style="310" customWidth="1"/>
    <col min="2310" max="2310" width="20.5546875" style="310" bestFit="1" customWidth="1"/>
    <col min="2311" max="2311" width="17.109375" style="310" customWidth="1"/>
    <col min="2312" max="2312" width="21.88671875" style="310" bestFit="1" customWidth="1"/>
    <col min="2313" max="2313" width="17.109375" style="310" bestFit="1" customWidth="1"/>
    <col min="2314" max="2314" width="18.109375" style="310" bestFit="1" customWidth="1"/>
    <col min="2315" max="2315" width="26.44140625" style="310" customWidth="1"/>
    <col min="2316" max="2560" width="9.109375" style="310"/>
    <col min="2561" max="2561" width="8.6640625" style="310" bestFit="1" customWidth="1"/>
    <col min="2562" max="2562" width="13.33203125" style="310" customWidth="1"/>
    <col min="2563" max="2563" width="16.109375" style="310" bestFit="1" customWidth="1"/>
    <col min="2564" max="2564" width="23.5546875" style="310" customWidth="1"/>
    <col min="2565" max="2565" width="17.33203125" style="310" customWidth="1"/>
    <col min="2566" max="2566" width="20.5546875" style="310" bestFit="1" customWidth="1"/>
    <col min="2567" max="2567" width="17.109375" style="310" customWidth="1"/>
    <col min="2568" max="2568" width="21.88671875" style="310" bestFit="1" customWidth="1"/>
    <col min="2569" max="2569" width="17.109375" style="310" bestFit="1" customWidth="1"/>
    <col min="2570" max="2570" width="18.109375" style="310" bestFit="1" customWidth="1"/>
    <col min="2571" max="2571" width="26.44140625" style="310" customWidth="1"/>
    <col min="2572" max="2816" width="9.109375" style="310"/>
    <col min="2817" max="2817" width="8.6640625" style="310" bestFit="1" customWidth="1"/>
    <col min="2818" max="2818" width="13.33203125" style="310" customWidth="1"/>
    <col min="2819" max="2819" width="16.109375" style="310" bestFit="1" customWidth="1"/>
    <col min="2820" max="2820" width="23.5546875" style="310" customWidth="1"/>
    <col min="2821" max="2821" width="17.33203125" style="310" customWidth="1"/>
    <col min="2822" max="2822" width="20.5546875" style="310" bestFit="1" customWidth="1"/>
    <col min="2823" max="2823" width="17.109375" style="310" customWidth="1"/>
    <col min="2824" max="2824" width="21.88671875" style="310" bestFit="1" customWidth="1"/>
    <col min="2825" max="2825" width="17.109375" style="310" bestFit="1" customWidth="1"/>
    <col min="2826" max="2826" width="18.109375" style="310" bestFit="1" customWidth="1"/>
    <col min="2827" max="2827" width="26.44140625" style="310" customWidth="1"/>
    <col min="2828" max="3072" width="9.109375" style="310"/>
    <col min="3073" max="3073" width="8.6640625" style="310" bestFit="1" customWidth="1"/>
    <col min="3074" max="3074" width="13.33203125" style="310" customWidth="1"/>
    <col min="3075" max="3075" width="16.109375" style="310" bestFit="1" customWidth="1"/>
    <col min="3076" max="3076" width="23.5546875" style="310" customWidth="1"/>
    <col min="3077" max="3077" width="17.33203125" style="310" customWidth="1"/>
    <col min="3078" max="3078" width="20.5546875" style="310" bestFit="1" customWidth="1"/>
    <col min="3079" max="3079" width="17.109375" style="310" customWidth="1"/>
    <col min="3080" max="3080" width="21.88671875" style="310" bestFit="1" customWidth="1"/>
    <col min="3081" max="3081" width="17.109375" style="310" bestFit="1" customWidth="1"/>
    <col min="3082" max="3082" width="18.109375" style="310" bestFit="1" customWidth="1"/>
    <col min="3083" max="3083" width="26.44140625" style="310" customWidth="1"/>
    <col min="3084" max="3328" width="9.109375" style="310"/>
    <col min="3329" max="3329" width="8.6640625" style="310" bestFit="1" customWidth="1"/>
    <col min="3330" max="3330" width="13.33203125" style="310" customWidth="1"/>
    <col min="3331" max="3331" width="16.109375" style="310" bestFit="1" customWidth="1"/>
    <col min="3332" max="3332" width="23.5546875" style="310" customWidth="1"/>
    <col min="3333" max="3333" width="17.33203125" style="310" customWidth="1"/>
    <col min="3334" max="3334" width="20.5546875" style="310" bestFit="1" customWidth="1"/>
    <col min="3335" max="3335" width="17.109375" style="310" customWidth="1"/>
    <col min="3336" max="3336" width="21.88671875" style="310" bestFit="1" customWidth="1"/>
    <col min="3337" max="3337" width="17.109375" style="310" bestFit="1" customWidth="1"/>
    <col min="3338" max="3338" width="18.109375" style="310" bestFit="1" customWidth="1"/>
    <col min="3339" max="3339" width="26.44140625" style="310" customWidth="1"/>
    <col min="3340" max="3584" width="9.109375" style="310"/>
    <col min="3585" max="3585" width="8.6640625" style="310" bestFit="1" customWidth="1"/>
    <col min="3586" max="3586" width="13.33203125" style="310" customWidth="1"/>
    <col min="3587" max="3587" width="16.109375" style="310" bestFit="1" customWidth="1"/>
    <col min="3588" max="3588" width="23.5546875" style="310" customWidth="1"/>
    <col min="3589" max="3589" width="17.33203125" style="310" customWidth="1"/>
    <col min="3590" max="3590" width="20.5546875" style="310" bestFit="1" customWidth="1"/>
    <col min="3591" max="3591" width="17.109375" style="310" customWidth="1"/>
    <col min="3592" max="3592" width="21.88671875" style="310" bestFit="1" customWidth="1"/>
    <col min="3593" max="3593" width="17.109375" style="310" bestFit="1" customWidth="1"/>
    <col min="3594" max="3594" width="18.109375" style="310" bestFit="1" customWidth="1"/>
    <col min="3595" max="3595" width="26.44140625" style="310" customWidth="1"/>
    <col min="3596" max="3840" width="9.109375" style="310"/>
    <col min="3841" max="3841" width="8.6640625" style="310" bestFit="1" customWidth="1"/>
    <col min="3842" max="3842" width="13.33203125" style="310" customWidth="1"/>
    <col min="3843" max="3843" width="16.109375" style="310" bestFit="1" customWidth="1"/>
    <col min="3844" max="3844" width="23.5546875" style="310" customWidth="1"/>
    <col min="3845" max="3845" width="17.33203125" style="310" customWidth="1"/>
    <col min="3846" max="3846" width="20.5546875" style="310" bestFit="1" customWidth="1"/>
    <col min="3847" max="3847" width="17.109375" style="310" customWidth="1"/>
    <col min="3848" max="3848" width="21.88671875" style="310" bestFit="1" customWidth="1"/>
    <col min="3849" max="3849" width="17.109375" style="310" bestFit="1" customWidth="1"/>
    <col min="3850" max="3850" width="18.109375" style="310" bestFit="1" customWidth="1"/>
    <col min="3851" max="3851" width="26.44140625" style="310" customWidth="1"/>
    <col min="3852" max="4096" width="9.109375" style="310"/>
    <col min="4097" max="4097" width="8.6640625" style="310" bestFit="1" customWidth="1"/>
    <col min="4098" max="4098" width="13.33203125" style="310" customWidth="1"/>
    <col min="4099" max="4099" width="16.109375" style="310" bestFit="1" customWidth="1"/>
    <col min="4100" max="4100" width="23.5546875" style="310" customWidth="1"/>
    <col min="4101" max="4101" width="17.33203125" style="310" customWidth="1"/>
    <col min="4102" max="4102" width="20.5546875" style="310" bestFit="1" customWidth="1"/>
    <col min="4103" max="4103" width="17.109375" style="310" customWidth="1"/>
    <col min="4104" max="4104" width="21.88671875" style="310" bestFit="1" customWidth="1"/>
    <col min="4105" max="4105" width="17.109375" style="310" bestFit="1" customWidth="1"/>
    <col min="4106" max="4106" width="18.109375" style="310" bestFit="1" customWidth="1"/>
    <col min="4107" max="4107" width="26.44140625" style="310" customWidth="1"/>
    <col min="4108" max="4352" width="9.109375" style="310"/>
    <col min="4353" max="4353" width="8.6640625" style="310" bestFit="1" customWidth="1"/>
    <col min="4354" max="4354" width="13.33203125" style="310" customWidth="1"/>
    <col min="4355" max="4355" width="16.109375" style="310" bestFit="1" customWidth="1"/>
    <col min="4356" max="4356" width="23.5546875" style="310" customWidth="1"/>
    <col min="4357" max="4357" width="17.33203125" style="310" customWidth="1"/>
    <col min="4358" max="4358" width="20.5546875" style="310" bestFit="1" customWidth="1"/>
    <col min="4359" max="4359" width="17.109375" style="310" customWidth="1"/>
    <col min="4360" max="4360" width="21.88671875" style="310" bestFit="1" customWidth="1"/>
    <col min="4361" max="4361" width="17.109375" style="310" bestFit="1" customWidth="1"/>
    <col min="4362" max="4362" width="18.109375" style="310" bestFit="1" customWidth="1"/>
    <col min="4363" max="4363" width="26.44140625" style="310" customWidth="1"/>
    <col min="4364" max="4608" width="9.109375" style="310"/>
    <col min="4609" max="4609" width="8.6640625" style="310" bestFit="1" customWidth="1"/>
    <col min="4610" max="4610" width="13.33203125" style="310" customWidth="1"/>
    <col min="4611" max="4611" width="16.109375" style="310" bestFit="1" customWidth="1"/>
    <col min="4612" max="4612" width="23.5546875" style="310" customWidth="1"/>
    <col min="4613" max="4613" width="17.33203125" style="310" customWidth="1"/>
    <col min="4614" max="4614" width="20.5546875" style="310" bestFit="1" customWidth="1"/>
    <col min="4615" max="4615" width="17.109375" style="310" customWidth="1"/>
    <col min="4616" max="4616" width="21.88671875" style="310" bestFit="1" customWidth="1"/>
    <col min="4617" max="4617" width="17.109375" style="310" bestFit="1" customWidth="1"/>
    <col min="4618" max="4618" width="18.109375" style="310" bestFit="1" customWidth="1"/>
    <col min="4619" max="4619" width="26.44140625" style="310" customWidth="1"/>
    <col min="4620" max="4864" width="9.109375" style="310"/>
    <col min="4865" max="4865" width="8.6640625" style="310" bestFit="1" customWidth="1"/>
    <col min="4866" max="4866" width="13.33203125" style="310" customWidth="1"/>
    <col min="4867" max="4867" width="16.109375" style="310" bestFit="1" customWidth="1"/>
    <col min="4868" max="4868" width="23.5546875" style="310" customWidth="1"/>
    <col min="4869" max="4869" width="17.33203125" style="310" customWidth="1"/>
    <col min="4870" max="4870" width="20.5546875" style="310" bestFit="1" customWidth="1"/>
    <col min="4871" max="4871" width="17.109375" style="310" customWidth="1"/>
    <col min="4872" max="4872" width="21.88671875" style="310" bestFit="1" customWidth="1"/>
    <col min="4873" max="4873" width="17.109375" style="310" bestFit="1" customWidth="1"/>
    <col min="4874" max="4874" width="18.109375" style="310" bestFit="1" customWidth="1"/>
    <col min="4875" max="4875" width="26.44140625" style="310" customWidth="1"/>
    <col min="4876" max="5120" width="9.109375" style="310"/>
    <col min="5121" max="5121" width="8.6640625" style="310" bestFit="1" customWidth="1"/>
    <col min="5122" max="5122" width="13.33203125" style="310" customWidth="1"/>
    <col min="5123" max="5123" width="16.109375" style="310" bestFit="1" customWidth="1"/>
    <col min="5124" max="5124" width="23.5546875" style="310" customWidth="1"/>
    <col min="5125" max="5125" width="17.33203125" style="310" customWidth="1"/>
    <col min="5126" max="5126" width="20.5546875" style="310" bestFit="1" customWidth="1"/>
    <col min="5127" max="5127" width="17.109375" style="310" customWidth="1"/>
    <col min="5128" max="5128" width="21.88671875" style="310" bestFit="1" customWidth="1"/>
    <col min="5129" max="5129" width="17.109375" style="310" bestFit="1" customWidth="1"/>
    <col min="5130" max="5130" width="18.109375" style="310" bestFit="1" customWidth="1"/>
    <col min="5131" max="5131" width="26.44140625" style="310" customWidth="1"/>
    <col min="5132" max="5376" width="9.109375" style="310"/>
    <col min="5377" max="5377" width="8.6640625" style="310" bestFit="1" customWidth="1"/>
    <col min="5378" max="5378" width="13.33203125" style="310" customWidth="1"/>
    <col min="5379" max="5379" width="16.109375" style="310" bestFit="1" customWidth="1"/>
    <col min="5380" max="5380" width="23.5546875" style="310" customWidth="1"/>
    <col min="5381" max="5381" width="17.33203125" style="310" customWidth="1"/>
    <col min="5382" max="5382" width="20.5546875" style="310" bestFit="1" customWidth="1"/>
    <col min="5383" max="5383" width="17.109375" style="310" customWidth="1"/>
    <col min="5384" max="5384" width="21.88671875" style="310" bestFit="1" customWidth="1"/>
    <col min="5385" max="5385" width="17.109375" style="310" bestFit="1" customWidth="1"/>
    <col min="5386" max="5386" width="18.109375" style="310" bestFit="1" customWidth="1"/>
    <col min="5387" max="5387" width="26.44140625" style="310" customWidth="1"/>
    <col min="5388" max="5632" width="9.109375" style="310"/>
    <col min="5633" max="5633" width="8.6640625" style="310" bestFit="1" customWidth="1"/>
    <col min="5634" max="5634" width="13.33203125" style="310" customWidth="1"/>
    <col min="5635" max="5635" width="16.109375" style="310" bestFit="1" customWidth="1"/>
    <col min="5636" max="5636" width="23.5546875" style="310" customWidth="1"/>
    <col min="5637" max="5637" width="17.33203125" style="310" customWidth="1"/>
    <col min="5638" max="5638" width="20.5546875" style="310" bestFit="1" customWidth="1"/>
    <col min="5639" max="5639" width="17.109375" style="310" customWidth="1"/>
    <col min="5640" max="5640" width="21.88671875" style="310" bestFit="1" customWidth="1"/>
    <col min="5641" max="5641" width="17.109375" style="310" bestFit="1" customWidth="1"/>
    <col min="5642" max="5642" width="18.109375" style="310" bestFit="1" customWidth="1"/>
    <col min="5643" max="5643" width="26.44140625" style="310" customWidth="1"/>
    <col min="5644" max="5888" width="9.109375" style="310"/>
    <col min="5889" max="5889" width="8.6640625" style="310" bestFit="1" customWidth="1"/>
    <col min="5890" max="5890" width="13.33203125" style="310" customWidth="1"/>
    <col min="5891" max="5891" width="16.109375" style="310" bestFit="1" customWidth="1"/>
    <col min="5892" max="5892" width="23.5546875" style="310" customWidth="1"/>
    <col min="5893" max="5893" width="17.33203125" style="310" customWidth="1"/>
    <col min="5894" max="5894" width="20.5546875" style="310" bestFit="1" customWidth="1"/>
    <col min="5895" max="5895" width="17.109375" style="310" customWidth="1"/>
    <col min="5896" max="5896" width="21.88671875" style="310" bestFit="1" customWidth="1"/>
    <col min="5897" max="5897" width="17.109375" style="310" bestFit="1" customWidth="1"/>
    <col min="5898" max="5898" width="18.109375" style="310" bestFit="1" customWidth="1"/>
    <col min="5899" max="5899" width="26.44140625" style="310" customWidth="1"/>
    <col min="5900" max="6144" width="9.109375" style="310"/>
    <col min="6145" max="6145" width="8.6640625" style="310" bestFit="1" customWidth="1"/>
    <col min="6146" max="6146" width="13.33203125" style="310" customWidth="1"/>
    <col min="6147" max="6147" width="16.109375" style="310" bestFit="1" customWidth="1"/>
    <col min="6148" max="6148" width="23.5546875" style="310" customWidth="1"/>
    <col min="6149" max="6149" width="17.33203125" style="310" customWidth="1"/>
    <col min="6150" max="6150" width="20.5546875" style="310" bestFit="1" customWidth="1"/>
    <col min="6151" max="6151" width="17.109375" style="310" customWidth="1"/>
    <col min="6152" max="6152" width="21.88671875" style="310" bestFit="1" customWidth="1"/>
    <col min="6153" max="6153" width="17.109375" style="310" bestFit="1" customWidth="1"/>
    <col min="6154" max="6154" width="18.109375" style="310" bestFit="1" customWidth="1"/>
    <col min="6155" max="6155" width="26.44140625" style="310" customWidth="1"/>
    <col min="6156" max="6400" width="9.109375" style="310"/>
    <col min="6401" max="6401" width="8.6640625" style="310" bestFit="1" customWidth="1"/>
    <col min="6402" max="6402" width="13.33203125" style="310" customWidth="1"/>
    <col min="6403" max="6403" width="16.109375" style="310" bestFit="1" customWidth="1"/>
    <col min="6404" max="6404" width="23.5546875" style="310" customWidth="1"/>
    <col min="6405" max="6405" width="17.33203125" style="310" customWidth="1"/>
    <col min="6406" max="6406" width="20.5546875" style="310" bestFit="1" customWidth="1"/>
    <col min="6407" max="6407" width="17.109375" style="310" customWidth="1"/>
    <col min="6408" max="6408" width="21.88671875" style="310" bestFit="1" customWidth="1"/>
    <col min="6409" max="6409" width="17.109375" style="310" bestFit="1" customWidth="1"/>
    <col min="6410" max="6410" width="18.109375" style="310" bestFit="1" customWidth="1"/>
    <col min="6411" max="6411" width="26.44140625" style="310" customWidth="1"/>
    <col min="6412" max="6656" width="9.109375" style="310"/>
    <col min="6657" max="6657" width="8.6640625" style="310" bestFit="1" customWidth="1"/>
    <col min="6658" max="6658" width="13.33203125" style="310" customWidth="1"/>
    <col min="6659" max="6659" width="16.109375" style="310" bestFit="1" customWidth="1"/>
    <col min="6660" max="6660" width="23.5546875" style="310" customWidth="1"/>
    <col min="6661" max="6661" width="17.33203125" style="310" customWidth="1"/>
    <col min="6662" max="6662" width="20.5546875" style="310" bestFit="1" customWidth="1"/>
    <col min="6663" max="6663" width="17.109375" style="310" customWidth="1"/>
    <col min="6664" max="6664" width="21.88671875" style="310" bestFit="1" customWidth="1"/>
    <col min="6665" max="6665" width="17.109375" style="310" bestFit="1" customWidth="1"/>
    <col min="6666" max="6666" width="18.109375" style="310" bestFit="1" customWidth="1"/>
    <col min="6667" max="6667" width="26.44140625" style="310" customWidth="1"/>
    <col min="6668" max="6912" width="9.109375" style="310"/>
    <col min="6913" max="6913" width="8.6640625" style="310" bestFit="1" customWidth="1"/>
    <col min="6914" max="6914" width="13.33203125" style="310" customWidth="1"/>
    <col min="6915" max="6915" width="16.109375" style="310" bestFit="1" customWidth="1"/>
    <col min="6916" max="6916" width="23.5546875" style="310" customWidth="1"/>
    <col min="6917" max="6917" width="17.33203125" style="310" customWidth="1"/>
    <col min="6918" max="6918" width="20.5546875" style="310" bestFit="1" customWidth="1"/>
    <col min="6919" max="6919" width="17.109375" style="310" customWidth="1"/>
    <col min="6920" max="6920" width="21.88671875" style="310" bestFit="1" customWidth="1"/>
    <col min="6921" max="6921" width="17.109375" style="310" bestFit="1" customWidth="1"/>
    <col min="6922" max="6922" width="18.109375" style="310" bestFit="1" customWidth="1"/>
    <col min="6923" max="6923" width="26.44140625" style="310" customWidth="1"/>
    <col min="6924" max="7168" width="9.109375" style="310"/>
    <col min="7169" max="7169" width="8.6640625" style="310" bestFit="1" customWidth="1"/>
    <col min="7170" max="7170" width="13.33203125" style="310" customWidth="1"/>
    <col min="7171" max="7171" width="16.109375" style="310" bestFit="1" customWidth="1"/>
    <col min="7172" max="7172" width="23.5546875" style="310" customWidth="1"/>
    <col min="7173" max="7173" width="17.33203125" style="310" customWidth="1"/>
    <col min="7174" max="7174" width="20.5546875" style="310" bestFit="1" customWidth="1"/>
    <col min="7175" max="7175" width="17.109375" style="310" customWidth="1"/>
    <col min="7176" max="7176" width="21.88671875" style="310" bestFit="1" customWidth="1"/>
    <col min="7177" max="7177" width="17.109375" style="310" bestFit="1" customWidth="1"/>
    <col min="7178" max="7178" width="18.109375" style="310" bestFit="1" customWidth="1"/>
    <col min="7179" max="7179" width="26.44140625" style="310" customWidth="1"/>
    <col min="7180" max="7424" width="9.109375" style="310"/>
    <col min="7425" max="7425" width="8.6640625" style="310" bestFit="1" customWidth="1"/>
    <col min="7426" max="7426" width="13.33203125" style="310" customWidth="1"/>
    <col min="7427" max="7427" width="16.109375" style="310" bestFit="1" customWidth="1"/>
    <col min="7428" max="7428" width="23.5546875" style="310" customWidth="1"/>
    <col min="7429" max="7429" width="17.33203125" style="310" customWidth="1"/>
    <col min="7430" max="7430" width="20.5546875" style="310" bestFit="1" customWidth="1"/>
    <col min="7431" max="7431" width="17.109375" style="310" customWidth="1"/>
    <col min="7432" max="7432" width="21.88671875" style="310" bestFit="1" customWidth="1"/>
    <col min="7433" max="7433" width="17.109375" style="310" bestFit="1" customWidth="1"/>
    <col min="7434" max="7434" width="18.109375" style="310" bestFit="1" customWidth="1"/>
    <col min="7435" max="7435" width="26.44140625" style="310" customWidth="1"/>
    <col min="7436" max="7680" width="9.109375" style="310"/>
    <col min="7681" max="7681" width="8.6640625" style="310" bestFit="1" customWidth="1"/>
    <col min="7682" max="7682" width="13.33203125" style="310" customWidth="1"/>
    <col min="7683" max="7683" width="16.109375" style="310" bestFit="1" customWidth="1"/>
    <col min="7684" max="7684" width="23.5546875" style="310" customWidth="1"/>
    <col min="7685" max="7685" width="17.33203125" style="310" customWidth="1"/>
    <col min="7686" max="7686" width="20.5546875" style="310" bestFit="1" customWidth="1"/>
    <col min="7687" max="7687" width="17.109375" style="310" customWidth="1"/>
    <col min="7688" max="7688" width="21.88671875" style="310" bestFit="1" customWidth="1"/>
    <col min="7689" max="7689" width="17.109375" style="310" bestFit="1" customWidth="1"/>
    <col min="7690" max="7690" width="18.109375" style="310" bestFit="1" customWidth="1"/>
    <col min="7691" max="7691" width="26.44140625" style="310" customWidth="1"/>
    <col min="7692" max="7936" width="9.109375" style="310"/>
    <col min="7937" max="7937" width="8.6640625" style="310" bestFit="1" customWidth="1"/>
    <col min="7938" max="7938" width="13.33203125" style="310" customWidth="1"/>
    <col min="7939" max="7939" width="16.109375" style="310" bestFit="1" customWidth="1"/>
    <col min="7940" max="7940" width="23.5546875" style="310" customWidth="1"/>
    <col min="7941" max="7941" width="17.33203125" style="310" customWidth="1"/>
    <col min="7942" max="7942" width="20.5546875" style="310" bestFit="1" customWidth="1"/>
    <col min="7943" max="7943" width="17.109375" style="310" customWidth="1"/>
    <col min="7944" max="7944" width="21.88671875" style="310" bestFit="1" customWidth="1"/>
    <col min="7945" max="7945" width="17.109375" style="310" bestFit="1" customWidth="1"/>
    <col min="7946" max="7946" width="18.109375" style="310" bestFit="1" customWidth="1"/>
    <col min="7947" max="7947" width="26.44140625" style="310" customWidth="1"/>
    <col min="7948" max="8192" width="9.109375" style="310"/>
    <col min="8193" max="8193" width="8.6640625" style="310" bestFit="1" customWidth="1"/>
    <col min="8194" max="8194" width="13.33203125" style="310" customWidth="1"/>
    <col min="8195" max="8195" width="16.109375" style="310" bestFit="1" customWidth="1"/>
    <col min="8196" max="8196" width="23.5546875" style="310" customWidth="1"/>
    <col min="8197" max="8197" width="17.33203125" style="310" customWidth="1"/>
    <col min="8198" max="8198" width="20.5546875" style="310" bestFit="1" customWidth="1"/>
    <col min="8199" max="8199" width="17.109375" style="310" customWidth="1"/>
    <col min="8200" max="8200" width="21.88671875" style="310" bestFit="1" customWidth="1"/>
    <col min="8201" max="8201" width="17.109375" style="310" bestFit="1" customWidth="1"/>
    <col min="8202" max="8202" width="18.109375" style="310" bestFit="1" customWidth="1"/>
    <col min="8203" max="8203" width="26.44140625" style="310" customWidth="1"/>
    <col min="8204" max="8448" width="9.109375" style="310"/>
    <col min="8449" max="8449" width="8.6640625" style="310" bestFit="1" customWidth="1"/>
    <col min="8450" max="8450" width="13.33203125" style="310" customWidth="1"/>
    <col min="8451" max="8451" width="16.109375" style="310" bestFit="1" customWidth="1"/>
    <col min="8452" max="8452" width="23.5546875" style="310" customWidth="1"/>
    <col min="8453" max="8453" width="17.33203125" style="310" customWidth="1"/>
    <col min="8454" max="8454" width="20.5546875" style="310" bestFit="1" customWidth="1"/>
    <col min="8455" max="8455" width="17.109375" style="310" customWidth="1"/>
    <col min="8456" max="8456" width="21.88671875" style="310" bestFit="1" customWidth="1"/>
    <col min="8457" max="8457" width="17.109375" style="310" bestFit="1" customWidth="1"/>
    <col min="8458" max="8458" width="18.109375" style="310" bestFit="1" customWidth="1"/>
    <col min="8459" max="8459" width="26.44140625" style="310" customWidth="1"/>
    <col min="8460" max="8704" width="9.109375" style="310"/>
    <col min="8705" max="8705" width="8.6640625" style="310" bestFit="1" customWidth="1"/>
    <col min="8706" max="8706" width="13.33203125" style="310" customWidth="1"/>
    <col min="8707" max="8707" width="16.109375" style="310" bestFit="1" customWidth="1"/>
    <col min="8708" max="8708" width="23.5546875" style="310" customWidth="1"/>
    <col min="8709" max="8709" width="17.33203125" style="310" customWidth="1"/>
    <col min="8710" max="8710" width="20.5546875" style="310" bestFit="1" customWidth="1"/>
    <col min="8711" max="8711" width="17.109375" style="310" customWidth="1"/>
    <col min="8712" max="8712" width="21.88671875" style="310" bestFit="1" customWidth="1"/>
    <col min="8713" max="8713" width="17.109375" style="310" bestFit="1" customWidth="1"/>
    <col min="8714" max="8714" width="18.109375" style="310" bestFit="1" customWidth="1"/>
    <col min="8715" max="8715" width="26.44140625" style="310" customWidth="1"/>
    <col min="8716" max="8960" width="9.109375" style="310"/>
    <col min="8961" max="8961" width="8.6640625" style="310" bestFit="1" customWidth="1"/>
    <col min="8962" max="8962" width="13.33203125" style="310" customWidth="1"/>
    <col min="8963" max="8963" width="16.109375" style="310" bestFit="1" customWidth="1"/>
    <col min="8964" max="8964" width="23.5546875" style="310" customWidth="1"/>
    <col min="8965" max="8965" width="17.33203125" style="310" customWidth="1"/>
    <col min="8966" max="8966" width="20.5546875" style="310" bestFit="1" customWidth="1"/>
    <col min="8967" max="8967" width="17.109375" style="310" customWidth="1"/>
    <col min="8968" max="8968" width="21.88671875" style="310" bestFit="1" customWidth="1"/>
    <col min="8969" max="8969" width="17.109375" style="310" bestFit="1" customWidth="1"/>
    <col min="8970" max="8970" width="18.109375" style="310" bestFit="1" customWidth="1"/>
    <col min="8971" max="8971" width="26.44140625" style="310" customWidth="1"/>
    <col min="8972" max="9216" width="9.109375" style="310"/>
    <col min="9217" max="9217" width="8.6640625" style="310" bestFit="1" customWidth="1"/>
    <col min="9218" max="9218" width="13.33203125" style="310" customWidth="1"/>
    <col min="9219" max="9219" width="16.109375" style="310" bestFit="1" customWidth="1"/>
    <col min="9220" max="9220" width="23.5546875" style="310" customWidth="1"/>
    <col min="9221" max="9221" width="17.33203125" style="310" customWidth="1"/>
    <col min="9222" max="9222" width="20.5546875" style="310" bestFit="1" customWidth="1"/>
    <col min="9223" max="9223" width="17.109375" style="310" customWidth="1"/>
    <col min="9224" max="9224" width="21.88671875" style="310" bestFit="1" customWidth="1"/>
    <col min="9225" max="9225" width="17.109375" style="310" bestFit="1" customWidth="1"/>
    <col min="9226" max="9226" width="18.109375" style="310" bestFit="1" customWidth="1"/>
    <col min="9227" max="9227" width="26.44140625" style="310" customWidth="1"/>
    <col min="9228" max="9472" width="9.109375" style="310"/>
    <col min="9473" max="9473" width="8.6640625" style="310" bestFit="1" customWidth="1"/>
    <col min="9474" max="9474" width="13.33203125" style="310" customWidth="1"/>
    <col min="9475" max="9475" width="16.109375" style="310" bestFit="1" customWidth="1"/>
    <col min="9476" max="9476" width="23.5546875" style="310" customWidth="1"/>
    <col min="9477" max="9477" width="17.33203125" style="310" customWidth="1"/>
    <col min="9478" max="9478" width="20.5546875" style="310" bestFit="1" customWidth="1"/>
    <col min="9479" max="9479" width="17.109375" style="310" customWidth="1"/>
    <col min="9480" max="9480" width="21.88671875" style="310" bestFit="1" customWidth="1"/>
    <col min="9481" max="9481" width="17.109375" style="310" bestFit="1" customWidth="1"/>
    <col min="9482" max="9482" width="18.109375" style="310" bestFit="1" customWidth="1"/>
    <col min="9483" max="9483" width="26.44140625" style="310" customWidth="1"/>
    <col min="9484" max="9728" width="9.109375" style="310"/>
    <col min="9729" max="9729" width="8.6640625" style="310" bestFit="1" customWidth="1"/>
    <col min="9730" max="9730" width="13.33203125" style="310" customWidth="1"/>
    <col min="9731" max="9731" width="16.109375" style="310" bestFit="1" customWidth="1"/>
    <col min="9732" max="9732" width="23.5546875" style="310" customWidth="1"/>
    <col min="9733" max="9733" width="17.33203125" style="310" customWidth="1"/>
    <col min="9734" max="9734" width="20.5546875" style="310" bestFit="1" customWidth="1"/>
    <col min="9735" max="9735" width="17.109375" style="310" customWidth="1"/>
    <col min="9736" max="9736" width="21.88671875" style="310" bestFit="1" customWidth="1"/>
    <col min="9737" max="9737" width="17.109375" style="310" bestFit="1" customWidth="1"/>
    <col min="9738" max="9738" width="18.109375" style="310" bestFit="1" customWidth="1"/>
    <col min="9739" max="9739" width="26.44140625" style="310" customWidth="1"/>
    <col min="9740" max="9984" width="9.109375" style="310"/>
    <col min="9985" max="9985" width="8.6640625" style="310" bestFit="1" customWidth="1"/>
    <col min="9986" max="9986" width="13.33203125" style="310" customWidth="1"/>
    <col min="9987" max="9987" width="16.109375" style="310" bestFit="1" customWidth="1"/>
    <col min="9988" max="9988" width="23.5546875" style="310" customWidth="1"/>
    <col min="9989" max="9989" width="17.33203125" style="310" customWidth="1"/>
    <col min="9990" max="9990" width="20.5546875" style="310" bestFit="1" customWidth="1"/>
    <col min="9991" max="9991" width="17.109375" style="310" customWidth="1"/>
    <col min="9992" max="9992" width="21.88671875" style="310" bestFit="1" customWidth="1"/>
    <col min="9993" max="9993" width="17.109375" style="310" bestFit="1" customWidth="1"/>
    <col min="9994" max="9994" width="18.109375" style="310" bestFit="1" customWidth="1"/>
    <col min="9995" max="9995" width="26.44140625" style="310" customWidth="1"/>
    <col min="9996" max="10240" width="9.109375" style="310"/>
    <col min="10241" max="10241" width="8.6640625" style="310" bestFit="1" customWidth="1"/>
    <col min="10242" max="10242" width="13.33203125" style="310" customWidth="1"/>
    <col min="10243" max="10243" width="16.109375" style="310" bestFit="1" customWidth="1"/>
    <col min="10244" max="10244" width="23.5546875" style="310" customWidth="1"/>
    <col min="10245" max="10245" width="17.33203125" style="310" customWidth="1"/>
    <col min="10246" max="10246" width="20.5546875" style="310" bestFit="1" customWidth="1"/>
    <col min="10247" max="10247" width="17.109375" style="310" customWidth="1"/>
    <col min="10248" max="10248" width="21.88671875" style="310" bestFit="1" customWidth="1"/>
    <col min="10249" max="10249" width="17.109375" style="310" bestFit="1" customWidth="1"/>
    <col min="10250" max="10250" width="18.109375" style="310" bestFit="1" customWidth="1"/>
    <col min="10251" max="10251" width="26.44140625" style="310" customWidth="1"/>
    <col min="10252" max="10496" width="9.109375" style="310"/>
    <col min="10497" max="10497" width="8.6640625" style="310" bestFit="1" customWidth="1"/>
    <col min="10498" max="10498" width="13.33203125" style="310" customWidth="1"/>
    <col min="10499" max="10499" width="16.109375" style="310" bestFit="1" customWidth="1"/>
    <col min="10500" max="10500" width="23.5546875" style="310" customWidth="1"/>
    <col min="10501" max="10501" width="17.33203125" style="310" customWidth="1"/>
    <col min="10502" max="10502" width="20.5546875" style="310" bestFit="1" customWidth="1"/>
    <col min="10503" max="10503" width="17.109375" style="310" customWidth="1"/>
    <col min="10504" max="10504" width="21.88671875" style="310" bestFit="1" customWidth="1"/>
    <col min="10505" max="10505" width="17.109375" style="310" bestFit="1" customWidth="1"/>
    <col min="10506" max="10506" width="18.109375" style="310" bestFit="1" customWidth="1"/>
    <col min="10507" max="10507" width="26.44140625" style="310" customWidth="1"/>
    <col min="10508" max="10752" width="9.109375" style="310"/>
    <col min="10753" max="10753" width="8.6640625" style="310" bestFit="1" customWidth="1"/>
    <col min="10754" max="10754" width="13.33203125" style="310" customWidth="1"/>
    <col min="10755" max="10755" width="16.109375" style="310" bestFit="1" customWidth="1"/>
    <col min="10756" max="10756" width="23.5546875" style="310" customWidth="1"/>
    <col min="10757" max="10757" width="17.33203125" style="310" customWidth="1"/>
    <col min="10758" max="10758" width="20.5546875" style="310" bestFit="1" customWidth="1"/>
    <col min="10759" max="10759" width="17.109375" style="310" customWidth="1"/>
    <col min="10760" max="10760" width="21.88671875" style="310" bestFit="1" customWidth="1"/>
    <col min="10761" max="10761" width="17.109375" style="310" bestFit="1" customWidth="1"/>
    <col min="10762" max="10762" width="18.109375" style="310" bestFit="1" customWidth="1"/>
    <col min="10763" max="10763" width="26.44140625" style="310" customWidth="1"/>
    <col min="10764" max="11008" width="9.109375" style="310"/>
    <col min="11009" max="11009" width="8.6640625" style="310" bestFit="1" customWidth="1"/>
    <col min="11010" max="11010" width="13.33203125" style="310" customWidth="1"/>
    <col min="11011" max="11011" width="16.109375" style="310" bestFit="1" customWidth="1"/>
    <col min="11012" max="11012" width="23.5546875" style="310" customWidth="1"/>
    <col min="11013" max="11013" width="17.33203125" style="310" customWidth="1"/>
    <col min="11014" max="11014" width="20.5546875" style="310" bestFit="1" customWidth="1"/>
    <col min="11015" max="11015" width="17.109375" style="310" customWidth="1"/>
    <col min="11016" max="11016" width="21.88671875" style="310" bestFit="1" customWidth="1"/>
    <col min="11017" max="11017" width="17.109375" style="310" bestFit="1" customWidth="1"/>
    <col min="11018" max="11018" width="18.109375" style="310" bestFit="1" customWidth="1"/>
    <col min="11019" max="11019" width="26.44140625" style="310" customWidth="1"/>
    <col min="11020" max="11264" width="9.109375" style="310"/>
    <col min="11265" max="11265" width="8.6640625" style="310" bestFit="1" customWidth="1"/>
    <col min="11266" max="11266" width="13.33203125" style="310" customWidth="1"/>
    <col min="11267" max="11267" width="16.109375" style="310" bestFit="1" customWidth="1"/>
    <col min="11268" max="11268" width="23.5546875" style="310" customWidth="1"/>
    <col min="11269" max="11269" width="17.33203125" style="310" customWidth="1"/>
    <col min="11270" max="11270" width="20.5546875" style="310" bestFit="1" customWidth="1"/>
    <col min="11271" max="11271" width="17.109375" style="310" customWidth="1"/>
    <col min="11272" max="11272" width="21.88671875" style="310" bestFit="1" customWidth="1"/>
    <col min="11273" max="11273" width="17.109375" style="310" bestFit="1" customWidth="1"/>
    <col min="11274" max="11274" width="18.109375" style="310" bestFit="1" customWidth="1"/>
    <col min="11275" max="11275" width="26.44140625" style="310" customWidth="1"/>
    <col min="11276" max="11520" width="9.109375" style="310"/>
    <col min="11521" max="11521" width="8.6640625" style="310" bestFit="1" customWidth="1"/>
    <col min="11522" max="11522" width="13.33203125" style="310" customWidth="1"/>
    <col min="11523" max="11523" width="16.109375" style="310" bestFit="1" customWidth="1"/>
    <col min="11524" max="11524" width="23.5546875" style="310" customWidth="1"/>
    <col min="11525" max="11525" width="17.33203125" style="310" customWidth="1"/>
    <col min="11526" max="11526" width="20.5546875" style="310" bestFit="1" customWidth="1"/>
    <col min="11527" max="11527" width="17.109375" style="310" customWidth="1"/>
    <col min="11528" max="11528" width="21.88671875" style="310" bestFit="1" customWidth="1"/>
    <col min="11529" max="11529" width="17.109375" style="310" bestFit="1" customWidth="1"/>
    <col min="11530" max="11530" width="18.109375" style="310" bestFit="1" customWidth="1"/>
    <col min="11531" max="11531" width="26.44140625" style="310" customWidth="1"/>
    <col min="11532" max="11776" width="9.109375" style="310"/>
    <col min="11777" max="11777" width="8.6640625" style="310" bestFit="1" customWidth="1"/>
    <col min="11778" max="11778" width="13.33203125" style="310" customWidth="1"/>
    <col min="11779" max="11779" width="16.109375" style="310" bestFit="1" customWidth="1"/>
    <col min="11780" max="11780" width="23.5546875" style="310" customWidth="1"/>
    <col min="11781" max="11781" width="17.33203125" style="310" customWidth="1"/>
    <col min="11782" max="11782" width="20.5546875" style="310" bestFit="1" customWidth="1"/>
    <col min="11783" max="11783" width="17.109375" style="310" customWidth="1"/>
    <col min="11784" max="11784" width="21.88671875" style="310" bestFit="1" customWidth="1"/>
    <col min="11785" max="11785" width="17.109375" style="310" bestFit="1" customWidth="1"/>
    <col min="11786" max="11786" width="18.109375" style="310" bestFit="1" customWidth="1"/>
    <col min="11787" max="11787" width="26.44140625" style="310" customWidth="1"/>
    <col min="11788" max="12032" width="9.109375" style="310"/>
    <col min="12033" max="12033" width="8.6640625" style="310" bestFit="1" customWidth="1"/>
    <col min="12034" max="12034" width="13.33203125" style="310" customWidth="1"/>
    <col min="12035" max="12035" width="16.109375" style="310" bestFit="1" customWidth="1"/>
    <col min="12036" max="12036" width="23.5546875" style="310" customWidth="1"/>
    <col min="12037" max="12037" width="17.33203125" style="310" customWidth="1"/>
    <col min="12038" max="12038" width="20.5546875" style="310" bestFit="1" customWidth="1"/>
    <col min="12039" max="12039" width="17.109375" style="310" customWidth="1"/>
    <col min="12040" max="12040" width="21.88671875" style="310" bestFit="1" customWidth="1"/>
    <col min="12041" max="12041" width="17.109375" style="310" bestFit="1" customWidth="1"/>
    <col min="12042" max="12042" width="18.109375" style="310" bestFit="1" customWidth="1"/>
    <col min="12043" max="12043" width="26.44140625" style="310" customWidth="1"/>
    <col min="12044" max="12288" width="9.109375" style="310"/>
    <col min="12289" max="12289" width="8.6640625" style="310" bestFit="1" customWidth="1"/>
    <col min="12290" max="12290" width="13.33203125" style="310" customWidth="1"/>
    <col min="12291" max="12291" width="16.109375" style="310" bestFit="1" customWidth="1"/>
    <col min="12292" max="12292" width="23.5546875" style="310" customWidth="1"/>
    <col min="12293" max="12293" width="17.33203125" style="310" customWidth="1"/>
    <col min="12294" max="12294" width="20.5546875" style="310" bestFit="1" customWidth="1"/>
    <col min="12295" max="12295" width="17.109375" style="310" customWidth="1"/>
    <col min="12296" max="12296" width="21.88671875" style="310" bestFit="1" customWidth="1"/>
    <col min="12297" max="12297" width="17.109375" style="310" bestFit="1" customWidth="1"/>
    <col min="12298" max="12298" width="18.109375" style="310" bestFit="1" customWidth="1"/>
    <col min="12299" max="12299" width="26.44140625" style="310" customWidth="1"/>
    <col min="12300" max="12544" width="9.109375" style="310"/>
    <col min="12545" max="12545" width="8.6640625" style="310" bestFit="1" customWidth="1"/>
    <col min="12546" max="12546" width="13.33203125" style="310" customWidth="1"/>
    <col min="12547" max="12547" width="16.109375" style="310" bestFit="1" customWidth="1"/>
    <col min="12548" max="12548" width="23.5546875" style="310" customWidth="1"/>
    <col min="12549" max="12549" width="17.33203125" style="310" customWidth="1"/>
    <col min="12550" max="12550" width="20.5546875" style="310" bestFit="1" customWidth="1"/>
    <col min="12551" max="12551" width="17.109375" style="310" customWidth="1"/>
    <col min="12552" max="12552" width="21.88671875" style="310" bestFit="1" customWidth="1"/>
    <col min="12553" max="12553" width="17.109375" style="310" bestFit="1" customWidth="1"/>
    <col min="12554" max="12554" width="18.109375" style="310" bestFit="1" customWidth="1"/>
    <col min="12555" max="12555" width="26.44140625" style="310" customWidth="1"/>
    <col min="12556" max="12800" width="9.109375" style="310"/>
    <col min="12801" max="12801" width="8.6640625" style="310" bestFit="1" customWidth="1"/>
    <col min="12802" max="12802" width="13.33203125" style="310" customWidth="1"/>
    <col min="12803" max="12803" width="16.109375" style="310" bestFit="1" customWidth="1"/>
    <col min="12804" max="12804" width="23.5546875" style="310" customWidth="1"/>
    <col min="12805" max="12805" width="17.33203125" style="310" customWidth="1"/>
    <col min="12806" max="12806" width="20.5546875" style="310" bestFit="1" customWidth="1"/>
    <col min="12807" max="12807" width="17.109375" style="310" customWidth="1"/>
    <col min="12808" max="12808" width="21.88671875" style="310" bestFit="1" customWidth="1"/>
    <col min="12809" max="12809" width="17.109375" style="310" bestFit="1" customWidth="1"/>
    <col min="12810" max="12810" width="18.109375" style="310" bestFit="1" customWidth="1"/>
    <col min="12811" max="12811" width="26.44140625" style="310" customWidth="1"/>
    <col min="12812" max="13056" width="9.109375" style="310"/>
    <col min="13057" max="13057" width="8.6640625" style="310" bestFit="1" customWidth="1"/>
    <col min="13058" max="13058" width="13.33203125" style="310" customWidth="1"/>
    <col min="13059" max="13059" width="16.109375" style="310" bestFit="1" customWidth="1"/>
    <col min="13060" max="13060" width="23.5546875" style="310" customWidth="1"/>
    <col min="13061" max="13061" width="17.33203125" style="310" customWidth="1"/>
    <col min="13062" max="13062" width="20.5546875" style="310" bestFit="1" customWidth="1"/>
    <col min="13063" max="13063" width="17.109375" style="310" customWidth="1"/>
    <col min="13064" max="13064" width="21.88671875" style="310" bestFit="1" customWidth="1"/>
    <col min="13065" max="13065" width="17.109375" style="310" bestFit="1" customWidth="1"/>
    <col min="13066" max="13066" width="18.109375" style="310" bestFit="1" customWidth="1"/>
    <col min="13067" max="13067" width="26.44140625" style="310" customWidth="1"/>
    <col min="13068" max="13312" width="9.109375" style="310"/>
    <col min="13313" max="13313" width="8.6640625" style="310" bestFit="1" customWidth="1"/>
    <col min="13314" max="13314" width="13.33203125" style="310" customWidth="1"/>
    <col min="13315" max="13315" width="16.109375" style="310" bestFit="1" customWidth="1"/>
    <col min="13316" max="13316" width="23.5546875" style="310" customWidth="1"/>
    <col min="13317" max="13317" width="17.33203125" style="310" customWidth="1"/>
    <col min="13318" max="13318" width="20.5546875" style="310" bestFit="1" customWidth="1"/>
    <col min="13319" max="13319" width="17.109375" style="310" customWidth="1"/>
    <col min="13320" max="13320" width="21.88671875" style="310" bestFit="1" customWidth="1"/>
    <col min="13321" max="13321" width="17.109375" style="310" bestFit="1" customWidth="1"/>
    <col min="13322" max="13322" width="18.109375" style="310" bestFit="1" customWidth="1"/>
    <col min="13323" max="13323" width="26.44140625" style="310" customWidth="1"/>
    <col min="13324" max="13568" width="9.109375" style="310"/>
    <col min="13569" max="13569" width="8.6640625" style="310" bestFit="1" customWidth="1"/>
    <col min="13570" max="13570" width="13.33203125" style="310" customWidth="1"/>
    <col min="13571" max="13571" width="16.109375" style="310" bestFit="1" customWidth="1"/>
    <col min="13572" max="13572" width="23.5546875" style="310" customWidth="1"/>
    <col min="13573" max="13573" width="17.33203125" style="310" customWidth="1"/>
    <col min="13574" max="13574" width="20.5546875" style="310" bestFit="1" customWidth="1"/>
    <col min="13575" max="13575" width="17.109375" style="310" customWidth="1"/>
    <col min="13576" max="13576" width="21.88671875" style="310" bestFit="1" customWidth="1"/>
    <col min="13577" max="13577" width="17.109375" style="310" bestFit="1" customWidth="1"/>
    <col min="13578" max="13578" width="18.109375" style="310" bestFit="1" customWidth="1"/>
    <col min="13579" max="13579" width="26.44140625" style="310" customWidth="1"/>
    <col min="13580" max="13824" width="9.109375" style="310"/>
    <col min="13825" max="13825" width="8.6640625" style="310" bestFit="1" customWidth="1"/>
    <col min="13826" max="13826" width="13.33203125" style="310" customWidth="1"/>
    <col min="13827" max="13827" width="16.109375" style="310" bestFit="1" customWidth="1"/>
    <col min="13828" max="13828" width="23.5546875" style="310" customWidth="1"/>
    <col min="13829" max="13829" width="17.33203125" style="310" customWidth="1"/>
    <col min="13830" max="13830" width="20.5546875" style="310" bestFit="1" customWidth="1"/>
    <col min="13831" max="13831" width="17.109375" style="310" customWidth="1"/>
    <col min="13832" max="13832" width="21.88671875" style="310" bestFit="1" customWidth="1"/>
    <col min="13833" max="13833" width="17.109375" style="310" bestFit="1" customWidth="1"/>
    <col min="13834" max="13834" width="18.109375" style="310" bestFit="1" customWidth="1"/>
    <col min="13835" max="13835" width="26.44140625" style="310" customWidth="1"/>
    <col min="13836" max="14080" width="9.109375" style="310"/>
    <col min="14081" max="14081" width="8.6640625" style="310" bestFit="1" customWidth="1"/>
    <col min="14082" max="14082" width="13.33203125" style="310" customWidth="1"/>
    <col min="14083" max="14083" width="16.109375" style="310" bestFit="1" customWidth="1"/>
    <col min="14084" max="14084" width="23.5546875" style="310" customWidth="1"/>
    <col min="14085" max="14085" width="17.33203125" style="310" customWidth="1"/>
    <col min="14086" max="14086" width="20.5546875" style="310" bestFit="1" customWidth="1"/>
    <col min="14087" max="14087" width="17.109375" style="310" customWidth="1"/>
    <col min="14088" max="14088" width="21.88671875" style="310" bestFit="1" customWidth="1"/>
    <col min="14089" max="14089" width="17.109375" style="310" bestFit="1" customWidth="1"/>
    <col min="14090" max="14090" width="18.109375" style="310" bestFit="1" customWidth="1"/>
    <col min="14091" max="14091" width="26.44140625" style="310" customWidth="1"/>
    <col min="14092" max="14336" width="9.109375" style="310"/>
    <col min="14337" max="14337" width="8.6640625" style="310" bestFit="1" customWidth="1"/>
    <col min="14338" max="14338" width="13.33203125" style="310" customWidth="1"/>
    <col min="14339" max="14339" width="16.109375" style="310" bestFit="1" customWidth="1"/>
    <col min="14340" max="14340" width="23.5546875" style="310" customWidth="1"/>
    <col min="14341" max="14341" width="17.33203125" style="310" customWidth="1"/>
    <col min="14342" max="14342" width="20.5546875" style="310" bestFit="1" customWidth="1"/>
    <col min="14343" max="14343" width="17.109375" style="310" customWidth="1"/>
    <col min="14344" max="14344" width="21.88671875" style="310" bestFit="1" customWidth="1"/>
    <col min="14345" max="14345" width="17.109375" style="310" bestFit="1" customWidth="1"/>
    <col min="14346" max="14346" width="18.109375" style="310" bestFit="1" customWidth="1"/>
    <col min="14347" max="14347" width="26.44140625" style="310" customWidth="1"/>
    <col min="14348" max="14592" width="9.109375" style="310"/>
    <col min="14593" max="14593" width="8.6640625" style="310" bestFit="1" customWidth="1"/>
    <col min="14594" max="14594" width="13.33203125" style="310" customWidth="1"/>
    <col min="14595" max="14595" width="16.109375" style="310" bestFit="1" customWidth="1"/>
    <col min="14596" max="14596" width="23.5546875" style="310" customWidth="1"/>
    <col min="14597" max="14597" width="17.33203125" style="310" customWidth="1"/>
    <col min="14598" max="14598" width="20.5546875" style="310" bestFit="1" customWidth="1"/>
    <col min="14599" max="14599" width="17.109375" style="310" customWidth="1"/>
    <col min="14600" max="14600" width="21.88671875" style="310" bestFit="1" customWidth="1"/>
    <col min="14601" max="14601" width="17.109375" style="310" bestFit="1" customWidth="1"/>
    <col min="14602" max="14602" width="18.109375" style="310" bestFit="1" customWidth="1"/>
    <col min="14603" max="14603" width="26.44140625" style="310" customWidth="1"/>
    <col min="14604" max="14848" width="9.109375" style="310"/>
    <col min="14849" max="14849" width="8.6640625" style="310" bestFit="1" customWidth="1"/>
    <col min="14850" max="14850" width="13.33203125" style="310" customWidth="1"/>
    <col min="14851" max="14851" width="16.109375" style="310" bestFit="1" customWidth="1"/>
    <col min="14852" max="14852" width="23.5546875" style="310" customWidth="1"/>
    <col min="14853" max="14853" width="17.33203125" style="310" customWidth="1"/>
    <col min="14854" max="14854" width="20.5546875" style="310" bestFit="1" customWidth="1"/>
    <col min="14855" max="14855" width="17.109375" style="310" customWidth="1"/>
    <col min="14856" max="14856" width="21.88671875" style="310" bestFit="1" customWidth="1"/>
    <col min="14857" max="14857" width="17.109375" style="310" bestFit="1" customWidth="1"/>
    <col min="14858" max="14858" width="18.109375" style="310" bestFit="1" customWidth="1"/>
    <col min="14859" max="14859" width="26.44140625" style="310" customWidth="1"/>
    <col min="14860" max="15104" width="9.109375" style="310"/>
    <col min="15105" max="15105" width="8.6640625" style="310" bestFit="1" customWidth="1"/>
    <col min="15106" max="15106" width="13.33203125" style="310" customWidth="1"/>
    <col min="15107" max="15107" width="16.109375" style="310" bestFit="1" customWidth="1"/>
    <col min="15108" max="15108" width="23.5546875" style="310" customWidth="1"/>
    <col min="15109" max="15109" width="17.33203125" style="310" customWidth="1"/>
    <col min="15110" max="15110" width="20.5546875" style="310" bestFit="1" customWidth="1"/>
    <col min="15111" max="15111" width="17.109375" style="310" customWidth="1"/>
    <col min="15112" max="15112" width="21.88671875" style="310" bestFit="1" customWidth="1"/>
    <col min="15113" max="15113" width="17.109375" style="310" bestFit="1" customWidth="1"/>
    <col min="15114" max="15114" width="18.109375" style="310" bestFit="1" customWidth="1"/>
    <col min="15115" max="15115" width="26.44140625" style="310" customWidth="1"/>
    <col min="15116" max="15360" width="9.109375" style="310"/>
    <col min="15361" max="15361" width="8.6640625" style="310" bestFit="1" customWidth="1"/>
    <col min="15362" max="15362" width="13.33203125" style="310" customWidth="1"/>
    <col min="15363" max="15363" width="16.109375" style="310" bestFit="1" customWidth="1"/>
    <col min="15364" max="15364" width="23.5546875" style="310" customWidth="1"/>
    <col min="15365" max="15365" width="17.33203125" style="310" customWidth="1"/>
    <col min="15366" max="15366" width="20.5546875" style="310" bestFit="1" customWidth="1"/>
    <col min="15367" max="15367" width="17.109375" style="310" customWidth="1"/>
    <col min="15368" max="15368" width="21.88671875" style="310" bestFit="1" customWidth="1"/>
    <col min="15369" max="15369" width="17.109375" style="310" bestFit="1" customWidth="1"/>
    <col min="15370" max="15370" width="18.109375" style="310" bestFit="1" customWidth="1"/>
    <col min="15371" max="15371" width="26.44140625" style="310" customWidth="1"/>
    <col min="15372" max="15616" width="9.109375" style="310"/>
    <col min="15617" max="15617" width="8.6640625" style="310" bestFit="1" customWidth="1"/>
    <col min="15618" max="15618" width="13.33203125" style="310" customWidth="1"/>
    <col min="15619" max="15619" width="16.109375" style="310" bestFit="1" customWidth="1"/>
    <col min="15620" max="15620" width="23.5546875" style="310" customWidth="1"/>
    <col min="15621" max="15621" width="17.33203125" style="310" customWidth="1"/>
    <col min="15622" max="15622" width="20.5546875" style="310" bestFit="1" customWidth="1"/>
    <col min="15623" max="15623" width="17.109375" style="310" customWidth="1"/>
    <col min="15624" max="15624" width="21.88671875" style="310" bestFit="1" customWidth="1"/>
    <col min="15625" max="15625" width="17.109375" style="310" bestFit="1" customWidth="1"/>
    <col min="15626" max="15626" width="18.109375" style="310" bestFit="1" customWidth="1"/>
    <col min="15627" max="15627" width="26.44140625" style="310" customWidth="1"/>
    <col min="15628" max="15872" width="9.109375" style="310"/>
    <col min="15873" max="15873" width="8.6640625" style="310" bestFit="1" customWidth="1"/>
    <col min="15874" max="15874" width="13.33203125" style="310" customWidth="1"/>
    <col min="15875" max="15875" width="16.109375" style="310" bestFit="1" customWidth="1"/>
    <col min="15876" max="15876" width="23.5546875" style="310" customWidth="1"/>
    <col min="15877" max="15877" width="17.33203125" style="310" customWidth="1"/>
    <col min="15878" max="15878" width="20.5546875" style="310" bestFit="1" customWidth="1"/>
    <col min="15879" max="15879" width="17.109375" style="310" customWidth="1"/>
    <col min="15880" max="15880" width="21.88671875" style="310" bestFit="1" customWidth="1"/>
    <col min="15881" max="15881" width="17.109375" style="310" bestFit="1" customWidth="1"/>
    <col min="15882" max="15882" width="18.109375" style="310" bestFit="1" customWidth="1"/>
    <col min="15883" max="15883" width="26.44140625" style="310" customWidth="1"/>
    <col min="15884" max="16128" width="9.109375" style="310"/>
    <col min="16129" max="16129" width="8.6640625" style="310" bestFit="1" customWidth="1"/>
    <col min="16130" max="16130" width="13.33203125" style="310" customWidth="1"/>
    <col min="16131" max="16131" width="16.109375" style="310" bestFit="1" customWidth="1"/>
    <col min="16132" max="16132" width="23.5546875" style="310" customWidth="1"/>
    <col min="16133" max="16133" width="17.33203125" style="310" customWidth="1"/>
    <col min="16134" max="16134" width="20.5546875" style="310" bestFit="1" customWidth="1"/>
    <col min="16135" max="16135" width="17.109375" style="310" customWidth="1"/>
    <col min="16136" max="16136" width="21.88671875" style="310" bestFit="1" customWidth="1"/>
    <col min="16137" max="16137" width="17.109375" style="310" bestFit="1" customWidth="1"/>
    <col min="16138" max="16138" width="18.109375" style="310" bestFit="1" customWidth="1"/>
    <col min="16139" max="16139" width="26.44140625" style="310" customWidth="1"/>
    <col min="16140" max="16384" width="9.109375" style="310"/>
  </cols>
  <sheetData>
    <row r="1" spans="13:13" s="346" customFormat="1" x14ac:dyDescent="0.25">
      <c r="M1" s="347"/>
    </row>
    <row r="2" spans="13:13" s="346" customFormat="1" x14ac:dyDescent="0.25">
      <c r="M2" s="347"/>
    </row>
    <row r="3" spans="13:13" s="346" customFormat="1" x14ac:dyDescent="0.25">
      <c r="M3" s="347"/>
    </row>
    <row r="4" spans="13:13" s="346" customFormat="1" x14ac:dyDescent="0.25">
      <c r="M4" s="347"/>
    </row>
    <row r="5" spans="13:13" s="346" customFormat="1" x14ac:dyDescent="0.25">
      <c r="M5" s="347"/>
    </row>
    <row r="6" spans="13:13" s="346" customFormat="1" x14ac:dyDescent="0.25">
      <c r="M6" s="347"/>
    </row>
    <row r="7" spans="13:13" s="346" customFormat="1" x14ac:dyDescent="0.25">
      <c r="M7" s="347"/>
    </row>
    <row r="8" spans="13:13" s="346" customFormat="1" x14ac:dyDescent="0.25">
      <c r="M8" s="347"/>
    </row>
    <row r="9" spans="13:13" s="346" customFormat="1" x14ac:dyDescent="0.25">
      <c r="M9" s="347"/>
    </row>
    <row r="10" spans="13:13" s="346" customFormat="1" x14ac:dyDescent="0.25">
      <c r="M10" s="347"/>
    </row>
    <row r="11" spans="13:13" s="346" customFormat="1" x14ac:dyDescent="0.25">
      <c r="M11" s="347"/>
    </row>
    <row r="12" spans="13:13" s="346" customFormat="1" x14ac:dyDescent="0.25">
      <c r="M12" s="347"/>
    </row>
    <row r="13" spans="13:13" s="346" customFormat="1" x14ac:dyDescent="0.25">
      <c r="M13" s="347"/>
    </row>
    <row r="14" spans="13:13" s="346" customFormat="1" x14ac:dyDescent="0.25">
      <c r="M14" s="347"/>
    </row>
    <row r="15" spans="13:13" s="346" customFormat="1" x14ac:dyDescent="0.25">
      <c r="M15" s="347"/>
    </row>
    <row r="16" spans="13:13" s="346" customFormat="1" x14ac:dyDescent="0.25">
      <c r="M16" s="347"/>
    </row>
    <row r="17" spans="13:13" s="346" customFormat="1" x14ac:dyDescent="0.25">
      <c r="M17" s="347"/>
    </row>
    <row r="18" spans="13:13" s="346" customFormat="1" x14ac:dyDescent="0.25">
      <c r="M18" s="347"/>
    </row>
    <row r="19" spans="13:13" s="346" customFormat="1" x14ac:dyDescent="0.25">
      <c r="M19" s="347"/>
    </row>
    <row r="20" spans="13:13" s="346" customFormat="1" x14ac:dyDescent="0.25">
      <c r="M20" s="347"/>
    </row>
    <row r="21" spans="13:13" s="346" customFormat="1" x14ac:dyDescent="0.25">
      <c r="M21" s="347"/>
    </row>
    <row r="22" spans="13:13" s="346" customFormat="1" x14ac:dyDescent="0.25">
      <c r="M22" s="347"/>
    </row>
    <row r="23" spans="13:13" s="346" customFormat="1" x14ac:dyDescent="0.25">
      <c r="M23" s="347"/>
    </row>
    <row r="24" spans="13:13" s="346" customFormat="1" x14ac:dyDescent="0.25">
      <c r="M24" s="347"/>
    </row>
    <row r="25" spans="13:13" s="346" customFormat="1" x14ac:dyDescent="0.25">
      <c r="M25" s="347"/>
    </row>
    <row r="26" spans="13:13" s="346" customFormat="1" x14ac:dyDescent="0.25">
      <c r="M26" s="347"/>
    </row>
    <row r="27" spans="13:13" s="346" customFormat="1" x14ac:dyDescent="0.25">
      <c r="M27" s="347"/>
    </row>
    <row r="28" spans="13:13" s="346" customFormat="1" x14ac:dyDescent="0.25">
      <c r="M28" s="347"/>
    </row>
    <row r="29" spans="13:13" s="346" customFormat="1" x14ac:dyDescent="0.25">
      <c r="M29" s="347"/>
    </row>
    <row r="30" spans="13:13" s="346" customFormat="1" x14ac:dyDescent="0.25">
      <c r="M30" s="347"/>
    </row>
    <row r="31" spans="13:13" s="346" customFormat="1" x14ac:dyDescent="0.25">
      <c r="M31" s="347"/>
    </row>
    <row r="32" spans="13:13" s="346" customFormat="1" x14ac:dyDescent="0.25">
      <c r="M32" s="347"/>
    </row>
    <row r="33" spans="1:19" s="346" customFormat="1" x14ac:dyDescent="0.25">
      <c r="M33" s="347"/>
    </row>
    <row r="34" spans="1:19" s="346" customFormat="1" ht="15.75" customHeight="1" x14ac:dyDescent="0.25">
      <c r="B34" s="346" t="s">
        <v>699</v>
      </c>
    </row>
    <row r="35" spans="1:19" s="346" customFormat="1" ht="24.75" customHeight="1" x14ac:dyDescent="0.3">
      <c r="A35" s="351" t="str">
        <f>"VIN = "&amp;Vin&amp;" V, VOUT = "&amp; Vout &amp;" V, IOUT = " &amp;Iout &amp; " A,  Fsw = " &amp; Fsw/1000 &amp;" kHz, Current Limit = "&amp;ROUNDUP(DC_Current_Limit_Setpoint,0)&amp;" A"</f>
        <v>VIN = 24 V, VOUT = 5.1 V, IOUT = 6 A,  Fsw = 300 kHz, Current Limit = 10 A</v>
      </c>
      <c r="Q35" s="457"/>
    </row>
    <row r="36" spans="1:19" ht="24.75" customHeight="1" thickBot="1" x14ac:dyDescent="0.3">
      <c r="A36" s="312" t="s">
        <v>709</v>
      </c>
      <c r="Q36" s="458"/>
    </row>
    <row r="37" spans="1:19" ht="18" customHeight="1" x14ac:dyDescent="0.25">
      <c r="A37" s="443" t="s">
        <v>510</v>
      </c>
      <c r="B37" s="444" t="s">
        <v>509</v>
      </c>
      <c r="C37" s="444" t="s">
        <v>8</v>
      </c>
      <c r="D37" s="518" t="s">
        <v>188</v>
      </c>
      <c r="E37" s="519"/>
      <c r="F37" s="519"/>
      <c r="G37" s="520"/>
      <c r="H37" s="444" t="s">
        <v>496</v>
      </c>
      <c r="I37" s="444" t="s">
        <v>303</v>
      </c>
      <c r="J37" s="444" t="s">
        <v>497</v>
      </c>
      <c r="K37" s="432" t="s">
        <v>674</v>
      </c>
      <c r="L37" s="433" t="s">
        <v>675</v>
      </c>
      <c r="M37" s="310"/>
      <c r="P37" s="465"/>
      <c r="Q37" s="472"/>
      <c r="R37" s="465"/>
      <c r="S37" s="465"/>
    </row>
    <row r="38" spans="1:19" s="317" customFormat="1" ht="17.100000000000001" customHeight="1" x14ac:dyDescent="0.25">
      <c r="A38" s="314">
        <v>1</v>
      </c>
      <c r="B38" s="315" t="s">
        <v>608</v>
      </c>
      <c r="C38" s="329">
        <v>0.1</v>
      </c>
      <c r="D38" s="539">
        <f t="shared" ref="D38:D47" si="0">C38</f>
        <v>0.1</v>
      </c>
      <c r="E38" s="540"/>
      <c r="F38" s="540"/>
      <c r="G38" s="330"/>
      <c r="H38" s="331"/>
      <c r="I38" s="316" t="s">
        <v>498</v>
      </c>
      <c r="J38" s="436" t="s">
        <v>498</v>
      </c>
      <c r="K38" s="440" t="str">
        <f>CHOOSE(Q38, 'Variable Management'!N69,'Variable Management'!N70,'Variable Management'!N71)</f>
        <v>1.6 x 0.8</v>
      </c>
      <c r="L38" s="434">
        <f>CHOOSE(Q38, 'Variable Management'!O69,'Variable Management'!O70,'Variable Management'!O71)</f>
        <v>1.3</v>
      </c>
      <c r="P38" s="456"/>
      <c r="Q38" s="459">
        <v>2</v>
      </c>
      <c r="R38" s="456"/>
      <c r="S38" s="456"/>
    </row>
    <row r="39" spans="1:19" s="317" customFormat="1" ht="17.100000000000001" customHeight="1" x14ac:dyDescent="0.25">
      <c r="A39" s="313">
        <v>1</v>
      </c>
      <c r="B39" s="332" t="s">
        <v>502</v>
      </c>
      <c r="C39" s="333">
        <f>'Design Regulator'!D75</f>
        <v>6800</v>
      </c>
      <c r="D39" s="541">
        <f t="shared" si="0"/>
        <v>6800</v>
      </c>
      <c r="E39" s="542"/>
      <c r="F39" s="542"/>
      <c r="G39" s="334"/>
      <c r="H39" s="335"/>
      <c r="I39" s="336" t="s">
        <v>498</v>
      </c>
      <c r="J39" s="437" t="s">
        <v>498</v>
      </c>
      <c r="K39" s="441" t="str">
        <f>CHOOSE(Q39, 'Variable Management'!N69,'Variable Management'!N70,'Variable Management'!N71)</f>
        <v>1.0 x 0.5</v>
      </c>
      <c r="L39" s="442">
        <f>CHOOSE(Q39, 'Variable Management'!O69,'Variable Management'!O70,'Variable Management'!O71)</f>
        <v>0.5</v>
      </c>
      <c r="P39" s="456"/>
      <c r="Q39" s="459">
        <v>1</v>
      </c>
      <c r="R39" s="456"/>
      <c r="S39" s="456"/>
    </row>
    <row r="40" spans="1:19" s="317" customFormat="1" ht="17.100000000000001" customHeight="1" x14ac:dyDescent="0.25">
      <c r="A40" s="313">
        <v>1</v>
      </c>
      <c r="B40" s="332" t="s">
        <v>503</v>
      </c>
      <c r="C40" s="333">
        <f>'Design Regulator'!D76</f>
        <v>150</v>
      </c>
      <c r="D40" s="543">
        <f t="shared" si="0"/>
        <v>150</v>
      </c>
      <c r="E40" s="544"/>
      <c r="F40" s="544"/>
      <c r="G40" s="334"/>
      <c r="H40" s="335"/>
      <c r="I40" s="336" t="s">
        <v>498</v>
      </c>
      <c r="J40" s="437" t="s">
        <v>498</v>
      </c>
      <c r="K40" s="441" t="str">
        <f>CHOOSE(Q40, 'Variable Management'!N69,'Variable Management'!N70,'Variable Management'!N71)</f>
        <v>1.0 x 0.5</v>
      </c>
      <c r="L40" s="442">
        <f>CHOOSE(Q40, 'Variable Management'!O69,'Variable Management'!O70,'Variable Management'!O71)</f>
        <v>0.5</v>
      </c>
      <c r="P40" s="456"/>
      <c r="Q40" s="459">
        <v>1</v>
      </c>
      <c r="R40" s="456"/>
      <c r="S40" s="456"/>
    </row>
    <row r="41" spans="1:19" s="317" customFormat="1" ht="17.100000000000001" customHeight="1" x14ac:dyDescent="0.25">
      <c r="A41" s="313">
        <v>1</v>
      </c>
      <c r="B41" s="332" t="s">
        <v>504</v>
      </c>
      <c r="C41" s="333">
        <f>'Design Regulator'!D78</f>
        <v>2200</v>
      </c>
      <c r="D41" s="543">
        <f t="shared" si="0"/>
        <v>2200</v>
      </c>
      <c r="E41" s="544"/>
      <c r="F41" s="544"/>
      <c r="G41" s="334"/>
      <c r="H41" s="335"/>
      <c r="I41" s="336" t="s">
        <v>498</v>
      </c>
      <c r="J41" s="437" t="s">
        <v>498</v>
      </c>
      <c r="K41" s="441" t="str">
        <f>CHOOSE(Q41, 'Variable Management'!N69,'Variable Management'!N70,'Variable Management'!N71)</f>
        <v>1.0 x 0.5</v>
      </c>
      <c r="L41" s="442">
        <f>CHOOSE(Q41, 'Variable Management'!O69,'Variable Management'!O70,'Variable Management'!O71)</f>
        <v>0.5</v>
      </c>
      <c r="P41" s="456"/>
      <c r="Q41" s="459">
        <v>1</v>
      </c>
      <c r="R41" s="456"/>
      <c r="S41" s="456"/>
    </row>
    <row r="42" spans="1:19" s="317" customFormat="1" ht="17.100000000000001" customHeight="1" x14ac:dyDescent="0.25">
      <c r="A42" s="324">
        <v>1</v>
      </c>
      <c r="B42" s="325" t="s">
        <v>717</v>
      </c>
      <c r="C42" s="340" t="str">
        <f>'Variable Management'!B270</f>
        <v>22pF</v>
      </c>
      <c r="D42" s="545" t="str">
        <f>"Capacitor, Ceramic, "&amp;'Variable Management'!B270&amp;", 100V, X7R, 20%"</f>
        <v>Capacitor, Ceramic, 22pF, 100V, X7R, 20%</v>
      </c>
      <c r="E42" s="546"/>
      <c r="F42" s="546"/>
      <c r="G42" s="337"/>
      <c r="H42" s="327"/>
      <c r="I42" s="328" t="s">
        <v>498</v>
      </c>
      <c r="J42" s="438" t="s">
        <v>498</v>
      </c>
      <c r="K42" s="440" t="str">
        <f>CHOOSE(Q42, 'Variable Management'!N69,'Variable Management'!N70,'Variable Management'!N71)</f>
        <v>1.6 x 0.8</v>
      </c>
      <c r="L42" s="434">
        <f>CHOOSE(RDSON_sense,CHOOSE(Q42,'Variable Management'!O69,'Variable Management'!O70,'Variable Management'!O71),0)</f>
        <v>1.3</v>
      </c>
      <c r="P42" s="456"/>
      <c r="Q42" s="459">
        <v>2</v>
      </c>
      <c r="R42" s="456"/>
      <c r="S42" s="456"/>
    </row>
    <row r="43" spans="1:19" s="317" customFormat="1" ht="17.100000000000001" customHeight="1" x14ac:dyDescent="0.25">
      <c r="A43" s="313">
        <f>ROUNDUP('Design Regulator'!E42/10,0)</f>
        <v>11</v>
      </c>
      <c r="B43" s="332" t="s">
        <v>505</v>
      </c>
      <c r="C43" s="339" t="str">
        <f>'Variable Management'!B249</f>
        <v>4.7µF</v>
      </c>
      <c r="D43" s="549" t="str">
        <f>CHOOSE(Cin_Voltage_Rating, "Capacitor, Ceramic, "&amp;'Variable Management'!B249&amp;", 10V, X7R, 10%", "Capacitor, Ceramic, "&amp;'Variable Management'!B249&amp;", 16V, X7R, 10%", "Capacitor, Ceramic, "&amp;'Variable Management'!B249&amp;", 25V, X7R, 10%",  "Capacitor, Ceramic, "&amp;'Variable Management'!B249&amp;", 50V, X7R, 10%",  "Capacitor, Ceramic, "&amp;'Variable Management'!B249&amp;", 100V, X7S, 10%")</f>
        <v>Capacitor, Ceramic, 4.7µF, 50V, X7R, 10%</v>
      </c>
      <c r="E43" s="550"/>
      <c r="F43" s="550"/>
      <c r="G43" s="334"/>
      <c r="H43" s="335"/>
      <c r="I43" s="336" t="s">
        <v>498</v>
      </c>
      <c r="J43" s="437" t="s">
        <v>498</v>
      </c>
      <c r="K43" s="441" t="str">
        <f>CHOOSE(Q43, 'Variable Management'!N69,'Variable Management'!N70,'Variable Management'!N71,'Variable Management'!N72,'Variable Management'!N73)</f>
        <v>3.2 x 2.5</v>
      </c>
      <c r="L43" s="442">
        <f>CHOOSE(Q43, 'Variable Management'!O69,'Variable Management'!O70,'Variable Management'!O71,'Variable Management'!O72,'Variable Management'!O73)*A43</f>
        <v>88</v>
      </c>
      <c r="P43" s="456"/>
      <c r="Q43" s="459">
        <v>5</v>
      </c>
      <c r="R43" s="456"/>
      <c r="S43" s="456"/>
    </row>
    <row r="44" spans="1:19" s="317" customFormat="1" ht="17.100000000000001" customHeight="1" x14ac:dyDescent="0.25">
      <c r="A44" s="313">
        <f>'Variable Management'!D242</f>
        <v>3</v>
      </c>
      <c r="B44" s="332" t="s">
        <v>506</v>
      </c>
      <c r="C44" s="339" t="str">
        <f>'Variable Management'!F243</f>
        <v>47µF</v>
      </c>
      <c r="D44" s="549" t="str">
        <f>CHOOSE(Cout_Voltage_Rating, "Capacitor, Ceramic, "&amp;'Variable Management'!B244&amp;", 6.3V, X7R, 10%", "Capacitor, Ceramic, "&amp;'Variable Management'!B244&amp;", 10V, X7R, 10%", "Capacitor, Ceramic, "&amp;'Variable Management'!B244&amp;", 16V, X7R, 10%", "Capacitor, Ceramic, "&amp;'Variable Management'!B244&amp;", 25V, X7R, 10%",  "Capacitor, Ceramic, "&amp;'Variable Management'!B244&amp;", 50V, X7R, 10%",  "Capacitor, Ceramic, "&amp;'Variable Management'!B244&amp;", 100V, X7R, 10%")</f>
        <v>Capacitor, Ceramic, 47µF, 10V, X7R, 10%</v>
      </c>
      <c r="E44" s="550"/>
      <c r="F44" s="550"/>
      <c r="G44" s="334"/>
      <c r="H44" s="335"/>
      <c r="I44" s="336" t="s">
        <v>498</v>
      </c>
      <c r="J44" s="437" t="s">
        <v>498</v>
      </c>
      <c r="K44" s="441" t="str">
        <f>CHOOSE(Q44, 'Variable Management'!N69,'Variable Management'!N70,'Variable Management'!N71,'Variable Management'!N72,'Variable Management'!N73)</f>
        <v>3.2 x 2.5</v>
      </c>
      <c r="L44" s="442">
        <f>CHOOSE(Q44, 'Variable Management'!O69,'Variable Management'!O70,'Variable Management'!O71,'Variable Management'!O72,'Variable Management'!O73)*A44</f>
        <v>24</v>
      </c>
      <c r="P44" s="456"/>
      <c r="Q44" s="459">
        <v>5</v>
      </c>
      <c r="R44" s="456"/>
      <c r="S44" s="456"/>
    </row>
    <row r="45" spans="1:19" s="317" customFormat="1" ht="17.100000000000001" customHeight="1" x14ac:dyDescent="0.25">
      <c r="A45" s="324">
        <v>1</v>
      </c>
      <c r="B45" s="325" t="s">
        <v>507</v>
      </c>
      <c r="C45" s="450">
        <f>'Design Regulator'!E50</f>
        <v>100</v>
      </c>
      <c r="D45" s="556">
        <f t="shared" ref="D45" si="1">C45</f>
        <v>100</v>
      </c>
      <c r="E45" s="557"/>
      <c r="F45" s="557"/>
      <c r="G45" s="337"/>
      <c r="H45" s="327"/>
      <c r="I45" s="328" t="s">
        <v>498</v>
      </c>
      <c r="J45" s="438" t="s">
        <v>498</v>
      </c>
      <c r="K45" s="451" t="str">
        <f>CHOOSE(Q45, 'Variable Management'!N69,'Variable Management'!N70,'Variable Management'!N71)</f>
        <v>1.6 x 0.8</v>
      </c>
      <c r="L45" s="452">
        <f>CHOOSE(Q45, 'Variable Management'!O69,'Variable Management'!O70,'Variable Management'!O71)</f>
        <v>1.3</v>
      </c>
      <c r="P45" s="456"/>
      <c r="Q45" s="459">
        <v>2</v>
      </c>
      <c r="R45" s="456"/>
      <c r="S45" s="456"/>
    </row>
    <row r="46" spans="1:19" s="317" customFormat="1" ht="17.100000000000001" customHeight="1" x14ac:dyDescent="0.25">
      <c r="A46" s="324">
        <v>1</v>
      </c>
      <c r="B46" s="325" t="s">
        <v>607</v>
      </c>
      <c r="C46" s="338">
        <v>2.2000000000000002</v>
      </c>
      <c r="D46" s="547">
        <f t="shared" si="0"/>
        <v>2.2000000000000002</v>
      </c>
      <c r="E46" s="548"/>
      <c r="F46" s="548"/>
      <c r="G46" s="337"/>
      <c r="H46" s="327"/>
      <c r="I46" s="328" t="s">
        <v>498</v>
      </c>
      <c r="J46" s="438" t="s">
        <v>498</v>
      </c>
      <c r="K46" s="440" t="str">
        <f>CHOOSE(Q46, 'Variable Management'!N69,'Variable Management'!N70,'Variable Management'!N71)</f>
        <v>2.0 x 1.25</v>
      </c>
      <c r="L46" s="434">
        <f>CHOOSE(Q46, 'Variable Management'!O69,'Variable Management'!O70,'Variable Management'!O71)</f>
        <v>2.5</v>
      </c>
      <c r="P46" s="456"/>
      <c r="Q46" s="459">
        <v>3</v>
      </c>
      <c r="R46" s="456"/>
      <c r="S46" s="456"/>
    </row>
    <row r="47" spans="1:19" s="317" customFormat="1" ht="17.100000000000001" customHeight="1" x14ac:dyDescent="0.25">
      <c r="A47" s="324">
        <v>1</v>
      </c>
      <c r="B47" s="325" t="s">
        <v>508</v>
      </c>
      <c r="C47" s="338">
        <v>0.1</v>
      </c>
      <c r="D47" s="558">
        <f t="shared" si="0"/>
        <v>0.1</v>
      </c>
      <c r="E47" s="559"/>
      <c r="F47" s="559"/>
      <c r="G47" s="337"/>
      <c r="H47" s="327"/>
      <c r="I47" s="328" t="s">
        <v>498</v>
      </c>
      <c r="J47" s="438" t="s">
        <v>498</v>
      </c>
      <c r="K47" s="440" t="str">
        <f>CHOOSE(Q47, 'Variable Management'!N69,'Variable Management'!N70,'Variable Management'!N71)</f>
        <v>1.6 x 0.8</v>
      </c>
      <c r="L47" s="434">
        <f>CHOOSE(Q47, 'Variable Management'!O69,'Variable Management'!O70,'Variable Management'!O71)</f>
        <v>1.3</v>
      </c>
      <c r="P47" s="456"/>
      <c r="Q47" s="459">
        <v>2</v>
      </c>
      <c r="R47" s="456"/>
      <c r="S47" s="456"/>
    </row>
    <row r="48" spans="1:19" s="317" customFormat="1" ht="17.100000000000001" customHeight="1" x14ac:dyDescent="0.25">
      <c r="A48" s="313">
        <v>1</v>
      </c>
      <c r="B48" s="332" t="s">
        <v>605</v>
      </c>
      <c r="C48" s="341">
        <f>'Design Regulator'!E17</f>
        <v>7.4</v>
      </c>
      <c r="D48" s="549" t="str">
        <f>"Inductor, "&amp;Lout2*1000000&amp;"µH, "&amp;Rdcr*1000&amp;"mΩ, &gt;"&amp;ROUNDUP(Ilsat,0)&amp;"A"</f>
        <v>Inductor, 7.4µH, 5mΩ, &gt;14A</v>
      </c>
      <c r="E48" s="550"/>
      <c r="F48" s="550"/>
      <c r="G48" s="555"/>
      <c r="H48" s="336"/>
      <c r="I48" s="336" t="s">
        <v>511</v>
      </c>
      <c r="J48" s="437" t="s">
        <v>511</v>
      </c>
      <c r="K48" s="441" t="str">
        <f>CHOOSE(Q48, 'Variable Management'!N78,'Variable Management'!N79,'Variable Management'!N80, 'Variable Management'!N81, 'Variable Management'!N82, 'Variable Management'!N83, 'Variable Management'!N84, 'Variable Management'!N85)</f>
        <v>10.0 x 10.0</v>
      </c>
      <c r="L48" s="442">
        <f>CHOOSE(Q48, 'Variable Management'!O78,'Variable Management'!O79,'Variable Management'!O80, 'Variable Management'!O81, 'Variable Management'!O82, 'Variable Management'!O83, 'Variable Management'!O84, 'Variable Management'!O85)</f>
        <v>100</v>
      </c>
      <c r="P48" s="456"/>
      <c r="Q48" s="459">
        <v>7</v>
      </c>
      <c r="R48" s="456"/>
      <c r="S48" s="456"/>
    </row>
    <row r="49" spans="1:19" s="317" customFormat="1" ht="17.100000000000001" customHeight="1" x14ac:dyDescent="0.25">
      <c r="A49" s="324">
        <f>R49</f>
        <v>1</v>
      </c>
      <c r="B49" s="325" t="s">
        <v>512</v>
      </c>
      <c r="C49" s="340" t="s">
        <v>499</v>
      </c>
      <c r="D49" s="530">
        <f>'Design Regulator'!E85</f>
        <v>6</v>
      </c>
      <c r="E49" s="531"/>
      <c r="F49" s="531"/>
      <c r="G49" s="532"/>
      <c r="H49" s="328"/>
      <c r="I49" s="328" t="str">
        <f>'Design Regulator'!E84</f>
        <v>CSD18563Q5D</v>
      </c>
      <c r="J49" s="438" t="s">
        <v>500</v>
      </c>
      <c r="K49" s="440" t="str">
        <f>CHOOSE(Q49, 'Variable Management'!N48,'Variable Management'!N49,'Variable Management'!N50,'Variable Management'!N51)</f>
        <v>5.0 x 6.0</v>
      </c>
      <c r="L49" s="434">
        <f>CHOOSE(Q49, 'Variable Management'!O48,'Variable Management'!O49,'Variable Management'!O50,'Variable Management'!O51)*R49</f>
        <v>30</v>
      </c>
      <c r="P49" s="456"/>
      <c r="Q49" s="459">
        <v>1</v>
      </c>
      <c r="R49" s="459">
        <v>1</v>
      </c>
      <c r="S49" s="456"/>
    </row>
    <row r="50" spans="1:19" s="317" customFormat="1" ht="17.100000000000001" customHeight="1" x14ac:dyDescent="0.25">
      <c r="A50" s="324">
        <f>R50</f>
        <v>1</v>
      </c>
      <c r="B50" s="325" t="s">
        <v>513</v>
      </c>
      <c r="C50" s="340" t="s">
        <v>499</v>
      </c>
      <c r="D50" s="530">
        <f>'Design Regulator'!E97</f>
        <v>6</v>
      </c>
      <c r="E50" s="531"/>
      <c r="F50" s="531"/>
      <c r="G50" s="532"/>
      <c r="H50" s="328"/>
      <c r="I50" s="328" t="str">
        <f>'Design Regulator'!E96</f>
        <v>CSD18563Q5D</v>
      </c>
      <c r="J50" s="438" t="s">
        <v>500</v>
      </c>
      <c r="K50" s="440" t="str">
        <f>CHOOSE(Q50, 'Variable Management'!N48,'Variable Management'!N49,'Variable Management'!N50,'Variable Management'!N51)</f>
        <v>5.0 x 6.0</v>
      </c>
      <c r="L50" s="434">
        <f>CHOOSE(Q50, 'Variable Management'!O48,'Variable Management'!O49,'Variable Management'!O50,'Variable Management'!O51)*R50</f>
        <v>30</v>
      </c>
      <c r="P50" s="456"/>
      <c r="Q50" s="459">
        <v>1</v>
      </c>
      <c r="R50" s="459">
        <v>1</v>
      </c>
      <c r="S50" s="456"/>
    </row>
    <row r="51" spans="1:19" s="317" customFormat="1" ht="17.100000000000001" customHeight="1" x14ac:dyDescent="0.25">
      <c r="A51" s="324"/>
      <c r="B51" s="325"/>
      <c r="C51" s="340"/>
      <c r="D51" s="425"/>
      <c r="E51" s="426"/>
      <c r="F51" s="426"/>
      <c r="G51" s="427"/>
      <c r="H51" s="328"/>
      <c r="I51" s="328"/>
      <c r="J51" s="438"/>
      <c r="K51" s="440"/>
      <c r="L51" s="434"/>
      <c r="P51" s="456"/>
      <c r="Q51" s="459"/>
      <c r="R51" s="456"/>
      <c r="S51" s="456"/>
    </row>
    <row r="52" spans="1:19" s="317" customFormat="1" ht="17.100000000000001" customHeight="1" x14ac:dyDescent="0.25">
      <c r="A52" s="318">
        <v>1</v>
      </c>
      <c r="B52" s="319" t="s">
        <v>514</v>
      </c>
      <c r="C52" s="320">
        <f>'Design Regulator'!D74</f>
        <v>6.8</v>
      </c>
      <c r="D52" s="527">
        <f t="shared" ref="D52:D62" si="2">C52</f>
        <v>6.8</v>
      </c>
      <c r="E52" s="528"/>
      <c r="F52" s="528"/>
      <c r="G52" s="529"/>
      <c r="H52" s="321"/>
      <c r="I52" s="322" t="s">
        <v>498</v>
      </c>
      <c r="J52" s="439" t="s">
        <v>498</v>
      </c>
      <c r="K52" s="441" t="str">
        <f>CHOOSE(Q52, 'Variable Management'!N69,'Variable Management'!N70,'Variable Management'!N71)</f>
        <v>1.0 x 0.5</v>
      </c>
      <c r="L52" s="442">
        <f>CHOOSE(Q52, 'Variable Management'!O69,'Variable Management'!O70,'Variable Management'!O71)</f>
        <v>0.5</v>
      </c>
      <c r="P52" s="456"/>
      <c r="Q52" s="459">
        <v>1</v>
      </c>
      <c r="R52" s="456"/>
      <c r="S52" s="456"/>
    </row>
    <row r="53" spans="1:19" s="317" customFormat="1" ht="17.100000000000001" customHeight="1" x14ac:dyDescent="0.25">
      <c r="A53" s="318">
        <v>1</v>
      </c>
      <c r="B53" s="319" t="s">
        <v>515</v>
      </c>
      <c r="C53" s="323">
        <f>'Design Regulator'!D77</f>
        <v>560</v>
      </c>
      <c r="D53" s="551">
        <f t="shared" si="2"/>
        <v>560</v>
      </c>
      <c r="E53" s="552"/>
      <c r="F53" s="552"/>
      <c r="G53" s="553"/>
      <c r="H53" s="321"/>
      <c r="I53" s="322" t="s">
        <v>498</v>
      </c>
      <c r="J53" s="439" t="s">
        <v>498</v>
      </c>
      <c r="K53" s="441" t="str">
        <f>CHOOSE(Q52, 'Variable Management'!N69,'Variable Management'!N70,'Variable Management'!N71)</f>
        <v>1.0 x 0.5</v>
      </c>
      <c r="L53" s="442">
        <f>CHOOSE(Q53, 'Variable Management'!O69,'Variable Management'!O70,'Variable Management'!O71)</f>
        <v>0.5</v>
      </c>
      <c r="P53" s="456"/>
      <c r="Q53" s="459">
        <v>1</v>
      </c>
      <c r="R53" s="456"/>
      <c r="S53" s="456"/>
    </row>
    <row r="54" spans="1:19" s="317" customFormat="1" ht="17.100000000000001" customHeight="1" x14ac:dyDescent="0.25">
      <c r="A54" s="318">
        <v>1</v>
      </c>
      <c r="B54" s="319" t="s">
        <v>609</v>
      </c>
      <c r="C54" s="323">
        <f>'Design Regulator'!E26</f>
        <v>274</v>
      </c>
      <c r="D54" s="551">
        <f t="shared" si="2"/>
        <v>274</v>
      </c>
      <c r="E54" s="552"/>
      <c r="F54" s="552"/>
      <c r="G54" s="553"/>
      <c r="H54" s="321"/>
      <c r="I54" s="322" t="s">
        <v>498</v>
      </c>
      <c r="J54" s="439" t="s">
        <v>498</v>
      </c>
      <c r="K54" s="441" t="str">
        <f>CHOOSE(Q52, 'Variable Management'!N69,'Variable Management'!N70,'Variable Management'!N71)</f>
        <v>1.0 x 0.5</v>
      </c>
      <c r="L54" s="442">
        <f>CHOOSE(Q54, 'Variable Management'!O69,'Variable Management'!O70,'Variable Management'!O71)</f>
        <v>2.5</v>
      </c>
      <c r="P54" s="456"/>
      <c r="Q54" s="459">
        <v>3</v>
      </c>
      <c r="R54" s="456"/>
      <c r="S54" s="456"/>
    </row>
    <row r="55" spans="1:19" s="317" customFormat="1" ht="17.100000000000001" customHeight="1" x14ac:dyDescent="0.25">
      <c r="A55" s="318">
        <v>1</v>
      </c>
      <c r="B55" s="319" t="s">
        <v>610</v>
      </c>
      <c r="C55" s="320">
        <f>'Design Regulator'!E13</f>
        <v>33.200000000000003</v>
      </c>
      <c r="D55" s="527">
        <f t="shared" si="2"/>
        <v>33.200000000000003</v>
      </c>
      <c r="E55" s="528"/>
      <c r="F55" s="528"/>
      <c r="G55" s="529"/>
      <c r="H55" s="321"/>
      <c r="I55" s="322" t="s">
        <v>498</v>
      </c>
      <c r="J55" s="439" t="s">
        <v>498</v>
      </c>
      <c r="K55" s="441" t="str">
        <f>CHOOSE(Q55, 'Variable Management'!N69,'Variable Management'!N70,'Variable Management'!N71)</f>
        <v>1.0 x 0.5</v>
      </c>
      <c r="L55" s="442">
        <f>CHOOSE(Q55, 'Variable Management'!O69,'Variable Management'!O70,'Variable Management'!O71)</f>
        <v>0.5</v>
      </c>
      <c r="P55" s="456"/>
      <c r="Q55" s="459">
        <v>1</v>
      </c>
      <c r="R55" s="456"/>
      <c r="S55" s="456"/>
    </row>
    <row r="56" spans="1:19" s="317" customFormat="1" ht="17.100000000000001" customHeight="1" x14ac:dyDescent="0.25">
      <c r="A56" s="318">
        <v>1</v>
      </c>
      <c r="B56" s="319" t="s">
        <v>521</v>
      </c>
      <c r="C56" s="320">
        <f>'Design Regulator'!E63</f>
        <v>18</v>
      </c>
      <c r="D56" s="527">
        <f t="shared" si="2"/>
        <v>18</v>
      </c>
      <c r="E56" s="528"/>
      <c r="F56" s="528"/>
      <c r="G56" s="529"/>
      <c r="H56" s="321"/>
      <c r="I56" s="322" t="s">
        <v>498</v>
      </c>
      <c r="J56" s="439" t="s">
        <v>498</v>
      </c>
      <c r="K56" s="441" t="str">
        <f>CHOOSE(Q56, 'Variable Management'!N69,'Variable Management'!N70,'Variable Management'!N71)</f>
        <v>1.0 x 0.5</v>
      </c>
      <c r="L56" s="442">
        <f>CHOOSE(Q56, 'Variable Management'!O69,'Variable Management'!O70,'Variable Management'!O71)</f>
        <v>0.5</v>
      </c>
      <c r="P56" s="456"/>
      <c r="Q56" s="459">
        <v>1</v>
      </c>
      <c r="R56" s="456"/>
      <c r="S56" s="456"/>
    </row>
    <row r="57" spans="1:19" s="317" customFormat="1" ht="17.100000000000001" customHeight="1" x14ac:dyDescent="0.25">
      <c r="A57" s="318">
        <v>1</v>
      </c>
      <c r="B57" s="319" t="s">
        <v>522</v>
      </c>
      <c r="C57" s="320">
        <f>'Design Regulator'!E64</f>
        <v>3.32</v>
      </c>
      <c r="D57" s="527">
        <f t="shared" si="2"/>
        <v>3.32</v>
      </c>
      <c r="E57" s="528"/>
      <c r="F57" s="528"/>
      <c r="G57" s="529"/>
      <c r="H57" s="321"/>
      <c r="I57" s="322" t="s">
        <v>498</v>
      </c>
      <c r="J57" s="439" t="s">
        <v>498</v>
      </c>
      <c r="K57" s="441" t="str">
        <f>CHOOSE(Q57, 'Variable Management'!N69,'Variable Management'!N70,'Variable Management'!N71)</f>
        <v>1.0 x 0.5</v>
      </c>
      <c r="L57" s="442">
        <f>CHOOSE(Q57, 'Variable Management'!O69,'Variable Management'!O70,'Variable Management'!O71)</f>
        <v>0.5</v>
      </c>
      <c r="P57" s="456"/>
      <c r="Q57" s="459">
        <v>1</v>
      </c>
      <c r="R57" s="456"/>
      <c r="S57" s="456"/>
    </row>
    <row r="58" spans="1:19" s="317" customFormat="1" ht="17.100000000000001" customHeight="1" x14ac:dyDescent="0.25">
      <c r="A58" s="324">
        <v>1</v>
      </c>
      <c r="B58" s="325" t="s">
        <v>520</v>
      </c>
      <c r="C58" s="326">
        <v>20</v>
      </c>
      <c r="D58" s="524">
        <f t="shared" si="2"/>
        <v>20</v>
      </c>
      <c r="E58" s="525"/>
      <c r="F58" s="525"/>
      <c r="G58" s="526"/>
      <c r="H58" s="327"/>
      <c r="I58" s="328" t="s">
        <v>498</v>
      </c>
      <c r="J58" s="438" t="s">
        <v>498</v>
      </c>
      <c r="K58" s="440" t="str">
        <f>CHOOSE(Q58, 'Variable Management'!N69,'Variable Management'!N70,'Variable Management'!N71)</f>
        <v>1.0 x 0.5</v>
      </c>
      <c r="L58" s="434">
        <f>CHOOSE(Q58, 'Variable Management'!O69,'Variable Management'!O70,'Variable Management'!O71)</f>
        <v>0.5</v>
      </c>
      <c r="P58" s="456"/>
      <c r="Q58" s="459">
        <v>1</v>
      </c>
      <c r="R58" s="456"/>
      <c r="S58" s="456"/>
    </row>
    <row r="59" spans="1:19" s="317" customFormat="1" ht="17.100000000000001" customHeight="1" x14ac:dyDescent="0.25">
      <c r="A59" s="324">
        <v>1</v>
      </c>
      <c r="B59" s="325" t="s">
        <v>519</v>
      </c>
      <c r="C59" s="474">
        <f>'Design Regulator'!E24</f>
        <v>6</v>
      </c>
      <c r="D59" s="536">
        <f t="shared" si="2"/>
        <v>6</v>
      </c>
      <c r="E59" s="537"/>
      <c r="F59" s="537"/>
      <c r="G59" s="538"/>
      <c r="H59" s="473">
        <v>1206</v>
      </c>
      <c r="I59" s="328" t="s">
        <v>498</v>
      </c>
      <c r="J59" s="438" t="s">
        <v>498</v>
      </c>
      <c r="K59" s="440" t="s">
        <v>642</v>
      </c>
      <c r="L59" s="434">
        <f>CHOOSE(RDSON_sense, 0,5.1)</f>
        <v>0</v>
      </c>
      <c r="P59" s="456"/>
      <c r="Q59" s="459"/>
      <c r="R59" s="456"/>
      <c r="S59" s="456"/>
    </row>
    <row r="60" spans="1:19" s="317" customFormat="1" ht="17.100000000000001" customHeight="1" x14ac:dyDescent="0.25">
      <c r="A60" s="318">
        <v>1</v>
      </c>
      <c r="B60" s="319" t="s">
        <v>516</v>
      </c>
      <c r="C60" s="320">
        <f>'Design Regulator'!E53</f>
        <v>75</v>
      </c>
      <c r="D60" s="527">
        <f t="shared" si="2"/>
        <v>75</v>
      </c>
      <c r="E60" s="528"/>
      <c r="F60" s="528"/>
      <c r="G60" s="529"/>
      <c r="H60" s="321"/>
      <c r="I60" s="322" t="s">
        <v>498</v>
      </c>
      <c r="J60" s="439" t="s">
        <v>498</v>
      </c>
      <c r="K60" s="441" t="str">
        <f>CHOOSE(Q60, 'Variable Management'!N69,'Variable Management'!N70,'Variable Management'!N71)</f>
        <v>1.6 x 0.8</v>
      </c>
      <c r="L60" s="442">
        <f>CHOOSE(Q60, 'Variable Management'!O69,'Variable Management'!O70,'Variable Management'!O71)</f>
        <v>1.3</v>
      </c>
      <c r="P60" s="456"/>
      <c r="Q60" s="459">
        <v>2</v>
      </c>
      <c r="R60" s="456"/>
      <c r="S60" s="456"/>
    </row>
    <row r="61" spans="1:19" s="317" customFormat="1" ht="17.100000000000001" customHeight="1" x14ac:dyDescent="0.25">
      <c r="A61" s="318">
        <v>1</v>
      </c>
      <c r="B61" s="319" t="s">
        <v>517</v>
      </c>
      <c r="C61" s="320">
        <f>'Design Regulator'!E54</f>
        <v>12.700000000000001</v>
      </c>
      <c r="D61" s="527">
        <f t="shared" si="2"/>
        <v>12.700000000000001</v>
      </c>
      <c r="E61" s="528"/>
      <c r="F61" s="528"/>
      <c r="G61" s="529"/>
      <c r="H61" s="321"/>
      <c r="I61" s="322" t="s">
        <v>498</v>
      </c>
      <c r="J61" s="439" t="s">
        <v>498</v>
      </c>
      <c r="K61" s="441" t="str">
        <f>CHOOSE(Q61, 'Variable Management'!N69,'Variable Management'!N70,'Variable Management'!N71)</f>
        <v>1.0 x 0.5</v>
      </c>
      <c r="L61" s="442">
        <f>CHOOSE(Q61, 'Variable Management'!O69,'Variable Management'!O70,'Variable Management'!O71)</f>
        <v>0.5</v>
      </c>
      <c r="P61" s="456"/>
      <c r="Q61" s="459">
        <v>1</v>
      </c>
      <c r="R61" s="456"/>
      <c r="S61" s="456"/>
    </row>
    <row r="62" spans="1:19" s="317" customFormat="1" ht="17.100000000000001" customHeight="1" x14ac:dyDescent="0.25">
      <c r="A62" s="324">
        <v>1</v>
      </c>
      <c r="B62" s="325" t="s">
        <v>518</v>
      </c>
      <c r="C62" s="340">
        <v>2.2000000000000002</v>
      </c>
      <c r="D62" s="533">
        <f t="shared" si="2"/>
        <v>2.2000000000000002</v>
      </c>
      <c r="E62" s="534"/>
      <c r="F62" s="534"/>
      <c r="G62" s="535"/>
      <c r="H62" s="327"/>
      <c r="I62" s="328" t="s">
        <v>498</v>
      </c>
      <c r="J62" s="438" t="s">
        <v>498</v>
      </c>
      <c r="K62" s="440" t="str">
        <f>CHOOSE(Q62, 'Variable Management'!N69,'Variable Management'!N70,'Variable Management'!N71)</f>
        <v>1.0 x 0.5</v>
      </c>
      <c r="L62" s="434">
        <f>CHOOSE(Q62, 'Variable Management'!O69,'Variable Management'!O70,'Variable Management'!O71)</f>
        <v>0.5</v>
      </c>
      <c r="P62" s="456"/>
      <c r="Q62" s="459">
        <v>1</v>
      </c>
      <c r="R62" s="456"/>
      <c r="S62" s="456"/>
    </row>
    <row r="63" spans="1:19" s="317" customFormat="1" ht="17.100000000000001" customHeight="1" x14ac:dyDescent="0.25">
      <c r="A63" s="343">
        <v>1</v>
      </c>
      <c r="B63" s="344" t="s">
        <v>523</v>
      </c>
      <c r="C63" s="342" t="str">
        <f>CHOOSE(VARIANT, "LM5145", "LM5145-Q1", "LM25145", "LM5146", "LM5146-Q1")</f>
        <v>LM25145</v>
      </c>
      <c r="D63" s="521" t="str">
        <f>CHOOSE(VARIANT, "IC, LM5145, PWM Controller, 6V-75V Input", "IC, LM5145-Q1, PWM Controller, 6V-75V Input", "IC, LM25145, PWM Controller, 6V-42V Input", "IC, LM5146 PWM Controller, 5.5V-100V Input", "IC, LM5146-Q1, PWM Controller, 5.5V-100V Input")</f>
        <v>IC, LM25145, PWM Controller, 6V-42V Input</v>
      </c>
      <c r="E63" s="522"/>
      <c r="F63" s="522"/>
      <c r="G63" s="523"/>
      <c r="H63" s="345" t="s">
        <v>626</v>
      </c>
      <c r="I63" s="345" t="str">
        <f>CHOOSE(VARIANT, "LM5145RGYR", "LM5145QRGYRQ1", "LM25145RGYR", "LM5146RGYR", "LM5146QRGYRQ1",)</f>
        <v>LM25145RGYR</v>
      </c>
      <c r="J63" s="424" t="s">
        <v>500</v>
      </c>
      <c r="K63" s="440" t="s">
        <v>713</v>
      </c>
      <c r="L63" s="435">
        <v>15.75</v>
      </c>
      <c r="P63" s="456"/>
      <c r="Q63" s="459"/>
      <c r="R63" s="456"/>
      <c r="S63" s="456"/>
    </row>
    <row r="64" spans="1:19" x14ac:dyDescent="0.25">
      <c r="P64" s="465"/>
      <c r="Q64" s="466"/>
      <c r="R64" s="465"/>
      <c r="S64" s="465"/>
    </row>
    <row r="65" spans="1:15" ht="18" x14ac:dyDescent="0.3">
      <c r="I65" s="554" t="s">
        <v>676</v>
      </c>
      <c r="J65" s="554"/>
      <c r="K65" s="554"/>
      <c r="L65" s="445">
        <f>SUM(L38:L63)*1.25</f>
        <v>380.9375</v>
      </c>
      <c r="M65" s="446" t="s">
        <v>677</v>
      </c>
      <c r="N65" s="447">
        <f>L65/25.4/25.4</f>
        <v>0.59045430590861192</v>
      </c>
      <c r="O65" s="446" t="s">
        <v>678</v>
      </c>
    </row>
    <row r="66" spans="1:15" x14ac:dyDescent="0.25">
      <c r="A66" s="352" t="s">
        <v>541</v>
      </c>
    </row>
    <row r="67" spans="1:15" x14ac:dyDescent="0.25">
      <c r="A67" s="310" t="s">
        <v>540</v>
      </c>
    </row>
    <row r="68" spans="1:15" x14ac:dyDescent="0.25">
      <c r="A68" s="310" t="s">
        <v>712</v>
      </c>
    </row>
    <row r="455" spans="17:17" x14ac:dyDescent="0.25">
      <c r="Q455" s="310">
        <v>2</v>
      </c>
    </row>
  </sheetData>
  <sheetProtection algorithmName="SHA-512" hashValue="5TgsSCYYf1uls4yIPKQ6R31wx2xihx2gDN6A2FKtQUMGBtKeZ/JRzZEKN55uNbweAs4RBJmLKrkDyMZSd1WKlA==" saltValue="VL6HNfpDUUlRyqITH/F2hw==" spinCount="100000" sheet="1" objects="1" scenarios="1" selectLockedCells="1" selectUnlockedCells="1"/>
  <mergeCells count="27">
    <mergeCell ref="I65:K65"/>
    <mergeCell ref="D54:G54"/>
    <mergeCell ref="D48:G48"/>
    <mergeCell ref="D44:F44"/>
    <mergeCell ref="D45:F45"/>
    <mergeCell ref="D47:F47"/>
    <mergeCell ref="D42:F42"/>
    <mergeCell ref="D46:F46"/>
    <mergeCell ref="D43:F43"/>
    <mergeCell ref="D52:G52"/>
    <mergeCell ref="D53:G53"/>
    <mergeCell ref="D37:G37"/>
    <mergeCell ref="D63:G63"/>
    <mergeCell ref="D58:G58"/>
    <mergeCell ref="D56:G56"/>
    <mergeCell ref="D57:G57"/>
    <mergeCell ref="D49:G49"/>
    <mergeCell ref="D50:G50"/>
    <mergeCell ref="D55:G55"/>
    <mergeCell ref="D60:G60"/>
    <mergeCell ref="D61:G61"/>
    <mergeCell ref="D62:G62"/>
    <mergeCell ref="D59:G59"/>
    <mergeCell ref="D38:F38"/>
    <mergeCell ref="D39:F39"/>
    <mergeCell ref="D40:F40"/>
    <mergeCell ref="D41:F41"/>
  </mergeCells>
  <phoneticPr fontId="106"/>
  <conditionalFormatting sqref="A59:J59">
    <cfRule type="expression" dxfId="4" priority="6">
      <formula>RDSON_sense=1</formula>
    </cfRule>
  </conditionalFormatting>
  <conditionalFormatting sqref="K59">
    <cfRule type="expression" dxfId="3" priority="5">
      <formula>RDSON_sense=1</formula>
    </cfRule>
  </conditionalFormatting>
  <conditionalFormatting sqref="L59">
    <cfRule type="expression" dxfId="2" priority="3">
      <formula>RDSON_sense=1</formula>
    </cfRule>
  </conditionalFormatting>
  <conditionalFormatting sqref="A42:F42">
    <cfRule type="expression" dxfId="1" priority="2">
      <formula>RDSON_sense=0</formula>
    </cfRule>
  </conditionalFormatting>
  <conditionalFormatting sqref="I42:L42">
    <cfRule type="expression" dxfId="0" priority="1">
      <formula>RDSON_sense=0</formula>
    </cfRule>
  </conditionalFormatting>
  <printOptions horizontalCentered="1"/>
  <pageMargins left="0.23" right="0.23" top="0.7" bottom="0.61" header="0.3" footer="0.5"/>
  <pageSetup scale="84" fitToHeight="2" orientation="landscape" r:id="rId1"/>
  <headerFooter alignWithMargins="0"/>
  <rowBreaks count="1" manualBreakCount="1">
    <brk id="34" max="9" man="1"/>
  </rowBreaks>
  <ignoredErrors>
    <ignoredError sqref="L59"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73839" r:id="rId4" name="Drop Down 47">
              <controlPr defaultSize="0" autoLine="0" autoPict="0">
                <anchor moveWithCells="1">
                  <from>
                    <xdr:col>7</xdr:col>
                    <xdr:colOff>0</xdr:colOff>
                    <xdr:row>48</xdr:row>
                    <xdr:rowOff>0</xdr:rowOff>
                  </from>
                  <to>
                    <xdr:col>8</xdr:col>
                    <xdr:colOff>0</xdr:colOff>
                    <xdr:row>48</xdr:row>
                    <xdr:rowOff>198120</xdr:rowOff>
                  </to>
                </anchor>
              </controlPr>
            </control>
          </mc:Choice>
        </mc:AlternateContent>
        <mc:AlternateContent xmlns:mc="http://schemas.openxmlformats.org/markup-compatibility/2006">
          <mc:Choice Requires="x14">
            <control shapeId="673840" r:id="rId5" name="Drop Down 48">
              <controlPr defaultSize="0" autoLine="0" autoPict="0">
                <anchor moveWithCells="1">
                  <from>
                    <xdr:col>7</xdr:col>
                    <xdr:colOff>0</xdr:colOff>
                    <xdr:row>49</xdr:row>
                    <xdr:rowOff>0</xdr:rowOff>
                  </from>
                  <to>
                    <xdr:col>8</xdr:col>
                    <xdr:colOff>0</xdr:colOff>
                    <xdr:row>49</xdr:row>
                    <xdr:rowOff>198120</xdr:rowOff>
                  </to>
                </anchor>
              </controlPr>
            </control>
          </mc:Choice>
        </mc:AlternateContent>
        <mc:AlternateContent xmlns:mc="http://schemas.openxmlformats.org/markup-compatibility/2006">
          <mc:Choice Requires="x14">
            <control shapeId="673855" r:id="rId6" name="Drop Down 63">
              <controlPr defaultSize="0" autoLine="0" autoPict="0">
                <anchor moveWithCells="1">
                  <from>
                    <xdr:col>7</xdr:col>
                    <xdr:colOff>0</xdr:colOff>
                    <xdr:row>37</xdr:row>
                    <xdr:rowOff>0</xdr:rowOff>
                  </from>
                  <to>
                    <xdr:col>7</xdr:col>
                    <xdr:colOff>876300</xdr:colOff>
                    <xdr:row>37</xdr:row>
                    <xdr:rowOff>198120</xdr:rowOff>
                  </to>
                </anchor>
              </controlPr>
            </control>
          </mc:Choice>
        </mc:AlternateContent>
        <mc:AlternateContent xmlns:mc="http://schemas.openxmlformats.org/markup-compatibility/2006">
          <mc:Choice Requires="x14">
            <control shapeId="673857" r:id="rId7" name="Drop Down 65">
              <controlPr defaultSize="0" autoLine="0" autoPict="0">
                <anchor moveWithCells="1">
                  <from>
                    <xdr:col>7</xdr:col>
                    <xdr:colOff>0</xdr:colOff>
                    <xdr:row>38</xdr:row>
                    <xdr:rowOff>0</xdr:rowOff>
                  </from>
                  <to>
                    <xdr:col>7</xdr:col>
                    <xdr:colOff>876300</xdr:colOff>
                    <xdr:row>38</xdr:row>
                    <xdr:rowOff>198120</xdr:rowOff>
                  </to>
                </anchor>
              </controlPr>
            </control>
          </mc:Choice>
        </mc:AlternateContent>
        <mc:AlternateContent xmlns:mc="http://schemas.openxmlformats.org/markup-compatibility/2006">
          <mc:Choice Requires="x14">
            <control shapeId="673858" r:id="rId8" name="Drop Down 66">
              <controlPr defaultSize="0" autoLine="0" autoPict="0">
                <anchor moveWithCells="1">
                  <from>
                    <xdr:col>7</xdr:col>
                    <xdr:colOff>0</xdr:colOff>
                    <xdr:row>39</xdr:row>
                    <xdr:rowOff>0</xdr:rowOff>
                  </from>
                  <to>
                    <xdr:col>7</xdr:col>
                    <xdr:colOff>876300</xdr:colOff>
                    <xdr:row>39</xdr:row>
                    <xdr:rowOff>198120</xdr:rowOff>
                  </to>
                </anchor>
              </controlPr>
            </control>
          </mc:Choice>
        </mc:AlternateContent>
        <mc:AlternateContent xmlns:mc="http://schemas.openxmlformats.org/markup-compatibility/2006">
          <mc:Choice Requires="x14">
            <control shapeId="673859" r:id="rId9" name="Drop Down 67">
              <controlPr defaultSize="0" autoLine="0" autoPict="0">
                <anchor moveWithCells="1">
                  <from>
                    <xdr:col>7</xdr:col>
                    <xdr:colOff>0</xdr:colOff>
                    <xdr:row>40</xdr:row>
                    <xdr:rowOff>0</xdr:rowOff>
                  </from>
                  <to>
                    <xdr:col>7</xdr:col>
                    <xdr:colOff>876300</xdr:colOff>
                    <xdr:row>40</xdr:row>
                    <xdr:rowOff>198120</xdr:rowOff>
                  </to>
                </anchor>
              </controlPr>
            </control>
          </mc:Choice>
        </mc:AlternateContent>
        <mc:AlternateContent xmlns:mc="http://schemas.openxmlformats.org/markup-compatibility/2006">
          <mc:Choice Requires="x14">
            <control shapeId="673860" r:id="rId10" name="Drop Down 68">
              <controlPr defaultSize="0" autoLine="0" autoPict="0">
                <anchor moveWithCells="1">
                  <from>
                    <xdr:col>7</xdr:col>
                    <xdr:colOff>0</xdr:colOff>
                    <xdr:row>41</xdr:row>
                    <xdr:rowOff>0</xdr:rowOff>
                  </from>
                  <to>
                    <xdr:col>7</xdr:col>
                    <xdr:colOff>876300</xdr:colOff>
                    <xdr:row>41</xdr:row>
                    <xdr:rowOff>198120</xdr:rowOff>
                  </to>
                </anchor>
              </controlPr>
            </control>
          </mc:Choice>
        </mc:AlternateContent>
        <mc:AlternateContent xmlns:mc="http://schemas.openxmlformats.org/markup-compatibility/2006">
          <mc:Choice Requires="x14">
            <control shapeId="673861" r:id="rId11" name="Drop Down 69">
              <controlPr defaultSize="0" autoLine="0" autoPict="0">
                <anchor moveWithCells="1">
                  <from>
                    <xdr:col>7</xdr:col>
                    <xdr:colOff>0</xdr:colOff>
                    <xdr:row>44</xdr:row>
                    <xdr:rowOff>0</xdr:rowOff>
                  </from>
                  <to>
                    <xdr:col>7</xdr:col>
                    <xdr:colOff>876300</xdr:colOff>
                    <xdr:row>44</xdr:row>
                    <xdr:rowOff>198120</xdr:rowOff>
                  </to>
                </anchor>
              </controlPr>
            </control>
          </mc:Choice>
        </mc:AlternateContent>
        <mc:AlternateContent xmlns:mc="http://schemas.openxmlformats.org/markup-compatibility/2006">
          <mc:Choice Requires="x14">
            <control shapeId="673862" r:id="rId12" name="Drop Down 70">
              <controlPr defaultSize="0" autoLine="0" autoPict="0">
                <anchor moveWithCells="1">
                  <from>
                    <xdr:col>7</xdr:col>
                    <xdr:colOff>0</xdr:colOff>
                    <xdr:row>45</xdr:row>
                    <xdr:rowOff>0</xdr:rowOff>
                  </from>
                  <to>
                    <xdr:col>7</xdr:col>
                    <xdr:colOff>876300</xdr:colOff>
                    <xdr:row>45</xdr:row>
                    <xdr:rowOff>198120</xdr:rowOff>
                  </to>
                </anchor>
              </controlPr>
            </control>
          </mc:Choice>
        </mc:AlternateContent>
        <mc:AlternateContent xmlns:mc="http://schemas.openxmlformats.org/markup-compatibility/2006">
          <mc:Choice Requires="x14">
            <control shapeId="673863" r:id="rId13" name="Drop Down 71">
              <controlPr defaultSize="0" autoLine="0" autoPict="0">
                <anchor moveWithCells="1">
                  <from>
                    <xdr:col>7</xdr:col>
                    <xdr:colOff>0</xdr:colOff>
                    <xdr:row>46</xdr:row>
                    <xdr:rowOff>0</xdr:rowOff>
                  </from>
                  <to>
                    <xdr:col>7</xdr:col>
                    <xdr:colOff>876300</xdr:colOff>
                    <xdr:row>46</xdr:row>
                    <xdr:rowOff>198120</xdr:rowOff>
                  </to>
                </anchor>
              </controlPr>
            </control>
          </mc:Choice>
        </mc:AlternateContent>
        <mc:AlternateContent xmlns:mc="http://schemas.openxmlformats.org/markup-compatibility/2006">
          <mc:Choice Requires="x14">
            <control shapeId="673865" r:id="rId14" name="Drop Down 73">
              <controlPr defaultSize="0" autoLine="0" autoPict="0">
                <anchor moveWithCells="1">
                  <from>
                    <xdr:col>7</xdr:col>
                    <xdr:colOff>0</xdr:colOff>
                    <xdr:row>51</xdr:row>
                    <xdr:rowOff>0</xdr:rowOff>
                  </from>
                  <to>
                    <xdr:col>7</xdr:col>
                    <xdr:colOff>876300</xdr:colOff>
                    <xdr:row>51</xdr:row>
                    <xdr:rowOff>198120</xdr:rowOff>
                  </to>
                </anchor>
              </controlPr>
            </control>
          </mc:Choice>
        </mc:AlternateContent>
        <mc:AlternateContent xmlns:mc="http://schemas.openxmlformats.org/markup-compatibility/2006">
          <mc:Choice Requires="x14">
            <control shapeId="673866" r:id="rId15" name="Drop Down 74">
              <controlPr defaultSize="0" autoLine="0" autoPict="0">
                <anchor moveWithCells="1">
                  <from>
                    <xdr:col>7</xdr:col>
                    <xdr:colOff>0</xdr:colOff>
                    <xdr:row>52</xdr:row>
                    <xdr:rowOff>0</xdr:rowOff>
                  </from>
                  <to>
                    <xdr:col>7</xdr:col>
                    <xdr:colOff>876300</xdr:colOff>
                    <xdr:row>52</xdr:row>
                    <xdr:rowOff>198120</xdr:rowOff>
                  </to>
                </anchor>
              </controlPr>
            </control>
          </mc:Choice>
        </mc:AlternateContent>
        <mc:AlternateContent xmlns:mc="http://schemas.openxmlformats.org/markup-compatibility/2006">
          <mc:Choice Requires="x14">
            <control shapeId="673867" r:id="rId16" name="Drop Down 75">
              <controlPr defaultSize="0" autoLine="0" autoPict="0">
                <anchor moveWithCells="1">
                  <from>
                    <xdr:col>7</xdr:col>
                    <xdr:colOff>0</xdr:colOff>
                    <xdr:row>53</xdr:row>
                    <xdr:rowOff>0</xdr:rowOff>
                  </from>
                  <to>
                    <xdr:col>7</xdr:col>
                    <xdr:colOff>876300</xdr:colOff>
                    <xdr:row>53</xdr:row>
                    <xdr:rowOff>198120</xdr:rowOff>
                  </to>
                </anchor>
              </controlPr>
            </control>
          </mc:Choice>
        </mc:AlternateContent>
        <mc:AlternateContent xmlns:mc="http://schemas.openxmlformats.org/markup-compatibility/2006">
          <mc:Choice Requires="x14">
            <control shapeId="673868" r:id="rId17" name="Drop Down 76">
              <controlPr defaultSize="0" autoLine="0" autoPict="0">
                <anchor moveWithCells="1">
                  <from>
                    <xdr:col>7</xdr:col>
                    <xdr:colOff>0</xdr:colOff>
                    <xdr:row>54</xdr:row>
                    <xdr:rowOff>0</xdr:rowOff>
                  </from>
                  <to>
                    <xdr:col>7</xdr:col>
                    <xdr:colOff>876300</xdr:colOff>
                    <xdr:row>54</xdr:row>
                    <xdr:rowOff>198120</xdr:rowOff>
                  </to>
                </anchor>
              </controlPr>
            </control>
          </mc:Choice>
        </mc:AlternateContent>
        <mc:AlternateContent xmlns:mc="http://schemas.openxmlformats.org/markup-compatibility/2006">
          <mc:Choice Requires="x14">
            <control shapeId="673869" r:id="rId18" name="Drop Down 77">
              <controlPr defaultSize="0" autoLine="0" autoPict="0">
                <anchor moveWithCells="1">
                  <from>
                    <xdr:col>7</xdr:col>
                    <xdr:colOff>0</xdr:colOff>
                    <xdr:row>55</xdr:row>
                    <xdr:rowOff>0</xdr:rowOff>
                  </from>
                  <to>
                    <xdr:col>7</xdr:col>
                    <xdr:colOff>876300</xdr:colOff>
                    <xdr:row>55</xdr:row>
                    <xdr:rowOff>198120</xdr:rowOff>
                  </to>
                </anchor>
              </controlPr>
            </control>
          </mc:Choice>
        </mc:AlternateContent>
        <mc:AlternateContent xmlns:mc="http://schemas.openxmlformats.org/markup-compatibility/2006">
          <mc:Choice Requires="x14">
            <control shapeId="673870" r:id="rId19" name="Drop Down 78">
              <controlPr defaultSize="0" autoLine="0" autoPict="0">
                <anchor moveWithCells="1">
                  <from>
                    <xdr:col>7</xdr:col>
                    <xdr:colOff>0</xdr:colOff>
                    <xdr:row>56</xdr:row>
                    <xdr:rowOff>0</xdr:rowOff>
                  </from>
                  <to>
                    <xdr:col>7</xdr:col>
                    <xdr:colOff>876300</xdr:colOff>
                    <xdr:row>56</xdr:row>
                    <xdr:rowOff>198120</xdr:rowOff>
                  </to>
                </anchor>
              </controlPr>
            </control>
          </mc:Choice>
        </mc:AlternateContent>
        <mc:AlternateContent xmlns:mc="http://schemas.openxmlformats.org/markup-compatibility/2006">
          <mc:Choice Requires="x14">
            <control shapeId="673871" r:id="rId20" name="Drop Down 79">
              <controlPr defaultSize="0" autoLine="0" autoPict="0">
                <anchor moveWithCells="1">
                  <from>
                    <xdr:col>7</xdr:col>
                    <xdr:colOff>0</xdr:colOff>
                    <xdr:row>57</xdr:row>
                    <xdr:rowOff>0</xdr:rowOff>
                  </from>
                  <to>
                    <xdr:col>7</xdr:col>
                    <xdr:colOff>876300</xdr:colOff>
                    <xdr:row>57</xdr:row>
                    <xdr:rowOff>198120</xdr:rowOff>
                  </to>
                </anchor>
              </controlPr>
            </control>
          </mc:Choice>
        </mc:AlternateContent>
        <mc:AlternateContent xmlns:mc="http://schemas.openxmlformats.org/markup-compatibility/2006">
          <mc:Choice Requires="x14">
            <control shapeId="673872" r:id="rId21" name="Drop Down 80">
              <controlPr defaultSize="0" autoLine="0" autoPict="0">
                <anchor moveWithCells="1">
                  <from>
                    <xdr:col>7</xdr:col>
                    <xdr:colOff>0</xdr:colOff>
                    <xdr:row>59</xdr:row>
                    <xdr:rowOff>0</xdr:rowOff>
                  </from>
                  <to>
                    <xdr:col>7</xdr:col>
                    <xdr:colOff>876300</xdr:colOff>
                    <xdr:row>59</xdr:row>
                    <xdr:rowOff>198120</xdr:rowOff>
                  </to>
                </anchor>
              </controlPr>
            </control>
          </mc:Choice>
        </mc:AlternateContent>
        <mc:AlternateContent xmlns:mc="http://schemas.openxmlformats.org/markup-compatibility/2006">
          <mc:Choice Requires="x14">
            <control shapeId="673873" r:id="rId22" name="Drop Down 81">
              <controlPr defaultSize="0" autoLine="0" autoPict="0">
                <anchor moveWithCells="1">
                  <from>
                    <xdr:col>7</xdr:col>
                    <xdr:colOff>0</xdr:colOff>
                    <xdr:row>60</xdr:row>
                    <xdr:rowOff>0</xdr:rowOff>
                  </from>
                  <to>
                    <xdr:col>7</xdr:col>
                    <xdr:colOff>876300</xdr:colOff>
                    <xdr:row>60</xdr:row>
                    <xdr:rowOff>198120</xdr:rowOff>
                  </to>
                </anchor>
              </controlPr>
            </control>
          </mc:Choice>
        </mc:AlternateContent>
        <mc:AlternateContent xmlns:mc="http://schemas.openxmlformats.org/markup-compatibility/2006">
          <mc:Choice Requires="x14">
            <control shapeId="673874" r:id="rId23" name="Drop Down 82">
              <controlPr defaultSize="0" autoLine="0" autoPict="0">
                <anchor moveWithCells="1">
                  <from>
                    <xdr:col>7</xdr:col>
                    <xdr:colOff>0</xdr:colOff>
                    <xdr:row>61</xdr:row>
                    <xdr:rowOff>0</xdr:rowOff>
                  </from>
                  <to>
                    <xdr:col>7</xdr:col>
                    <xdr:colOff>876300</xdr:colOff>
                    <xdr:row>61</xdr:row>
                    <xdr:rowOff>198120</xdr:rowOff>
                  </to>
                </anchor>
              </controlPr>
            </control>
          </mc:Choice>
        </mc:AlternateContent>
        <mc:AlternateContent xmlns:mc="http://schemas.openxmlformats.org/markup-compatibility/2006">
          <mc:Choice Requires="x14">
            <control shapeId="673877" r:id="rId24" name="Drop Down 85">
              <controlPr defaultSize="0" autoLine="0" autoPict="0">
                <anchor moveWithCells="1">
                  <from>
                    <xdr:col>7</xdr:col>
                    <xdr:colOff>0</xdr:colOff>
                    <xdr:row>47</xdr:row>
                    <xdr:rowOff>0</xdr:rowOff>
                  </from>
                  <to>
                    <xdr:col>7</xdr:col>
                    <xdr:colOff>876300</xdr:colOff>
                    <xdr:row>47</xdr:row>
                    <xdr:rowOff>198120</xdr:rowOff>
                  </to>
                </anchor>
              </controlPr>
            </control>
          </mc:Choice>
        </mc:AlternateContent>
        <mc:AlternateContent xmlns:mc="http://schemas.openxmlformats.org/markup-compatibility/2006">
          <mc:Choice Requires="x14">
            <control shapeId="673878" r:id="rId25" name="Drop Down 86">
              <controlPr defaultSize="0" autoLine="0" autoPict="0">
                <anchor moveWithCells="1">
                  <from>
                    <xdr:col>7</xdr:col>
                    <xdr:colOff>0</xdr:colOff>
                    <xdr:row>42</xdr:row>
                    <xdr:rowOff>0</xdr:rowOff>
                  </from>
                  <to>
                    <xdr:col>7</xdr:col>
                    <xdr:colOff>876300</xdr:colOff>
                    <xdr:row>42</xdr:row>
                    <xdr:rowOff>198120</xdr:rowOff>
                  </to>
                </anchor>
              </controlPr>
            </control>
          </mc:Choice>
        </mc:AlternateContent>
        <mc:AlternateContent xmlns:mc="http://schemas.openxmlformats.org/markup-compatibility/2006">
          <mc:Choice Requires="x14">
            <control shapeId="673879" r:id="rId26" name="Drop Down 87">
              <controlPr defaultSize="0" autoLine="0" autoPict="0">
                <anchor moveWithCells="1">
                  <from>
                    <xdr:col>7</xdr:col>
                    <xdr:colOff>0</xdr:colOff>
                    <xdr:row>43</xdr:row>
                    <xdr:rowOff>0</xdr:rowOff>
                  </from>
                  <to>
                    <xdr:col>7</xdr:col>
                    <xdr:colOff>876300</xdr:colOff>
                    <xdr:row>43</xdr:row>
                    <xdr:rowOff>198120</xdr:rowOff>
                  </to>
                </anchor>
              </controlPr>
            </control>
          </mc:Choice>
        </mc:AlternateContent>
        <mc:AlternateContent xmlns:mc="http://schemas.openxmlformats.org/markup-compatibility/2006">
          <mc:Choice Requires="x14">
            <control shapeId="674328" r:id="rId27" name="Drop Down 536">
              <controlPr defaultSize="0" autoLine="0" autoPict="0">
                <anchor moveWithCells="1">
                  <from>
                    <xdr:col>5</xdr:col>
                    <xdr:colOff>1173480</xdr:colOff>
                    <xdr:row>48</xdr:row>
                    <xdr:rowOff>7620</xdr:rowOff>
                  </from>
                  <to>
                    <xdr:col>6</xdr:col>
                    <xdr:colOff>640080</xdr:colOff>
                    <xdr:row>49</xdr:row>
                    <xdr:rowOff>0</xdr:rowOff>
                  </to>
                </anchor>
              </controlPr>
            </control>
          </mc:Choice>
        </mc:AlternateContent>
        <mc:AlternateContent xmlns:mc="http://schemas.openxmlformats.org/markup-compatibility/2006">
          <mc:Choice Requires="x14">
            <control shapeId="674330" r:id="rId28" name="Drop Down 538">
              <controlPr defaultSize="0" autoLine="0" autoPict="0">
                <anchor moveWithCells="1">
                  <from>
                    <xdr:col>5</xdr:col>
                    <xdr:colOff>1173480</xdr:colOff>
                    <xdr:row>49</xdr:row>
                    <xdr:rowOff>0</xdr:rowOff>
                  </from>
                  <to>
                    <xdr:col>6</xdr:col>
                    <xdr:colOff>640080</xdr:colOff>
                    <xdr:row>49</xdr:row>
                    <xdr:rowOff>198120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FFFF00"/>
    <pageSetUpPr fitToPage="1"/>
  </sheetPr>
  <dimension ref="A1:Y129"/>
  <sheetViews>
    <sheetView zoomScale="66" zoomScaleNormal="85" zoomScaleSheetLayoutView="80" workbookViewId="0">
      <selection activeCell="AD89" sqref="AD89"/>
    </sheetView>
  </sheetViews>
  <sheetFormatPr defaultColWidth="9.109375" defaultRowHeight="13.2" x14ac:dyDescent="0.25"/>
  <cols>
    <col min="1" max="13" width="9.109375" style="493"/>
    <col min="14" max="14" width="11.88671875" style="493" customWidth="1"/>
    <col min="15" max="16" width="9.109375" style="493"/>
    <col min="17" max="17" width="15.6640625" style="493" customWidth="1"/>
    <col min="18" max="16384" width="9.109375" style="493"/>
  </cols>
  <sheetData>
    <row r="1" spans="1:23" s="492" customFormat="1" ht="47.25" customHeight="1" x14ac:dyDescent="0.3">
      <c r="A1" s="560" t="s">
        <v>751</v>
      </c>
      <c r="B1" s="561"/>
      <c r="C1" s="561"/>
      <c r="D1" s="561"/>
      <c r="E1" s="561"/>
      <c r="F1" s="561"/>
      <c r="G1" s="561"/>
      <c r="H1" s="561"/>
      <c r="I1" s="561"/>
      <c r="J1" s="561"/>
      <c r="K1" s="561"/>
      <c r="L1" s="561"/>
      <c r="M1" s="561"/>
      <c r="N1" s="561"/>
      <c r="O1" s="561"/>
      <c r="P1" s="561"/>
      <c r="Q1" s="561"/>
    </row>
    <row r="2" spans="1:23" ht="20.399999999999999" x14ac:dyDescent="0.35">
      <c r="M2" s="494"/>
      <c r="W2" s="494"/>
    </row>
    <row r="3" spans="1:23" ht="20.399999999999999" x14ac:dyDescent="0.35">
      <c r="B3" s="494" t="s">
        <v>748</v>
      </c>
    </row>
    <row r="5" spans="1:23" ht="20.399999999999999" x14ac:dyDescent="0.25">
      <c r="O5" s="495"/>
    </row>
    <row r="6" spans="1:23" ht="20.399999999999999" x14ac:dyDescent="0.25">
      <c r="O6" s="495"/>
    </row>
    <row r="31" spans="15:15" ht="20.399999999999999" x14ac:dyDescent="0.25">
      <c r="O31" s="496"/>
    </row>
    <row r="32" spans="15:15" ht="20.399999999999999" x14ac:dyDescent="0.25">
      <c r="O32" s="495"/>
    </row>
    <row r="46" spans="2:2" ht="20.399999999999999" x14ac:dyDescent="0.35">
      <c r="B46" s="494" t="s">
        <v>760</v>
      </c>
    </row>
    <row r="50" spans="15:25" ht="20.399999999999999" x14ac:dyDescent="0.25">
      <c r="O50" s="495" t="s">
        <v>761</v>
      </c>
    </row>
    <row r="51" spans="15:25" ht="20.399999999999999" x14ac:dyDescent="0.25">
      <c r="O51" s="495" t="s">
        <v>762</v>
      </c>
      <c r="Y51" s="493" t="s">
        <v>749</v>
      </c>
    </row>
    <row r="76" spans="15:15" ht="20.399999999999999" x14ac:dyDescent="0.25">
      <c r="O76" s="496" t="s">
        <v>763</v>
      </c>
    </row>
    <row r="77" spans="15:15" ht="20.399999999999999" x14ac:dyDescent="0.25">
      <c r="O77" s="495"/>
    </row>
    <row r="102" spans="15:15" ht="20.399999999999999" x14ac:dyDescent="0.25">
      <c r="O102" s="496" t="s">
        <v>764</v>
      </c>
    </row>
    <row r="129" spans="15:15" ht="20.399999999999999" x14ac:dyDescent="0.25">
      <c r="O129" s="495" t="s">
        <v>765</v>
      </c>
    </row>
  </sheetData>
  <sheetProtection algorithmName="SHA-512" hashValue="mfqg14JXM7eQdMxfIbAbyQXXoLaBzh7E+vHpbegv5G7PmoVFz5ldxzWC/I3iiTlNv+ZGdrk2NJefeD8Bt6E9aQ==" saltValue="vwGsBJHwmwVGMufLkpoxbQ==" spinCount="100000" sheet="1" objects="1" scenarios="1" selectLockedCells="1"/>
  <mergeCells count="1">
    <mergeCell ref="A1:Q1"/>
  </mergeCells>
  <phoneticPr fontId="106"/>
  <pageMargins left="0.19" right="0.2" top="0.75" bottom="0.75" header="0.3" footer="0.3"/>
  <pageSetup scale="3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V349"/>
  <sheetViews>
    <sheetView workbookViewId="0">
      <pane ySplit="5" topLeftCell="A123" activePane="bottomLeft" state="frozenSplit"/>
      <selection pane="bottomLeft" activeCell="A6" sqref="A6"/>
    </sheetView>
  </sheetViews>
  <sheetFormatPr defaultRowHeight="13.2" x14ac:dyDescent="0.25"/>
  <cols>
    <col min="1" max="1" width="35.109375" bestFit="1" customWidth="1"/>
    <col min="2" max="2" width="19.109375" customWidth="1"/>
    <col min="7" max="7" width="18.88671875" customWidth="1"/>
    <col min="9" max="10" width="12.44140625" bestFit="1" customWidth="1"/>
    <col min="12" max="12" width="19.88671875" customWidth="1"/>
    <col min="14" max="14" width="11.44140625" customWidth="1"/>
    <col min="17" max="17" width="10.5546875" customWidth="1"/>
    <col min="20" max="20" width="10.88671875" customWidth="1"/>
    <col min="21" max="21" width="10.5546875" customWidth="1"/>
  </cols>
  <sheetData>
    <row r="1" spans="1:22" ht="40.5" customHeight="1" x14ac:dyDescent="0.5">
      <c r="A1" s="563" t="s">
        <v>286</v>
      </c>
      <c r="B1" s="563"/>
      <c r="C1" s="563"/>
      <c r="D1" s="563"/>
      <c r="E1" s="563"/>
      <c r="F1" s="563"/>
      <c r="G1" s="563"/>
      <c r="H1" s="563"/>
    </row>
    <row r="2" spans="1:22" ht="12" customHeight="1" x14ac:dyDescent="0.25">
      <c r="A2" s="56"/>
      <c r="B2" s="56" t="s">
        <v>360</v>
      </c>
      <c r="C2" s="64"/>
      <c r="D2" s="56"/>
      <c r="E2" s="56"/>
      <c r="F2" s="56"/>
      <c r="G2" s="56"/>
      <c r="H2" s="56"/>
    </row>
    <row r="3" spans="1:22" ht="11.25" customHeight="1" x14ac:dyDescent="0.25">
      <c r="A3" s="56"/>
      <c r="B3" s="56" t="s">
        <v>420</v>
      </c>
      <c r="C3" s="65"/>
      <c r="D3" s="56"/>
      <c r="E3" s="56"/>
      <c r="F3" s="56"/>
      <c r="G3" s="56"/>
      <c r="H3" s="56"/>
    </row>
    <row r="4" spans="1:22" ht="11.25" customHeight="1" x14ac:dyDescent="0.25">
      <c r="A4" s="56"/>
      <c r="B4" s="56" t="s">
        <v>361</v>
      </c>
      <c r="C4" s="66"/>
      <c r="D4" s="56"/>
      <c r="E4" s="56"/>
      <c r="F4" s="56"/>
      <c r="G4" s="56"/>
      <c r="H4" s="56"/>
    </row>
    <row r="5" spans="1:22" x14ac:dyDescent="0.25">
      <c r="A5" s="2" t="s">
        <v>113</v>
      </c>
      <c r="B5" s="2" t="s">
        <v>8</v>
      </c>
      <c r="C5" s="2" t="s">
        <v>9</v>
      </c>
      <c r="D5" s="562" t="s">
        <v>13</v>
      </c>
      <c r="E5" s="562"/>
      <c r="F5" s="562"/>
      <c r="G5" s="562"/>
      <c r="H5" s="2" t="s">
        <v>38</v>
      </c>
    </row>
    <row r="6" spans="1:22" ht="16.2" thickBot="1" x14ac:dyDescent="0.35">
      <c r="A6" s="133" t="s">
        <v>288</v>
      </c>
      <c r="B6" s="2"/>
      <c r="C6" s="2"/>
      <c r="D6" s="56"/>
      <c r="E6" s="56"/>
      <c r="F6" s="56"/>
      <c r="G6" s="56"/>
      <c r="H6" s="2"/>
    </row>
    <row r="7" spans="1:22" x14ac:dyDescent="0.25">
      <c r="A7" s="134" t="s">
        <v>4</v>
      </c>
      <c r="B7" s="18">
        <f>'Design Regulator'!E7</f>
        <v>24</v>
      </c>
      <c r="C7" s="94" t="s">
        <v>0</v>
      </c>
      <c r="D7" s="94" t="s">
        <v>14</v>
      </c>
      <c r="E7" s="94"/>
      <c r="F7" s="94"/>
      <c r="G7" s="94"/>
      <c r="H7" s="95">
        <v>1</v>
      </c>
      <c r="U7" s="428" t="s">
        <v>755</v>
      </c>
      <c r="V7" s="500">
        <v>1</v>
      </c>
    </row>
    <row r="8" spans="1:22" x14ac:dyDescent="0.25">
      <c r="A8" s="389" t="s">
        <v>577</v>
      </c>
      <c r="B8" s="39">
        <f>'Design Regulator'!E6</f>
        <v>18</v>
      </c>
      <c r="C8" s="171" t="s">
        <v>0</v>
      </c>
      <c r="D8" s="171" t="s">
        <v>580</v>
      </c>
      <c r="H8" s="88"/>
      <c r="U8" s="428" t="s">
        <v>756</v>
      </c>
      <c r="V8" s="500">
        <v>2</v>
      </c>
    </row>
    <row r="9" spans="1:22" x14ac:dyDescent="0.25">
      <c r="A9" s="389" t="s">
        <v>576</v>
      </c>
      <c r="B9" s="39">
        <f>'Design Regulator'!E8</f>
        <v>36</v>
      </c>
      <c r="C9" s="171" t="s">
        <v>0</v>
      </c>
      <c r="D9" s="171" t="s">
        <v>581</v>
      </c>
      <c r="H9" s="88"/>
      <c r="U9" s="428" t="s">
        <v>757</v>
      </c>
      <c r="V9" s="500">
        <v>3</v>
      </c>
    </row>
    <row r="10" spans="1:22" x14ac:dyDescent="0.25">
      <c r="A10" s="87" t="s">
        <v>5</v>
      </c>
      <c r="B10" s="39">
        <f>'Design Regulator'!E9</f>
        <v>5.0999999999999996</v>
      </c>
      <c r="C10" t="s">
        <v>0</v>
      </c>
      <c r="D10" t="s">
        <v>1</v>
      </c>
      <c r="H10" s="88">
        <v>1</v>
      </c>
      <c r="U10" s="428" t="s">
        <v>758</v>
      </c>
      <c r="V10" s="500">
        <v>4</v>
      </c>
    </row>
    <row r="11" spans="1:22" x14ac:dyDescent="0.25">
      <c r="A11" s="87" t="s">
        <v>6</v>
      </c>
      <c r="B11" s="39">
        <f>'Design Regulator'!E10</f>
        <v>6</v>
      </c>
      <c r="C11" t="s">
        <v>2</v>
      </c>
      <c r="D11" t="s">
        <v>15</v>
      </c>
      <c r="H11" s="88">
        <v>1</v>
      </c>
      <c r="U11" s="428" t="s">
        <v>747</v>
      </c>
      <c r="V11" s="500">
        <v>5</v>
      </c>
    </row>
    <row r="12" spans="1:22" x14ac:dyDescent="0.25">
      <c r="A12" s="89" t="s">
        <v>7</v>
      </c>
      <c r="B12" s="354">
        <f>IF(AND('Design Regulator'!E12&lt;='Design Regulator'!E11*1.5, 'Design Regulator'!E12&gt;='Design Regulator'!E11*0.8), 'Design Regulator'!E12*1000, 'Design Regulator'!E11*1000)</f>
        <v>300000</v>
      </c>
      <c r="C12" s="171" t="s">
        <v>10</v>
      </c>
      <c r="D12" t="s">
        <v>16</v>
      </c>
      <c r="H12" s="88">
        <v>1</v>
      </c>
      <c r="T12" s="384" t="s">
        <v>752</v>
      </c>
      <c r="U12" s="501" t="str">
        <f>CHOOSE(VARIANT, "LM5145", "LM5145-Q1", "LM25145", "LM5146", "LM5146-Q1")</f>
        <v>LM25145</v>
      </c>
      <c r="V12" s="384">
        <v>3</v>
      </c>
    </row>
    <row r="13" spans="1:22" x14ac:dyDescent="0.25">
      <c r="A13" s="389" t="s">
        <v>710</v>
      </c>
      <c r="B13" s="354">
        <f>'Design Regulator'!E11*1000</f>
        <v>300000</v>
      </c>
      <c r="C13" s="171" t="s">
        <v>10</v>
      </c>
      <c r="D13" s="171" t="s">
        <v>711</v>
      </c>
      <c r="H13" s="88"/>
      <c r="T13" s="384" t="s">
        <v>753</v>
      </c>
      <c r="U13" s="501">
        <f>CHOOSE(VARIANT, 75, 75, 42, 100, 100)</f>
        <v>42</v>
      </c>
      <c r="V13" t="s">
        <v>0</v>
      </c>
    </row>
    <row r="14" spans="1:22" x14ac:dyDescent="0.25">
      <c r="A14" s="89" t="s">
        <v>78</v>
      </c>
      <c r="B14" s="90">
        <v>0.8</v>
      </c>
      <c r="C14" t="s">
        <v>0</v>
      </c>
      <c r="D14" t="s">
        <v>79</v>
      </c>
      <c r="H14" s="88"/>
      <c r="T14" s="384" t="s">
        <v>759</v>
      </c>
      <c r="U14" s="501">
        <f>CHOOSE(VARIANT, 6, 6, 6, 5.5, 5.5)</f>
        <v>6</v>
      </c>
      <c r="V14" s="171" t="s">
        <v>0</v>
      </c>
    </row>
    <row r="15" spans="1:22" x14ac:dyDescent="0.25">
      <c r="A15" s="306" t="s">
        <v>575</v>
      </c>
      <c r="B15" s="166">
        <f>1/(B13*0.0000000001)</f>
        <v>33333.333333333336</v>
      </c>
      <c r="C15" s="309" t="s">
        <v>208</v>
      </c>
      <c r="H15" s="88"/>
      <c r="T15" s="384" t="s">
        <v>754</v>
      </c>
      <c r="U15" s="501">
        <f>CHOOSE(VARIANT, 60, 60, 42, 60, 60)</f>
        <v>42</v>
      </c>
      <c r="V15" s="171" t="s">
        <v>0</v>
      </c>
    </row>
    <row r="16" spans="1:22" x14ac:dyDescent="0.25">
      <c r="A16" s="389"/>
      <c r="B16" s="63"/>
      <c r="C16" s="309"/>
      <c r="H16" s="88"/>
    </row>
    <row r="17" spans="1:22" x14ac:dyDescent="0.25">
      <c r="A17" s="389" t="s">
        <v>694</v>
      </c>
      <c r="B17" s="454">
        <f>B38/Fsw*1000000000</f>
        <v>478.33333333333331</v>
      </c>
      <c r="C17" s="171" t="s">
        <v>147</v>
      </c>
      <c r="H17" s="88"/>
    </row>
    <row r="18" spans="1:22" x14ac:dyDescent="0.25">
      <c r="A18" s="306" t="s">
        <v>693</v>
      </c>
      <c r="B18" s="455">
        <f>B37/Fsw*1000000000</f>
        <v>2376.666666666667</v>
      </c>
      <c r="C18" s="171" t="s">
        <v>147</v>
      </c>
      <c r="H18" s="88"/>
    </row>
    <row r="19" spans="1:22" ht="13.8" thickBot="1" x14ac:dyDescent="0.3">
      <c r="A19" s="91"/>
      <c r="B19" s="157"/>
      <c r="C19" s="92"/>
      <c r="D19" s="92"/>
      <c r="E19" s="92"/>
      <c r="F19" s="92"/>
      <c r="G19" s="92"/>
      <c r="H19" s="93"/>
      <c r="U19" s="428" t="s">
        <v>771</v>
      </c>
      <c r="V19" s="173">
        <v>1</v>
      </c>
    </row>
    <row r="20" spans="1:22" x14ac:dyDescent="0.25">
      <c r="U20" s="428" t="s">
        <v>766</v>
      </c>
      <c r="V20" s="173">
        <v>2</v>
      </c>
    </row>
    <row r="21" spans="1:22" x14ac:dyDescent="0.25">
      <c r="U21" s="502" t="s">
        <v>767</v>
      </c>
      <c r="V21" s="384">
        <v>1</v>
      </c>
    </row>
    <row r="22" spans="1:22" ht="16.2" thickBot="1" x14ac:dyDescent="0.35">
      <c r="A22" s="133" t="s">
        <v>112</v>
      </c>
    </row>
    <row r="23" spans="1:22" x14ac:dyDescent="0.25">
      <c r="A23" s="135" t="s">
        <v>19</v>
      </c>
      <c r="B23" s="390">
        <f>Vout/Vin</f>
        <v>0.21249999999999999</v>
      </c>
      <c r="C23" s="94" t="s">
        <v>23</v>
      </c>
      <c r="D23" s="94" t="s">
        <v>17</v>
      </c>
      <c r="E23" s="94"/>
      <c r="F23" s="94"/>
      <c r="G23" s="94"/>
      <c r="H23" s="95">
        <v>1</v>
      </c>
    </row>
    <row r="24" spans="1:22" x14ac:dyDescent="0.25">
      <c r="A24" s="96" t="s">
        <v>20</v>
      </c>
      <c r="B24" s="392">
        <f>1-23:23</f>
        <v>0.78749999999999998</v>
      </c>
      <c r="C24" t="s">
        <v>23</v>
      </c>
      <c r="D24" t="s">
        <v>18</v>
      </c>
      <c r="H24" s="88">
        <v>1</v>
      </c>
    </row>
    <row r="25" spans="1:22" x14ac:dyDescent="0.25">
      <c r="A25" s="393" t="s">
        <v>687</v>
      </c>
      <c r="B25" s="392">
        <f>Vout/Vinmin</f>
        <v>0.28333333333333333</v>
      </c>
      <c r="H25" s="88"/>
    </row>
    <row r="26" spans="1:22" x14ac:dyDescent="0.25">
      <c r="A26" s="393" t="s">
        <v>688</v>
      </c>
      <c r="B26" s="392">
        <f>1-B25</f>
        <v>0.71666666666666667</v>
      </c>
      <c r="H26" s="88"/>
    </row>
    <row r="27" spans="1:22" x14ac:dyDescent="0.25">
      <c r="A27" s="393" t="s">
        <v>579</v>
      </c>
      <c r="B27" s="392">
        <f>Vout/Vinmax</f>
        <v>0.14166666666666666</v>
      </c>
      <c r="H27" s="88"/>
    </row>
    <row r="28" spans="1:22" x14ac:dyDescent="0.25">
      <c r="A28" s="393" t="s">
        <v>578</v>
      </c>
      <c r="B28" s="392">
        <f>1-B27</f>
        <v>0.85833333333333339</v>
      </c>
      <c r="H28" s="88"/>
    </row>
    <row r="29" spans="1:22" x14ac:dyDescent="0.25">
      <c r="A29" s="393"/>
      <c r="B29" s="396"/>
      <c r="H29" s="88"/>
    </row>
    <row r="30" spans="1:22" x14ac:dyDescent="0.25">
      <c r="A30" s="96" t="s">
        <v>31</v>
      </c>
      <c r="B30" s="360">
        <f>(Vin-Vout)*_Don1/(Fsw*Iout*0.333)</f>
        <v>6.7004504504504497E-6</v>
      </c>
      <c r="C30" t="s">
        <v>24</v>
      </c>
      <c r="D30" t="s">
        <v>421</v>
      </c>
      <c r="H30" s="88">
        <v>1</v>
      </c>
    </row>
    <row r="31" spans="1:22" x14ac:dyDescent="0.25">
      <c r="A31" s="87" t="s">
        <v>32</v>
      </c>
      <c r="B31" s="114">
        <f>'Design Regulator'!E17/1000000</f>
        <v>7.4000000000000003E-6</v>
      </c>
      <c r="C31" t="s">
        <v>24</v>
      </c>
      <c r="D31" s="171" t="s">
        <v>543</v>
      </c>
      <c r="H31" s="88">
        <v>2</v>
      </c>
    </row>
    <row r="32" spans="1:22" x14ac:dyDescent="0.25">
      <c r="A32" s="87" t="s">
        <v>12</v>
      </c>
      <c r="B32" s="39">
        <f>'Design Regulator'!E18/1000</f>
        <v>5.0000000000000001E-3</v>
      </c>
      <c r="C32" s="309" t="s">
        <v>208</v>
      </c>
      <c r="D32" s="171" t="s">
        <v>419</v>
      </c>
      <c r="H32" s="88">
        <v>1</v>
      </c>
    </row>
    <row r="33" spans="1:18" x14ac:dyDescent="0.25">
      <c r="A33" s="388"/>
      <c r="C33" s="309"/>
      <c r="D33" s="171"/>
      <c r="H33" s="88"/>
    </row>
    <row r="34" spans="1:18" x14ac:dyDescent="0.25">
      <c r="A34" s="306" t="s">
        <v>21</v>
      </c>
      <c r="B34" s="453">
        <f>(Vout+(Rdcr+RdsonBot)*Iout)/(Vin+(RdsonBot-RdsonTop)*Iout)</f>
        <v>0.21524999999999997</v>
      </c>
      <c r="D34" s="2" t="s">
        <v>422</v>
      </c>
      <c r="H34" s="88">
        <v>2</v>
      </c>
    </row>
    <row r="35" spans="1:18" x14ac:dyDescent="0.25">
      <c r="A35" s="306" t="s">
        <v>22</v>
      </c>
      <c r="B35" s="453">
        <f>1-_Don2</f>
        <v>0.78475000000000006</v>
      </c>
      <c r="D35" s="2" t="s">
        <v>423</v>
      </c>
      <c r="H35" s="88">
        <v>2</v>
      </c>
    </row>
    <row r="36" spans="1:18" x14ac:dyDescent="0.25">
      <c r="A36" s="389" t="s">
        <v>689</v>
      </c>
      <c r="B36" s="453">
        <f>(Vout+(Rdcr+RdsonBot)*Iout)/(Vinmin+(RdsonBot-RdsonTop)*Iout)</f>
        <v>0.28699999999999998</v>
      </c>
      <c r="H36" s="88"/>
    </row>
    <row r="37" spans="1:18" x14ac:dyDescent="0.25">
      <c r="A37" s="389" t="s">
        <v>690</v>
      </c>
      <c r="B37" s="453">
        <f>1-B36</f>
        <v>0.71300000000000008</v>
      </c>
      <c r="H37" s="88"/>
    </row>
    <row r="38" spans="1:18" x14ac:dyDescent="0.25">
      <c r="A38" s="389" t="s">
        <v>691</v>
      </c>
      <c r="B38" s="453">
        <f>(Vout+(Rdcr+RdsonBot)*Iout)/(Vinmax+(RdsonBot-RdsonTop)*Iout)</f>
        <v>0.14349999999999999</v>
      </c>
      <c r="H38" s="88"/>
      <c r="L38" s="467" t="s">
        <v>740</v>
      </c>
      <c r="M38" s="468">
        <v>100</v>
      </c>
      <c r="N38" s="469">
        <v>1</v>
      </c>
    </row>
    <row r="39" spans="1:18" x14ac:dyDescent="0.25">
      <c r="A39" s="389" t="s">
        <v>692</v>
      </c>
      <c r="B39" s="453">
        <f>1-B38</f>
        <v>0.85650000000000004</v>
      </c>
      <c r="H39" s="88"/>
      <c r="L39" s="467" t="s">
        <v>628</v>
      </c>
      <c r="M39" s="468">
        <v>47</v>
      </c>
      <c r="N39" s="469">
        <v>2</v>
      </c>
    </row>
    <row r="40" spans="1:18" x14ac:dyDescent="0.25">
      <c r="A40" s="393"/>
      <c r="B40" s="1"/>
      <c r="H40" s="88"/>
      <c r="L40" s="467" t="s">
        <v>630</v>
      </c>
      <c r="M40" s="468">
        <v>22</v>
      </c>
      <c r="N40" s="469">
        <v>3</v>
      </c>
    </row>
    <row r="41" spans="1:18" x14ac:dyDescent="0.25">
      <c r="A41" s="87" t="s">
        <v>26</v>
      </c>
      <c r="B41" s="98">
        <f>'Design Regulator'!E31/1000</f>
        <v>0.02</v>
      </c>
      <c r="C41" t="s">
        <v>0</v>
      </c>
      <c r="D41" t="s">
        <v>27</v>
      </c>
      <c r="H41" s="88">
        <v>1</v>
      </c>
      <c r="L41" s="467" t="s">
        <v>632</v>
      </c>
      <c r="M41" s="468">
        <v>22</v>
      </c>
      <c r="N41" s="469">
        <v>4</v>
      </c>
    </row>
    <row r="42" spans="1:18" x14ac:dyDescent="0.25">
      <c r="A42" s="99" t="s">
        <v>33</v>
      </c>
      <c r="B42" s="391">
        <f>(Vin-Vout)*_Don2/(Fsw*Lout2)</f>
        <v>1.8325337837837832</v>
      </c>
      <c r="C42" t="s">
        <v>2</v>
      </c>
      <c r="D42" s="171" t="s">
        <v>544</v>
      </c>
      <c r="H42" s="88">
        <v>1</v>
      </c>
      <c r="L42" s="428" t="s">
        <v>657</v>
      </c>
      <c r="M42" s="468">
        <v>10</v>
      </c>
      <c r="N42" s="469">
        <v>5</v>
      </c>
    </row>
    <row r="43" spans="1:18" x14ac:dyDescent="0.25">
      <c r="A43" s="99" t="s">
        <v>411</v>
      </c>
      <c r="B43" s="391">
        <f>Rdcr*(1+0.0039*(F43-25))</f>
        <v>6.4625000000000004E-3</v>
      </c>
      <c r="C43" t="s">
        <v>25</v>
      </c>
      <c r="E43" t="s">
        <v>412</v>
      </c>
      <c r="F43">
        <v>100</v>
      </c>
      <c r="H43" s="88"/>
      <c r="L43" s="428" t="s">
        <v>658</v>
      </c>
      <c r="M43" s="468">
        <v>4.7</v>
      </c>
      <c r="N43" s="469">
        <v>6</v>
      </c>
    </row>
    <row r="44" spans="1:18" ht="13.8" thickBot="1" x14ac:dyDescent="0.3">
      <c r="A44" s="100" t="s">
        <v>356</v>
      </c>
      <c r="B44" s="101">
        <f>Lout2/Rdcr</f>
        <v>1.48E-3</v>
      </c>
      <c r="C44" s="92" t="s">
        <v>265</v>
      </c>
      <c r="D44" s="92" t="s">
        <v>357</v>
      </c>
      <c r="E44" s="92"/>
      <c r="F44" s="92"/>
      <c r="G44" s="92"/>
      <c r="H44" s="93"/>
      <c r="L44" s="470" t="s">
        <v>714</v>
      </c>
      <c r="M44" s="471" t="str">
        <f>CHOOSE(N44,"100", "47","22","22","10", "4.7")</f>
        <v>47</v>
      </c>
      <c r="N44" s="384">
        <f>IF(Vout&lt;5, 1, IF(Vout&lt;=8, 2, IF(Vout&lt;=12, 3, IF(Vout&lt;=20, 4, IF(Vout&lt;=42, 5, 6)))))</f>
        <v>2</v>
      </c>
      <c r="Q44" s="431" t="s">
        <v>715</v>
      </c>
      <c r="R44" s="173">
        <v>1</v>
      </c>
    </row>
    <row r="45" spans="1:18" x14ac:dyDescent="0.25">
      <c r="A45" s="2"/>
      <c r="B45" s="1"/>
      <c r="Q45" s="431" t="s">
        <v>716</v>
      </c>
      <c r="R45" s="173">
        <v>2</v>
      </c>
    </row>
    <row r="46" spans="1:18" ht="16.2" thickBot="1" x14ac:dyDescent="0.35">
      <c r="A46" s="133" t="s">
        <v>275</v>
      </c>
      <c r="B46" s="1"/>
    </row>
    <row r="47" spans="1:18" x14ac:dyDescent="0.25">
      <c r="A47" s="136"/>
      <c r="B47" s="137"/>
      <c r="C47" s="94"/>
      <c r="D47" s="94"/>
      <c r="E47" s="94"/>
      <c r="F47" s="94"/>
      <c r="G47" s="94"/>
      <c r="H47" s="95"/>
    </row>
    <row r="48" spans="1:18" x14ac:dyDescent="0.25">
      <c r="A48" s="99"/>
      <c r="B48" s="165"/>
      <c r="H48" s="88"/>
      <c r="L48" s="431" t="s">
        <v>682</v>
      </c>
      <c r="M48" s="173">
        <v>1</v>
      </c>
      <c r="N48" s="431" t="s">
        <v>679</v>
      </c>
      <c r="O48" s="63">
        <v>30</v>
      </c>
    </row>
    <row r="49" spans="1:19" x14ac:dyDescent="0.25">
      <c r="A49" s="99" t="s">
        <v>611</v>
      </c>
      <c r="B49" s="165">
        <f>'Design Regulator'!E25</f>
        <v>10</v>
      </c>
      <c r="H49" s="88"/>
      <c r="L49" s="431" t="s">
        <v>683</v>
      </c>
      <c r="M49" s="173">
        <v>2</v>
      </c>
      <c r="N49" s="431" t="s">
        <v>680</v>
      </c>
      <c r="O49" s="63">
        <v>10.9</v>
      </c>
    </row>
    <row r="50" spans="1:19" x14ac:dyDescent="0.25">
      <c r="A50" s="87" t="s">
        <v>273</v>
      </c>
      <c r="B50" s="386">
        <f>'Design Regulator'!E25-Iripple1/2</f>
        <v>9.0837331081081079</v>
      </c>
      <c r="C50" t="s">
        <v>2</v>
      </c>
      <c r="D50" s="171" t="s">
        <v>582</v>
      </c>
      <c r="H50" s="88"/>
      <c r="L50" s="431" t="s">
        <v>684</v>
      </c>
      <c r="M50" s="173">
        <v>3</v>
      </c>
      <c r="N50" s="431" t="s">
        <v>686</v>
      </c>
      <c r="O50" s="63">
        <v>66</v>
      </c>
    </row>
    <row r="51" spans="1:19" x14ac:dyDescent="0.25">
      <c r="A51" s="389" t="s">
        <v>606</v>
      </c>
      <c r="B51" s="395">
        <f>ROUND('Design Regulator'!E25+Iripple1/2,0)*1.2</f>
        <v>13.2</v>
      </c>
      <c r="C51" s="171" t="s">
        <v>2</v>
      </c>
      <c r="D51" s="171"/>
      <c r="H51" s="88"/>
      <c r="L51" s="431" t="s">
        <v>685</v>
      </c>
      <c r="M51" s="173">
        <v>4</v>
      </c>
      <c r="N51" s="431" t="s">
        <v>681</v>
      </c>
      <c r="O51" s="63">
        <v>150</v>
      </c>
    </row>
    <row r="52" spans="1:19" x14ac:dyDescent="0.25">
      <c r="A52" s="389"/>
      <c r="B52" s="401"/>
      <c r="C52" s="171"/>
      <c r="D52" s="171"/>
      <c r="H52" s="88"/>
      <c r="K52" s="429" t="s">
        <v>661</v>
      </c>
      <c r="L52" s="383" t="str">
        <f>CHOOSE(M52, L48, L49, L50, L51)</f>
        <v>SON 5 x 6</v>
      </c>
      <c r="M52" s="384">
        <v>1</v>
      </c>
    </row>
    <row r="53" spans="1:19" x14ac:dyDescent="0.25">
      <c r="A53" s="306" t="s">
        <v>591</v>
      </c>
      <c r="B53" s="102">
        <v>2.0000000000000001E-4</v>
      </c>
      <c r="C53" t="s">
        <v>2</v>
      </c>
      <c r="D53" s="171" t="s">
        <v>583</v>
      </c>
      <c r="H53" s="88"/>
    </row>
    <row r="54" spans="1:19" ht="15.6" x14ac:dyDescent="0.35">
      <c r="A54" s="389" t="s">
        <v>592</v>
      </c>
      <c r="B54" s="102">
        <v>1E-4</v>
      </c>
      <c r="C54" t="s">
        <v>2</v>
      </c>
      <c r="D54" s="171" t="s">
        <v>584</v>
      </c>
      <c r="H54" s="88"/>
      <c r="L54" s="171" t="s">
        <v>602</v>
      </c>
      <c r="M54" s="173">
        <v>1</v>
      </c>
    </row>
    <row r="55" spans="1:19" x14ac:dyDescent="0.25">
      <c r="A55" s="306" t="s">
        <v>593</v>
      </c>
      <c r="B55" s="387">
        <f>ILimit*RdsonBot/Ilim1</f>
        <v>272.51199324324324</v>
      </c>
      <c r="C55" s="309" t="s">
        <v>208</v>
      </c>
      <c r="D55" s="171" t="s">
        <v>587</v>
      </c>
      <c r="H55" s="88"/>
      <c r="L55" s="171" t="s">
        <v>603</v>
      </c>
      <c r="M55" s="173">
        <v>2</v>
      </c>
    </row>
    <row r="56" spans="1:19" x14ac:dyDescent="0.25">
      <c r="A56" s="306" t="s">
        <v>594</v>
      </c>
      <c r="B56" s="104">
        <f>'Standard Value Calculator'!S6</f>
        <v>274</v>
      </c>
      <c r="C56" s="309" t="s">
        <v>208</v>
      </c>
      <c r="D56" s="171" t="s">
        <v>586</v>
      </c>
      <c r="H56" s="88"/>
      <c r="K56" s="429" t="s">
        <v>660</v>
      </c>
      <c r="L56" s="383" t="str">
        <f>CHOOSE(RDSON_sense, L54,L55)</f>
        <v>RDS(on) sensing</v>
      </c>
      <c r="M56" s="384">
        <v>1</v>
      </c>
      <c r="N56" s="171" t="s">
        <v>574</v>
      </c>
    </row>
    <row r="57" spans="1:19" x14ac:dyDescent="0.25">
      <c r="H57" s="88"/>
      <c r="L57" s="384"/>
      <c r="M57" s="171"/>
    </row>
    <row r="58" spans="1:19" x14ac:dyDescent="0.25">
      <c r="A58" s="389" t="s">
        <v>585</v>
      </c>
      <c r="B58" s="394">
        <f>'Design Regulator'!E24/1000</f>
        <v>6.0000000000000001E-3</v>
      </c>
      <c r="C58" s="309" t="s">
        <v>208</v>
      </c>
      <c r="H58" s="88"/>
      <c r="J58" s="383"/>
      <c r="L58" s="384"/>
      <c r="M58" s="171"/>
    </row>
    <row r="59" spans="1:19" x14ac:dyDescent="0.25">
      <c r="A59" s="389" t="s">
        <v>590</v>
      </c>
      <c r="B59" s="104">
        <f>ILimit*Rshunt/Ilim2</f>
        <v>545.02398648648648</v>
      </c>
      <c r="C59" s="309" t="s">
        <v>208</v>
      </c>
      <c r="H59" s="88"/>
      <c r="K59" s="428" t="s">
        <v>740</v>
      </c>
      <c r="L59" s="2" t="s">
        <v>627</v>
      </c>
      <c r="M59" s="173">
        <v>1</v>
      </c>
      <c r="Q59" s="428"/>
      <c r="R59" s="2"/>
      <c r="S59" s="173"/>
    </row>
    <row r="60" spans="1:19" x14ac:dyDescent="0.25">
      <c r="A60" s="306" t="s">
        <v>595</v>
      </c>
      <c r="B60" s="105">
        <f>'Standard Value Calculator'!S22</f>
        <v>549</v>
      </c>
      <c r="C60" s="309" t="s">
        <v>208</v>
      </c>
      <c r="D60" s="171" t="s">
        <v>586</v>
      </c>
      <c r="H60" s="88"/>
      <c r="K60" s="428" t="s">
        <v>628</v>
      </c>
      <c r="L60" s="2" t="s">
        <v>629</v>
      </c>
      <c r="M60" s="173">
        <v>2</v>
      </c>
      <c r="Q60" s="428" t="s">
        <v>669</v>
      </c>
      <c r="R60" s="2" t="s">
        <v>629</v>
      </c>
      <c r="S60" s="173">
        <v>1</v>
      </c>
    </row>
    <row r="61" spans="1:19" x14ac:dyDescent="0.25">
      <c r="A61" s="389"/>
      <c r="B61" s="105"/>
      <c r="C61" s="309"/>
      <c r="D61" s="171"/>
      <c r="H61" s="88"/>
      <c r="K61" s="428" t="s">
        <v>630</v>
      </c>
      <c r="L61" s="2" t="s">
        <v>631</v>
      </c>
      <c r="M61" s="173">
        <v>3</v>
      </c>
      <c r="Q61" s="428" t="s">
        <v>670</v>
      </c>
      <c r="R61" s="2" t="s">
        <v>631</v>
      </c>
      <c r="S61" s="173">
        <v>2</v>
      </c>
    </row>
    <row r="62" spans="1:19" x14ac:dyDescent="0.25">
      <c r="A62" s="306" t="s">
        <v>589</v>
      </c>
      <c r="B62" s="394">
        <f>ROUND(((1-Don_Vinmax)*Iout)^2*Rshunt,2)</f>
        <v>0.16</v>
      </c>
      <c r="C62" s="171" t="s">
        <v>208</v>
      </c>
      <c r="H62" s="88"/>
      <c r="K62" s="428" t="s">
        <v>632</v>
      </c>
      <c r="L62" s="2" t="s">
        <v>633</v>
      </c>
      <c r="M62" s="173">
        <v>4</v>
      </c>
      <c r="Q62" s="428" t="s">
        <v>671</v>
      </c>
      <c r="R62" s="2" t="s">
        <v>633</v>
      </c>
      <c r="S62" s="173">
        <v>3</v>
      </c>
    </row>
    <row r="63" spans="1:19" x14ac:dyDescent="0.25">
      <c r="A63" s="389"/>
      <c r="B63" s="394"/>
      <c r="C63" s="171"/>
      <c r="H63" s="88"/>
      <c r="K63" s="428"/>
      <c r="L63" s="2"/>
      <c r="M63" s="173"/>
      <c r="Q63" s="428"/>
      <c r="R63" s="2"/>
      <c r="S63" s="173"/>
    </row>
    <row r="64" spans="1:19" x14ac:dyDescent="0.25">
      <c r="A64" s="87" t="s">
        <v>700</v>
      </c>
      <c r="B64" s="464">
        <f>0.000000006/Rilim_Rdson_ideal - 0.000000000002</f>
        <v>2.0017379597104269E-11</v>
      </c>
      <c r="C64" s="171" t="s">
        <v>34</v>
      </c>
      <c r="D64" t="s">
        <v>704</v>
      </c>
      <c r="H64" s="88"/>
      <c r="K64" s="428" t="s">
        <v>657</v>
      </c>
      <c r="L64" s="2" t="s">
        <v>634</v>
      </c>
      <c r="M64" s="173">
        <v>5</v>
      </c>
      <c r="Q64" s="428" t="s">
        <v>672</v>
      </c>
      <c r="R64" s="2" t="s">
        <v>634</v>
      </c>
      <c r="S64" s="173">
        <v>4</v>
      </c>
    </row>
    <row r="65" spans="1:19" x14ac:dyDescent="0.25">
      <c r="A65" s="87" t="s">
        <v>701</v>
      </c>
      <c r="B65" s="104">
        <f>'Standard Value Calculator'!S23</f>
        <v>22</v>
      </c>
      <c r="C65" s="171" t="s">
        <v>53</v>
      </c>
      <c r="H65" s="88"/>
      <c r="K65" s="428" t="s">
        <v>658</v>
      </c>
      <c r="L65" s="2" t="s">
        <v>659</v>
      </c>
      <c r="M65" s="173">
        <v>6</v>
      </c>
      <c r="Q65" s="428" t="s">
        <v>673</v>
      </c>
      <c r="R65" s="2" t="s">
        <v>659</v>
      </c>
      <c r="S65" s="173">
        <v>5</v>
      </c>
    </row>
    <row r="66" spans="1:19" ht="13.8" thickBot="1" x14ac:dyDescent="0.3">
      <c r="A66" s="91" t="s">
        <v>289</v>
      </c>
      <c r="B66" s="107" t="e">
        <f>Ics*Rset/Rdcr-Iripple1/2</f>
        <v>#NAME?</v>
      </c>
      <c r="C66" s="92" t="s">
        <v>2</v>
      </c>
      <c r="D66" s="175" t="s">
        <v>480</v>
      </c>
      <c r="E66" s="92"/>
      <c r="F66" s="92"/>
      <c r="G66" s="92"/>
      <c r="H66" s="93"/>
      <c r="K66" s="429" t="s">
        <v>635</v>
      </c>
      <c r="L66" s="383" t="str">
        <f>CHOOSE(M66,"6.3V","10V","16V","25V","50V","100V")</f>
        <v>10V</v>
      </c>
      <c r="M66" s="384">
        <f>IF(Vout&lt;5, 1, IF(Vout&lt;=8, 2, IF(Vout&lt;=12, 3, IF(Vout&lt;=20, 4,  IF(Vout&lt;=42, 5, 6)))))</f>
        <v>2</v>
      </c>
      <c r="Q66" s="429" t="s">
        <v>668</v>
      </c>
      <c r="R66" s="383" t="str">
        <f>CHOOSE(S66,"10V","16V","25V","50V","100V")</f>
        <v>50V</v>
      </c>
      <c r="S66" s="384">
        <f>IF(Vinmax&lt;=8,1,IF(Vinmax&lt;=12,2,IF(Vinmax&lt;=20,3,IF(Vinmax&lt;=42,4,5))))</f>
        <v>4</v>
      </c>
    </row>
    <row r="68" spans="1:19" ht="16.2" thickBot="1" x14ac:dyDescent="0.35">
      <c r="A68" s="133" t="s">
        <v>276</v>
      </c>
    </row>
    <row r="69" spans="1:19" x14ac:dyDescent="0.25">
      <c r="A69" s="134" t="s">
        <v>284</v>
      </c>
      <c r="B69" s="449">
        <f>Iripple1/SQRT(3)/2</f>
        <v>0.52900693668332532</v>
      </c>
      <c r="C69" s="174" t="s">
        <v>2</v>
      </c>
      <c r="D69" s="174" t="s">
        <v>481</v>
      </c>
      <c r="E69" s="94"/>
      <c r="F69" s="94"/>
      <c r="G69" s="94"/>
      <c r="H69" s="95"/>
      <c r="L69" s="430" t="s">
        <v>636</v>
      </c>
      <c r="M69" s="173">
        <v>1</v>
      </c>
      <c r="N69" s="171" t="s">
        <v>637</v>
      </c>
      <c r="O69" s="63">
        <v>0.5</v>
      </c>
    </row>
    <row r="70" spans="1:19" x14ac:dyDescent="0.25">
      <c r="A70" s="96" t="s">
        <v>29</v>
      </c>
      <c r="B70" s="97">
        <f>(Iripple1/(Vripple1*Fsw*8))</f>
        <v>3.817778716216215E-5</v>
      </c>
      <c r="C70" t="s">
        <v>34</v>
      </c>
      <c r="D70" t="s">
        <v>28</v>
      </c>
      <c r="H70" s="88">
        <v>1</v>
      </c>
      <c r="L70" s="430" t="s">
        <v>501</v>
      </c>
      <c r="M70" s="173">
        <v>2</v>
      </c>
      <c r="N70" s="171" t="s">
        <v>638</v>
      </c>
      <c r="O70" s="63">
        <v>1.3</v>
      </c>
    </row>
    <row r="71" spans="1:19" x14ac:dyDescent="0.25">
      <c r="A71" s="87" t="s">
        <v>36</v>
      </c>
      <c r="B71" s="39">
        <f>'Design Regulator'!E33/1000000</f>
        <v>1.3200000000000001E-4</v>
      </c>
      <c r="C71" t="s">
        <v>34</v>
      </c>
      <c r="D71" t="s">
        <v>35</v>
      </c>
      <c r="H71" s="88">
        <v>1</v>
      </c>
      <c r="L71" s="430" t="s">
        <v>639</v>
      </c>
      <c r="M71" s="173">
        <v>3</v>
      </c>
      <c r="N71" s="171" t="s">
        <v>640</v>
      </c>
      <c r="O71" s="63">
        <v>2.5</v>
      </c>
    </row>
    <row r="72" spans="1:19" x14ac:dyDescent="0.25">
      <c r="A72" s="96" t="s">
        <v>114</v>
      </c>
      <c r="B72" s="392">
        <f>SQRT((Vripple1/Iripple1)^2-(1/(Fsw*Cout*8))^2)</f>
        <v>1.0447402975915685E-2</v>
      </c>
      <c r="C72" s="309" t="s">
        <v>208</v>
      </c>
      <c r="D72" s="171" t="s">
        <v>482</v>
      </c>
      <c r="H72" s="88">
        <v>1</v>
      </c>
      <c r="L72" s="430" t="s">
        <v>641</v>
      </c>
      <c r="M72" s="173">
        <v>4</v>
      </c>
      <c r="N72" s="171" t="s">
        <v>642</v>
      </c>
      <c r="O72" s="63">
        <v>5.0999999999999996</v>
      </c>
    </row>
    <row r="73" spans="1:19" x14ac:dyDescent="0.25">
      <c r="A73" s="87" t="s">
        <v>272</v>
      </c>
      <c r="B73" s="90">
        <f>'Design Regulator'!E35/1000</f>
        <v>0.01</v>
      </c>
      <c r="C73" s="309" t="s">
        <v>208</v>
      </c>
      <c r="D73" s="171" t="s">
        <v>483</v>
      </c>
      <c r="H73" s="88">
        <v>1</v>
      </c>
      <c r="L73" s="430" t="s">
        <v>643</v>
      </c>
      <c r="M73" s="173">
        <v>5</v>
      </c>
      <c r="N73" s="171" t="s">
        <v>644</v>
      </c>
      <c r="O73" s="63">
        <v>8</v>
      </c>
    </row>
    <row r="74" spans="1:19" ht="13.8" thickBot="1" x14ac:dyDescent="0.3">
      <c r="A74" s="108" t="s">
        <v>363</v>
      </c>
      <c r="B74" s="448">
        <f>Iripple1*SQRT(CoutEsr^2+(1/(8*Fsw*Cout))^2)</f>
        <v>1.9216623009929983E-2</v>
      </c>
      <c r="C74" s="157" t="s">
        <v>75</v>
      </c>
      <c r="D74" s="92"/>
      <c r="E74" s="92"/>
      <c r="F74" s="92"/>
      <c r="G74" s="92"/>
      <c r="H74" s="93"/>
      <c r="K74" s="429" t="s">
        <v>645</v>
      </c>
      <c r="L74" s="383" t="str">
        <f>CHOOSE(M74,"0402","0603","0805","1206","1210")</f>
        <v>1210</v>
      </c>
      <c r="M74" s="384">
        <v>5</v>
      </c>
      <c r="N74" s="383" t="str">
        <f>CHOOSE(M74,N69,N70, N71,N72,N73)</f>
        <v>3.2 x 2.5</v>
      </c>
    </row>
    <row r="76" spans="1:19" ht="13.8" thickBot="1" x14ac:dyDescent="0.3"/>
    <row r="77" spans="1:19" ht="15.6" x14ac:dyDescent="0.3">
      <c r="A77" s="144" t="s">
        <v>277</v>
      </c>
      <c r="B77" s="145"/>
      <c r="C77" s="145"/>
      <c r="D77" s="145"/>
      <c r="E77" s="145"/>
      <c r="F77" s="145"/>
      <c r="G77" s="145"/>
      <c r="H77" s="146"/>
    </row>
    <row r="78" spans="1:19" x14ac:dyDescent="0.25">
      <c r="A78" s="147" t="s">
        <v>416</v>
      </c>
      <c r="B78" s="112">
        <f>'Design Regulator'!E40/1000</f>
        <v>0.05</v>
      </c>
      <c r="C78" t="s">
        <v>75</v>
      </c>
      <c r="H78" s="148"/>
      <c r="L78" s="171" t="s">
        <v>646</v>
      </c>
      <c r="M78" s="173">
        <v>1</v>
      </c>
      <c r="N78" s="431" t="s">
        <v>647</v>
      </c>
      <c r="O78" s="63">
        <v>9</v>
      </c>
    </row>
    <row r="79" spans="1:19" x14ac:dyDescent="0.25">
      <c r="A79" s="149" t="s">
        <v>283</v>
      </c>
      <c r="B79" s="168">
        <f>Iout*SQRT(_Don2*Doff2)</f>
        <v>2.4659739962132612</v>
      </c>
      <c r="C79" s="142" t="s">
        <v>2</v>
      </c>
      <c r="H79" s="148"/>
      <c r="L79" s="171" t="s">
        <v>648</v>
      </c>
      <c r="M79" s="173">
        <v>2</v>
      </c>
      <c r="N79" s="431" t="s">
        <v>649</v>
      </c>
      <c r="O79" s="63">
        <v>16</v>
      </c>
    </row>
    <row r="80" spans="1:19" x14ac:dyDescent="0.25">
      <c r="A80" s="149" t="s">
        <v>415</v>
      </c>
      <c r="B80" s="154">
        <f>Iout*_Don2*(1-_Don2)/(Vinripple1*Fsw)</f>
        <v>6.756697499999999E-5</v>
      </c>
      <c r="C80" s="142" t="s">
        <v>34</v>
      </c>
      <c r="H80" s="148"/>
      <c r="L80" s="171" t="s">
        <v>650</v>
      </c>
      <c r="M80" s="173">
        <v>3</v>
      </c>
      <c r="N80" s="431" t="s">
        <v>651</v>
      </c>
      <c r="O80" s="63">
        <v>25</v>
      </c>
    </row>
    <row r="81" spans="1:15" x14ac:dyDescent="0.25">
      <c r="A81" s="149" t="s">
        <v>127</v>
      </c>
      <c r="B81" s="143">
        <f>'Design Regulator'!E42/1000000</f>
        <v>1.1E-4</v>
      </c>
      <c r="C81" s="142" t="s">
        <v>34</v>
      </c>
      <c r="D81" t="s">
        <v>287</v>
      </c>
      <c r="H81" s="148"/>
      <c r="L81" s="171" t="s">
        <v>652</v>
      </c>
      <c r="M81" s="173">
        <v>4</v>
      </c>
      <c r="N81" s="431" t="s">
        <v>653</v>
      </c>
      <c r="O81" s="63">
        <v>36</v>
      </c>
    </row>
    <row r="82" spans="1:15" x14ac:dyDescent="0.25">
      <c r="A82" s="149" t="s">
        <v>417</v>
      </c>
      <c r="B82" s="155">
        <f>-(Iout*_Don2*(1-_Don2)/(Cin*Fsw)-Vinripple1)/(Iout+Iripple1/2)</f>
        <v>2.7887499048041549E-3</v>
      </c>
      <c r="C82" s="309" t="s">
        <v>208</v>
      </c>
      <c r="H82" s="148"/>
      <c r="L82" s="171" t="s">
        <v>654</v>
      </c>
      <c r="M82" s="173">
        <v>5</v>
      </c>
      <c r="N82" s="431" t="s">
        <v>655</v>
      </c>
      <c r="O82" s="63">
        <v>49</v>
      </c>
    </row>
    <row r="83" spans="1:15" x14ac:dyDescent="0.25">
      <c r="A83" s="149" t="s">
        <v>159</v>
      </c>
      <c r="B83" s="143">
        <f>'Design Regulator'!E44/1000</f>
        <v>2E-3</v>
      </c>
      <c r="C83" s="309" t="s">
        <v>208</v>
      </c>
      <c r="D83" s="171" t="s">
        <v>484</v>
      </c>
      <c r="H83" s="148"/>
      <c r="L83" s="171" t="s">
        <v>662</v>
      </c>
      <c r="M83" s="173">
        <v>6</v>
      </c>
      <c r="N83" s="431" t="s">
        <v>663</v>
      </c>
      <c r="O83" s="63">
        <v>64</v>
      </c>
    </row>
    <row r="84" spans="1:15" x14ac:dyDescent="0.25">
      <c r="A84" s="149" t="s">
        <v>418</v>
      </c>
      <c r="B84" s="169">
        <f>Iout*_Don2*(1-_Don2)/(Cin*Fsw)+(Iout +Iripple1/2)*RCinEsr</f>
        <v>4.4544795147420144E-2</v>
      </c>
      <c r="C84" s="142" t="s">
        <v>75</v>
      </c>
      <c r="H84" s="148"/>
      <c r="L84" s="171" t="s">
        <v>664</v>
      </c>
      <c r="M84" s="173">
        <v>7</v>
      </c>
      <c r="N84" s="431" t="s">
        <v>665</v>
      </c>
      <c r="O84" s="63">
        <v>100</v>
      </c>
    </row>
    <row r="85" spans="1:15" ht="13.8" thickBot="1" x14ac:dyDescent="0.3">
      <c r="A85" s="150"/>
      <c r="B85" s="156">
        <f>Iout*_Don1*(1-_Don1)/(Cin*Fsw)</f>
        <v>3.042613636363636E-2</v>
      </c>
      <c r="C85" s="151"/>
      <c r="D85" s="152"/>
      <c r="E85" s="152"/>
      <c r="F85" s="152"/>
      <c r="G85" s="152"/>
      <c r="H85" s="153"/>
      <c r="L85" s="171" t="s">
        <v>666</v>
      </c>
      <c r="M85" s="173">
        <v>8</v>
      </c>
      <c r="N85" s="431" t="s">
        <v>667</v>
      </c>
      <c r="O85" s="63">
        <v>144</v>
      </c>
    </row>
    <row r="86" spans="1:15" x14ac:dyDescent="0.25">
      <c r="K86" s="429" t="s">
        <v>656</v>
      </c>
      <c r="L86" s="383" t="str">
        <f>CHOOSE(M86,L78,L79, L80, L81, L82, L83, L84, L85)</f>
        <v>12mm x 12mm</v>
      </c>
      <c r="M86" s="384">
        <v>8</v>
      </c>
      <c r="N86" s="383" t="str">
        <f>CHOOSE(M86,N78,N79, N80,N81,N82, N83, N84, N85)</f>
        <v>12.0 x 12.0</v>
      </c>
      <c r="O86" s="383"/>
    </row>
    <row r="87" spans="1:15" ht="16.2" thickBot="1" x14ac:dyDescent="0.35">
      <c r="A87" s="133" t="s">
        <v>290</v>
      </c>
    </row>
    <row r="88" spans="1:15" x14ac:dyDescent="0.25">
      <c r="A88" s="134" t="s">
        <v>292</v>
      </c>
      <c r="B88" s="18">
        <f>'Design Regulator'!E49/1000</f>
        <v>8.0000000000000002E-3</v>
      </c>
      <c r="C88" s="94" t="s">
        <v>265</v>
      </c>
      <c r="D88" s="94" t="s">
        <v>293</v>
      </c>
      <c r="E88" s="94"/>
      <c r="F88" s="94"/>
      <c r="G88" s="94"/>
      <c r="H88" s="95"/>
    </row>
    <row r="89" spans="1:15" x14ac:dyDescent="0.25">
      <c r="A89" s="87" t="s">
        <v>294</v>
      </c>
      <c r="B89" s="103">
        <f>Cout*Vout/Tss</f>
        <v>8.4150000000000003E-2</v>
      </c>
      <c r="C89" t="s">
        <v>2</v>
      </c>
      <c r="D89" s="171" t="s">
        <v>440</v>
      </c>
      <c r="H89" s="88"/>
    </row>
    <row r="90" spans="1:15" x14ac:dyDescent="0.25">
      <c r="A90" s="87" t="s">
        <v>295</v>
      </c>
      <c r="B90" s="110">
        <f>0.00001*Tss/0.8</f>
        <v>9.9999999999999995E-8</v>
      </c>
      <c r="C90" t="s">
        <v>34</v>
      </c>
      <c r="H90" s="88"/>
    </row>
    <row r="91" spans="1:15" ht="13.8" thickBot="1" x14ac:dyDescent="0.3">
      <c r="A91" s="91" t="s">
        <v>311</v>
      </c>
      <c r="B91" s="109">
        <f>'Standard Value Calculator'!B4</f>
        <v>9.9999999999999995E-8</v>
      </c>
      <c r="C91" s="92" t="s">
        <v>34</v>
      </c>
      <c r="D91" s="92"/>
      <c r="E91" s="92"/>
      <c r="F91" s="92"/>
      <c r="G91" s="92"/>
      <c r="H91" s="93"/>
    </row>
    <row r="93" spans="1:15" ht="16.2" thickBot="1" x14ac:dyDescent="0.35">
      <c r="A93" s="133" t="s">
        <v>329</v>
      </c>
    </row>
    <row r="94" spans="1:15" x14ac:dyDescent="0.25">
      <c r="A94" s="305"/>
      <c r="B94" s="138"/>
      <c r="C94" s="174"/>
      <c r="D94" s="94"/>
      <c r="E94" s="94"/>
      <c r="F94" s="94"/>
      <c r="G94" s="94"/>
      <c r="H94" s="95"/>
    </row>
    <row r="95" spans="1:15" ht="15.6" x14ac:dyDescent="0.35">
      <c r="A95" s="306" t="s">
        <v>486</v>
      </c>
      <c r="B95" s="54">
        <f>'Design Regulator'!E51</f>
        <v>8.33</v>
      </c>
      <c r="C95" s="171" t="s">
        <v>0</v>
      </c>
      <c r="H95" s="88"/>
    </row>
    <row r="96" spans="1:15" ht="15.6" x14ac:dyDescent="0.35">
      <c r="A96" s="306" t="s">
        <v>487</v>
      </c>
      <c r="B96" s="54">
        <f>'Design Regulator'!E52</f>
        <v>7.58</v>
      </c>
      <c r="C96" s="171" t="s">
        <v>0</v>
      </c>
      <c r="H96" s="88"/>
    </row>
    <row r="97" spans="1:8" ht="15.6" x14ac:dyDescent="0.35">
      <c r="A97" s="306" t="s">
        <v>516</v>
      </c>
      <c r="B97" s="63">
        <f>(VINuvlo_off-VINuvlo_on*Vuvlo_off/Vuvlo_on)/(Iuvlo1*Vuvlo_off/Vuvlo_on-Iuvlo2)</f>
        <v>75</v>
      </c>
      <c r="C97" s="55" t="s">
        <v>493</v>
      </c>
      <c r="D97">
        <f>'Standard Value Calculator'!S16</f>
        <v>75</v>
      </c>
      <c r="E97" s="55" t="s">
        <v>493</v>
      </c>
      <c r="F97" s="54">
        <f>IF(Ruvlo1&lt;0,"N/A",D97)</f>
        <v>75</v>
      </c>
      <c r="G97" s="54" t="str">
        <f>IF(Ruvlo1&lt;0,"N/A",D97&amp;"kΩ")</f>
        <v>75kΩ</v>
      </c>
      <c r="H97" s="88"/>
    </row>
    <row r="98" spans="1:8" ht="15.75" customHeight="1" x14ac:dyDescent="0.35">
      <c r="A98" s="306" t="s">
        <v>517</v>
      </c>
      <c r="B98" s="307">
        <f>D97*Vuvlo_on/(VINuvlo_on-Vuvlo_on+Ruvlo1*Iuvlo1)</f>
        <v>12.622720897615709</v>
      </c>
      <c r="C98" s="55" t="s">
        <v>493</v>
      </c>
      <c r="D98">
        <f>'Standard Value Calculator'!S17</f>
        <v>12.700000000000001</v>
      </c>
      <c r="E98" s="55" t="s">
        <v>493</v>
      </c>
      <c r="F98" s="54">
        <f>IF(F97="N/A","N/A",D98)</f>
        <v>12.700000000000001</v>
      </c>
      <c r="G98" s="54" t="str">
        <f>IF(G97="N/A","N/A",D98&amp;"kΩ")</f>
        <v>12.7kΩ</v>
      </c>
      <c r="H98" s="88"/>
    </row>
    <row r="99" spans="1:8" ht="15.75" customHeight="1" x14ac:dyDescent="0.3">
      <c r="A99" s="306"/>
      <c r="B99" s="307"/>
      <c r="C99" s="55"/>
      <c r="E99" s="55"/>
      <c r="H99" s="88"/>
    </row>
    <row r="100" spans="1:8" ht="15.75" customHeight="1" x14ac:dyDescent="0.35">
      <c r="A100" s="306" t="s">
        <v>494</v>
      </c>
      <c r="B100" s="307">
        <f>(D97+D98)/D98*Vuvlo_on-Iuvlo1*D97</f>
        <v>8.2866141732283456</v>
      </c>
      <c r="C100" s="55"/>
      <c r="E100" s="55"/>
      <c r="H100" s="88"/>
    </row>
    <row r="101" spans="1:8" ht="15.75" customHeight="1" x14ac:dyDescent="0.35">
      <c r="A101" s="306" t="s">
        <v>495</v>
      </c>
      <c r="B101" s="307">
        <f>(D97+D98)/D98*Vuvlo_off-Iuvlo2*D97</f>
        <v>7.5366141732283456</v>
      </c>
      <c r="C101" s="55"/>
      <c r="E101" s="55"/>
      <c r="H101" s="88"/>
    </row>
    <row r="102" spans="1:8" ht="15.75" customHeight="1" x14ac:dyDescent="0.3">
      <c r="A102" s="306"/>
      <c r="B102" s="307"/>
      <c r="C102" s="55"/>
      <c r="E102" s="55"/>
      <c r="H102" s="88"/>
    </row>
    <row r="103" spans="1:8" ht="15.75" customHeight="1" x14ac:dyDescent="0.25">
      <c r="A103" s="306"/>
      <c r="B103" s="54"/>
      <c r="H103" s="88"/>
    </row>
    <row r="104" spans="1:8" ht="15.75" customHeight="1" x14ac:dyDescent="0.25">
      <c r="A104" s="306" t="s">
        <v>488</v>
      </c>
      <c r="B104" s="54">
        <v>1.2</v>
      </c>
      <c r="H104" s="88"/>
    </row>
    <row r="105" spans="1:8" ht="15.75" customHeight="1" x14ac:dyDescent="0.25">
      <c r="A105" s="306" t="s">
        <v>489</v>
      </c>
      <c r="B105" s="54">
        <v>1.2</v>
      </c>
      <c r="H105" s="88"/>
    </row>
    <row r="106" spans="1:8" ht="15.75" customHeight="1" x14ac:dyDescent="0.25">
      <c r="A106" s="306" t="s">
        <v>489</v>
      </c>
      <c r="B106" s="54">
        <f>B104-B105</f>
        <v>0</v>
      </c>
      <c r="H106" s="88"/>
    </row>
    <row r="107" spans="1:8" ht="15.75" customHeight="1" x14ac:dyDescent="0.25">
      <c r="A107" s="306" t="s">
        <v>492</v>
      </c>
      <c r="B107" s="54">
        <v>0</v>
      </c>
      <c r="H107" s="88"/>
    </row>
    <row r="108" spans="1:8" ht="15.75" customHeight="1" x14ac:dyDescent="0.25">
      <c r="A108" s="306" t="s">
        <v>490</v>
      </c>
      <c r="B108" s="54">
        <v>0.01</v>
      </c>
      <c r="H108" s="88"/>
    </row>
    <row r="109" spans="1:8" ht="15.75" customHeight="1" x14ac:dyDescent="0.25">
      <c r="A109" s="306" t="s">
        <v>491</v>
      </c>
      <c r="B109" s="54">
        <f>B108-B107</f>
        <v>0.01</v>
      </c>
      <c r="H109" s="88"/>
    </row>
    <row r="110" spans="1:8" ht="15.75" customHeight="1" x14ac:dyDescent="0.25">
      <c r="A110" s="306"/>
      <c r="B110" s="54"/>
      <c r="H110" s="88"/>
    </row>
    <row r="111" spans="1:8" ht="15.75" customHeight="1" x14ac:dyDescent="0.35">
      <c r="A111" s="87" t="s">
        <v>331</v>
      </c>
      <c r="B111" s="54"/>
      <c r="C111" s="309" t="s">
        <v>208</v>
      </c>
      <c r="H111" s="88"/>
    </row>
    <row r="112" spans="1:8" ht="15.75" customHeight="1" x14ac:dyDescent="0.35">
      <c r="A112" s="87" t="s">
        <v>332</v>
      </c>
      <c r="B112" s="54"/>
      <c r="C112" s="309" t="s">
        <v>208</v>
      </c>
      <c r="H112" s="88"/>
    </row>
    <row r="113" spans="1:8" ht="15.75" customHeight="1" x14ac:dyDescent="0.25">
      <c r="A113" s="87" t="s">
        <v>306</v>
      </c>
      <c r="B113" s="54"/>
      <c r="C113" s="309" t="s">
        <v>208</v>
      </c>
      <c r="H113" s="88"/>
    </row>
    <row r="114" spans="1:8" ht="15.75" customHeight="1" x14ac:dyDescent="0.25">
      <c r="A114" s="87" t="s">
        <v>429</v>
      </c>
      <c r="B114" s="54" t="e">
        <f>80700/(Totp+273)*398</f>
        <v>#NAME?</v>
      </c>
      <c r="C114" s="309" t="s">
        <v>208</v>
      </c>
      <c r="H114" s="88"/>
    </row>
    <row r="115" spans="1:8" ht="15.75" customHeight="1" x14ac:dyDescent="0.25">
      <c r="A115" s="87"/>
      <c r="B115" s="54"/>
      <c r="H115" s="88"/>
    </row>
    <row r="116" spans="1:8" x14ac:dyDescent="0.25">
      <c r="A116" s="87"/>
      <c r="B116" s="54"/>
      <c r="H116" s="88"/>
    </row>
    <row r="117" spans="1:8" x14ac:dyDescent="0.25">
      <c r="A117" s="87" t="s">
        <v>333</v>
      </c>
      <c r="B117" s="54">
        <v>100</v>
      </c>
      <c r="C117" s="171" t="s">
        <v>53</v>
      </c>
      <c r="H117" s="88"/>
    </row>
    <row r="118" spans="1:8" x14ac:dyDescent="0.25">
      <c r="A118" s="87"/>
      <c r="B118" s="54"/>
      <c r="H118" s="88"/>
    </row>
    <row r="119" spans="1:8" ht="13.8" thickBot="1" x14ac:dyDescent="0.3">
      <c r="A119" s="91"/>
      <c r="B119" s="111"/>
      <c r="C119" s="92"/>
      <c r="D119" s="92"/>
      <c r="E119" s="92"/>
      <c r="F119" s="92"/>
      <c r="G119" s="92"/>
      <c r="H119" s="93"/>
    </row>
    <row r="120" spans="1:8" x14ac:dyDescent="0.25">
      <c r="B120" s="54"/>
    </row>
    <row r="121" spans="1:8" ht="16.2" thickBot="1" x14ac:dyDescent="0.35">
      <c r="A121" s="133" t="s">
        <v>330</v>
      </c>
    </row>
    <row r="122" spans="1:8" x14ac:dyDescent="0.25">
      <c r="A122" s="134" t="s">
        <v>81</v>
      </c>
      <c r="B122" s="356">
        <v>10000</v>
      </c>
      <c r="C122" s="94" t="s">
        <v>49</v>
      </c>
      <c r="D122" s="174" t="s">
        <v>432</v>
      </c>
      <c r="E122" s="94"/>
      <c r="F122" s="94"/>
      <c r="G122" s="94"/>
      <c r="H122" s="95"/>
    </row>
    <row r="123" spans="1:8" x14ac:dyDescent="0.25">
      <c r="A123" s="87" t="s">
        <v>82</v>
      </c>
      <c r="B123" s="90">
        <v>5000000</v>
      </c>
      <c r="C123" t="s">
        <v>10</v>
      </c>
      <c r="D123" s="171" t="s">
        <v>433</v>
      </c>
      <c r="H123" s="88"/>
    </row>
    <row r="124" spans="1:8" x14ac:dyDescent="0.25">
      <c r="A124" s="306" t="s">
        <v>545</v>
      </c>
      <c r="B124" s="140">
        <f>'Design Regulator'!E61*1000</f>
        <v>30000</v>
      </c>
      <c r="C124" s="171" t="s">
        <v>10</v>
      </c>
      <c r="H124" s="88"/>
    </row>
    <row r="125" spans="1:8" x14ac:dyDescent="0.25">
      <c r="A125" s="87" t="s">
        <v>51</v>
      </c>
      <c r="B125" s="141">
        <f>Fcross/Fo/15</f>
        <v>0.39389358439310196</v>
      </c>
      <c r="C125" t="s">
        <v>49</v>
      </c>
      <c r="D125" s="171" t="s">
        <v>439</v>
      </c>
      <c r="H125" s="88">
        <v>1</v>
      </c>
    </row>
    <row r="126" spans="1:8" x14ac:dyDescent="0.25">
      <c r="A126" s="87" t="s">
        <v>52</v>
      </c>
      <c r="B126" s="112">
        <f>'Design Regulator'!E63*1000</f>
        <v>18000</v>
      </c>
      <c r="C126" s="309" t="s">
        <v>208</v>
      </c>
      <c r="D126" t="s">
        <v>260</v>
      </c>
      <c r="H126" s="88">
        <v>1</v>
      </c>
    </row>
    <row r="127" spans="1:8" x14ac:dyDescent="0.25">
      <c r="A127" s="99" t="s">
        <v>77</v>
      </c>
      <c r="B127" s="358">
        <f>IF(Vout=Vref,100000000,Vref/((Vout-Vref)/_Rfb1))</f>
        <v>3348.8372093023258</v>
      </c>
      <c r="C127" s="309" t="s">
        <v>208</v>
      </c>
      <c r="D127" s="171" t="s">
        <v>706</v>
      </c>
      <c r="H127" s="88"/>
    </row>
    <row r="128" spans="1:8" x14ac:dyDescent="0.25">
      <c r="A128" s="87" t="s">
        <v>271</v>
      </c>
      <c r="B128" s="103">
        <f>IF(Vout=Vref,"N/A",'Standard Value Calculator'!S11)</f>
        <v>3320</v>
      </c>
      <c r="C128" s="309" t="s">
        <v>208</v>
      </c>
      <c r="D128" s="171" t="s">
        <v>705</v>
      </c>
      <c r="H128" s="88"/>
    </row>
    <row r="129" spans="1:8" x14ac:dyDescent="0.25">
      <c r="A129" s="388" t="s">
        <v>697</v>
      </c>
      <c r="B129" s="462">
        <f>0.8/Rfb2_u*(Rfb2_u+_Rfb1)</f>
        <v>5.1373493975903619</v>
      </c>
      <c r="C129" t="s">
        <v>0</v>
      </c>
      <c r="D129" s="171" t="s">
        <v>698</v>
      </c>
      <c r="H129" s="88"/>
    </row>
    <row r="130" spans="1:8" x14ac:dyDescent="0.25">
      <c r="A130" s="388"/>
      <c r="C130" s="309"/>
      <c r="D130" s="171"/>
      <c r="H130" s="88"/>
    </row>
    <row r="131" spans="1:8" x14ac:dyDescent="0.25">
      <c r="A131" s="96" t="s">
        <v>74</v>
      </c>
      <c r="B131" s="392">
        <f>Vin/15</f>
        <v>1.6</v>
      </c>
      <c r="C131" t="s">
        <v>75</v>
      </c>
      <c r="D131" s="171" t="s">
        <v>561</v>
      </c>
      <c r="H131" s="88"/>
    </row>
    <row r="132" spans="1:8" x14ac:dyDescent="0.25">
      <c r="A132" s="96" t="s">
        <v>58</v>
      </c>
      <c r="B132" s="359">
        <f>Kmidband*_Rfb1</f>
        <v>7090.0845190758355</v>
      </c>
      <c r="C132" s="309" t="s">
        <v>208</v>
      </c>
      <c r="D132" s="171" t="s">
        <v>431</v>
      </c>
      <c r="H132" s="88">
        <v>1</v>
      </c>
    </row>
    <row r="133" spans="1:8" x14ac:dyDescent="0.25">
      <c r="A133" s="96" t="s">
        <v>54</v>
      </c>
      <c r="B133" s="360">
        <f>1/(Rcea1*('Design Regulator'!E67*1000)*2*Pi)</f>
        <v>6.3156723521331895E-9</v>
      </c>
      <c r="C133" t="s">
        <v>34</v>
      </c>
      <c r="D133" t="s">
        <v>261</v>
      </c>
      <c r="H133" s="88">
        <v>1</v>
      </c>
    </row>
    <row r="134" spans="1:8" x14ac:dyDescent="0.25">
      <c r="A134" s="96" t="s">
        <v>55</v>
      </c>
      <c r="B134" s="360">
        <f>1/((Rcea1*2*Pi*'Design Regulator'!E70*1000)-1/Cc1ea)</f>
        <v>1.5328228833877832E-10</v>
      </c>
      <c r="C134" t="s">
        <v>34</v>
      </c>
      <c r="H134" s="88">
        <v>1</v>
      </c>
    </row>
    <row r="135" spans="1:8" x14ac:dyDescent="0.25">
      <c r="A135" s="96" t="s">
        <v>56</v>
      </c>
      <c r="B135" s="358">
        <f>(1/(1000*2*Pi*'Design Regulator'!E69))*_Rfb1/(1/('Design Regulator'!E68*1000*2*Pi)-(1/(1000*2*Pi*'Design Regulator'!E69)))</f>
        <v>709.08779445139555</v>
      </c>
      <c r="C135" s="309" t="s">
        <v>208</v>
      </c>
      <c r="H135" s="88">
        <v>1</v>
      </c>
    </row>
    <row r="136" spans="1:8" x14ac:dyDescent="0.25">
      <c r="A136" s="96" t="s">
        <v>57</v>
      </c>
      <c r="B136" s="360">
        <f>(1/(1000*2*Pi*'Design Regulator'!E69))/Rcea2</f>
        <v>1.8615466382710099E-9</v>
      </c>
      <c r="C136" t="s">
        <v>34</v>
      </c>
      <c r="H136" s="88">
        <v>1</v>
      </c>
    </row>
    <row r="137" spans="1:8" x14ac:dyDescent="0.25">
      <c r="A137" s="96"/>
      <c r="B137" s="1"/>
      <c r="H137" s="88"/>
    </row>
    <row r="138" spans="1:8" x14ac:dyDescent="0.25">
      <c r="A138" s="99" t="s">
        <v>383</v>
      </c>
      <c r="H138" s="88"/>
    </row>
    <row r="139" spans="1:8" x14ac:dyDescent="0.25">
      <c r="A139" s="87" t="s">
        <v>59</v>
      </c>
      <c r="B139" s="166">
        <f>'Design Regulator'!D74*1000</f>
        <v>6800</v>
      </c>
      <c r="C139" s="309" t="s">
        <v>208</v>
      </c>
      <c r="H139" s="88">
        <v>2</v>
      </c>
    </row>
    <row r="140" spans="1:8" x14ac:dyDescent="0.25">
      <c r="A140" s="87" t="s">
        <v>60</v>
      </c>
      <c r="B140" s="106">
        <f>'Design Regulator'!D75*0.000000000001</f>
        <v>6.7999999999999997E-9</v>
      </c>
      <c r="C140" t="s">
        <v>34</v>
      </c>
      <c r="H140" s="88">
        <v>2</v>
      </c>
    </row>
    <row r="141" spans="1:8" x14ac:dyDescent="0.25">
      <c r="A141" s="87" t="s">
        <v>61</v>
      </c>
      <c r="B141" s="106">
        <f>'Design Regulator'!D76*0.000000000001</f>
        <v>1.5E-10</v>
      </c>
      <c r="C141" t="s">
        <v>34</v>
      </c>
      <c r="H141" s="88">
        <v>2</v>
      </c>
    </row>
    <row r="142" spans="1:8" x14ac:dyDescent="0.25">
      <c r="A142" s="87" t="s">
        <v>62</v>
      </c>
      <c r="B142" s="166">
        <f>'Design Regulator'!D77</f>
        <v>560</v>
      </c>
      <c r="C142" s="309" t="s">
        <v>208</v>
      </c>
      <c r="H142" s="88">
        <v>2</v>
      </c>
    </row>
    <row r="143" spans="1:8" x14ac:dyDescent="0.25">
      <c r="A143" s="87" t="s">
        <v>63</v>
      </c>
      <c r="B143" s="106">
        <f>'Design Regulator'!D78*0.000000000001</f>
        <v>2.1999999999999998E-9</v>
      </c>
      <c r="C143" t="s">
        <v>34</v>
      </c>
      <c r="H143" s="88">
        <v>2</v>
      </c>
    </row>
    <row r="144" spans="1:8" x14ac:dyDescent="0.25">
      <c r="A144" s="87"/>
      <c r="H144" s="88"/>
    </row>
    <row r="145" spans="1:8" x14ac:dyDescent="0.25">
      <c r="A145" s="99" t="s">
        <v>344</v>
      </c>
      <c r="D145">
        <f>Cout</f>
        <v>1.3200000000000001E-4</v>
      </c>
      <c r="E145">
        <f>CoutEsr</f>
        <v>0.01</v>
      </c>
      <c r="H145" s="88"/>
    </row>
    <row r="146" spans="1:8" x14ac:dyDescent="0.25">
      <c r="A146" s="96" t="s">
        <v>39</v>
      </c>
      <c r="B146" s="421">
        <f>SQRT((Rfets+Rdcr+Ro)/(Cout*Lout2*(CoutEsr+Ro)))/(2*Pi)</f>
        <v>5077.5135194992654</v>
      </c>
      <c r="C146" t="s">
        <v>10</v>
      </c>
      <c r="D146" t="s">
        <v>40</v>
      </c>
      <c r="H146" s="88"/>
    </row>
    <row r="147" spans="1:8" x14ac:dyDescent="0.25">
      <c r="A147" s="96" t="s">
        <v>42</v>
      </c>
      <c r="B147" s="422">
        <f>(Rfets+Rdcr+Ro)/(Lout2+Cout*(Rdcr+Rfets)*(CoutEsr+Ro)+Cout*CoutEsr*Ro)/(Fo*2*Pi)</f>
        <v>2.9483320812724845</v>
      </c>
      <c r="C147" t="s">
        <v>49</v>
      </c>
      <c r="D147" t="s">
        <v>43</v>
      </c>
      <c r="H147" s="88"/>
    </row>
    <row r="148" spans="1:8" x14ac:dyDescent="0.25">
      <c r="A148" s="96" t="s">
        <v>41</v>
      </c>
      <c r="B148" s="421">
        <f>1/(2*Pi*Cout*CoutEsr)</f>
        <v>120571.9267225427</v>
      </c>
      <c r="C148" t="s">
        <v>10</v>
      </c>
      <c r="D148" s="171" t="s">
        <v>434</v>
      </c>
      <c r="H148" s="88"/>
    </row>
    <row r="149" spans="1:8" x14ac:dyDescent="0.25">
      <c r="A149" s="96" t="s">
        <v>64</v>
      </c>
      <c r="B149" s="421">
        <f>1/(2*Pi*Rcea1_u*Cc1ea_u)</f>
        <v>3441.9321642248356</v>
      </c>
      <c r="C149" t="s">
        <v>10</v>
      </c>
      <c r="D149" s="171" t="s">
        <v>547</v>
      </c>
      <c r="H149" s="88"/>
    </row>
    <row r="150" spans="1:8" x14ac:dyDescent="0.25">
      <c r="A150" s="96" t="s">
        <v>65</v>
      </c>
      <c r="B150" s="421">
        <f>1/(2*Pi*Cc3ea_u*(_Rfb1+Rcea2_u))</f>
        <v>3897.7993552546131</v>
      </c>
      <c r="C150" t="s">
        <v>10</v>
      </c>
      <c r="D150" s="171" t="s">
        <v>547</v>
      </c>
      <c r="H150" s="88"/>
    </row>
    <row r="151" spans="1:8" x14ac:dyDescent="0.25">
      <c r="A151" s="96" t="s">
        <v>66</v>
      </c>
      <c r="B151" s="421">
        <f>1/(2*Pi*Rcea2_u*Cc3ea_u)</f>
        <v>129184.20720272433</v>
      </c>
      <c r="C151" t="s">
        <v>10</v>
      </c>
      <c r="D151" t="s">
        <v>263</v>
      </c>
      <c r="H151" s="88"/>
    </row>
    <row r="152" spans="1:8" x14ac:dyDescent="0.25">
      <c r="A152" s="96" t="s">
        <v>67</v>
      </c>
      <c r="B152" s="421">
        <f>1/(2*Pi*Rcea1_u*(Cc1ea_u*Cc2ea_u/(Cc1ea_u+Cc2ea_u)))</f>
        <v>159476.19027575068</v>
      </c>
      <c r="C152" t="s">
        <v>10</v>
      </c>
      <c r="D152" t="s">
        <v>262</v>
      </c>
      <c r="H152" s="88"/>
    </row>
    <row r="153" spans="1:8" x14ac:dyDescent="0.25">
      <c r="A153" s="96" t="s">
        <v>80</v>
      </c>
      <c r="B153" s="422">
        <f>Vout/(Iout+Vref/_Rfb2)</f>
        <v>0.8499661587547902</v>
      </c>
      <c r="D153" s="171" t="s">
        <v>546</v>
      </c>
      <c r="H153" s="88"/>
    </row>
    <row r="154" spans="1:8" x14ac:dyDescent="0.25">
      <c r="A154" s="96" t="s">
        <v>70</v>
      </c>
      <c r="B154" s="422">
        <v>3.1415926500000002</v>
      </c>
      <c r="D154" t="s">
        <v>264</v>
      </c>
      <c r="H154" s="88"/>
    </row>
    <row r="155" spans="1:8" x14ac:dyDescent="0.25">
      <c r="A155" s="96" t="s">
        <v>328</v>
      </c>
      <c r="B155" s="1"/>
      <c r="H155" s="88"/>
    </row>
    <row r="156" spans="1:8" x14ac:dyDescent="0.25">
      <c r="A156" s="96" t="s">
        <v>337</v>
      </c>
      <c r="B156" s="1">
        <v>0</v>
      </c>
      <c r="C156" s="309" t="s">
        <v>208</v>
      </c>
      <c r="D156" s="171" t="s">
        <v>542</v>
      </c>
      <c r="G156">
        <f>_Don2*RdsonTop+Doff2*RdsonBot+B161*Vin^2*Fsw/2/(((Iripple1/SQRT(3))^2))</f>
        <v>0.3919233196206367</v>
      </c>
      <c r="H156" s="88"/>
    </row>
    <row r="157" spans="1:8" x14ac:dyDescent="0.25">
      <c r="A157" s="87"/>
      <c r="H157" s="88"/>
    </row>
    <row r="158" spans="1:8" x14ac:dyDescent="0.25">
      <c r="A158" s="96" t="s">
        <v>340</v>
      </c>
      <c r="B158" s="2">
        <f>0.00000002*Fsw*0.6*4/Iripple1</f>
        <v>7.8579724572755954E-3</v>
      </c>
      <c r="D158" s="2"/>
      <c r="H158" s="88"/>
    </row>
    <row r="159" spans="1:8" x14ac:dyDescent="0.25">
      <c r="A159" s="96" t="s">
        <v>339</v>
      </c>
      <c r="B159" s="2">
        <f>_Don2*RdsonTop+Doff2*RdsonBot</f>
        <v>6.000000000000001E-3</v>
      </c>
      <c r="D159" s="2"/>
      <c r="H159" s="88"/>
    </row>
    <row r="160" spans="1:8" x14ac:dyDescent="0.25">
      <c r="A160" s="96" t="s">
        <v>338</v>
      </c>
      <c r="B160" s="2">
        <f>B161*Vin^2*Fsw/2/(((Iripple1/SQRT(3))^2))</f>
        <v>0.3859233196206367</v>
      </c>
      <c r="D160" s="2"/>
      <c r="H160" s="88"/>
    </row>
    <row r="161" spans="1:8" ht="13.8" thickBot="1" x14ac:dyDescent="0.3">
      <c r="A161" s="108" t="s">
        <v>341</v>
      </c>
      <c r="B161" s="113">
        <v>5.0000000000000001E-9</v>
      </c>
      <c r="C161" s="92"/>
      <c r="D161" s="113"/>
      <c r="E161" s="92"/>
      <c r="F161" s="92"/>
      <c r="G161" s="92"/>
      <c r="H161" s="93"/>
    </row>
    <row r="162" spans="1:8" x14ac:dyDescent="0.25">
      <c r="A162" s="1"/>
      <c r="B162" s="60"/>
      <c r="D162" s="60"/>
    </row>
    <row r="163" spans="1:8" x14ac:dyDescent="0.25">
      <c r="A163" s="1"/>
      <c r="B163" s="60"/>
      <c r="D163" s="60"/>
    </row>
    <row r="164" spans="1:8" ht="16.2" thickBot="1" x14ac:dyDescent="0.35">
      <c r="A164" s="139" t="s">
        <v>362</v>
      </c>
    </row>
    <row r="165" spans="1:8" x14ac:dyDescent="0.25">
      <c r="A165" s="134"/>
      <c r="B165" s="94"/>
      <c r="C165" s="94"/>
      <c r="D165" s="94"/>
      <c r="E165" s="94"/>
      <c r="F165" s="94"/>
      <c r="G165" s="94"/>
      <c r="H165" s="95"/>
    </row>
    <row r="166" spans="1:8" x14ac:dyDescent="0.25">
      <c r="A166" s="99" t="s">
        <v>125</v>
      </c>
      <c r="H166" s="88"/>
    </row>
    <row r="167" spans="1:8" x14ac:dyDescent="0.25">
      <c r="A167" s="87" t="s">
        <v>156</v>
      </c>
      <c r="B167" s="39">
        <v>25</v>
      </c>
      <c r="D167" t="s">
        <v>175</v>
      </c>
      <c r="H167" s="88"/>
    </row>
    <row r="168" spans="1:8" ht="15.6" x14ac:dyDescent="0.3">
      <c r="A168" s="478" t="s">
        <v>128</v>
      </c>
      <c r="H168" s="88"/>
    </row>
    <row r="169" spans="1:8" x14ac:dyDescent="0.25">
      <c r="A169" s="87" t="s">
        <v>155</v>
      </c>
      <c r="B169" s="90">
        <f>4000/1000000</f>
        <v>4.0000000000000001E-3</v>
      </c>
      <c r="C169" s="171" t="s">
        <v>562</v>
      </c>
      <c r="D169" t="s">
        <v>176</v>
      </c>
      <c r="H169" s="88"/>
    </row>
    <row r="170" spans="1:8" x14ac:dyDescent="0.25">
      <c r="A170" s="87" t="s">
        <v>250</v>
      </c>
      <c r="B170" s="90">
        <v>20</v>
      </c>
      <c r="C170" s="171" t="s">
        <v>381</v>
      </c>
      <c r="D170" t="s">
        <v>251</v>
      </c>
      <c r="H170" s="88"/>
    </row>
    <row r="171" spans="1:8" x14ac:dyDescent="0.25">
      <c r="A171" s="87" t="s">
        <v>159</v>
      </c>
      <c r="B171" s="39">
        <f>RCinEsr</f>
        <v>2E-3</v>
      </c>
      <c r="C171" s="309" t="s">
        <v>208</v>
      </c>
      <c r="D171" t="s">
        <v>178</v>
      </c>
      <c r="H171" s="88"/>
    </row>
    <row r="172" spans="1:8" x14ac:dyDescent="0.25">
      <c r="A172" s="96" t="s">
        <v>268</v>
      </c>
      <c r="H172" s="88"/>
    </row>
    <row r="173" spans="1:8" x14ac:dyDescent="0.25">
      <c r="A173" s="306" t="s">
        <v>618</v>
      </c>
      <c r="B173" s="90">
        <v>7.5</v>
      </c>
      <c r="H173" s="88"/>
    </row>
    <row r="174" spans="1:8" x14ac:dyDescent="0.25">
      <c r="A174" s="99" t="s">
        <v>202</v>
      </c>
      <c r="H174" s="88"/>
    </row>
    <row r="175" spans="1:8" x14ac:dyDescent="0.25">
      <c r="A175" s="87" t="s">
        <v>132</v>
      </c>
      <c r="B175" s="90">
        <v>1</v>
      </c>
      <c r="C175" s="309" t="s">
        <v>208</v>
      </c>
      <c r="D175" t="s">
        <v>204</v>
      </c>
      <c r="H175" s="88"/>
    </row>
    <row r="176" spans="1:8" x14ac:dyDescent="0.25">
      <c r="A176" s="87" t="s">
        <v>239</v>
      </c>
      <c r="B176" s="90">
        <v>0.9</v>
      </c>
      <c r="C176" s="309" t="s">
        <v>208</v>
      </c>
      <c r="D176" t="s">
        <v>205</v>
      </c>
      <c r="H176" s="88"/>
    </row>
    <row r="177" spans="1:8" x14ac:dyDescent="0.25">
      <c r="A177" s="99" t="s">
        <v>203</v>
      </c>
      <c r="H177" s="88"/>
    </row>
    <row r="178" spans="1:8" x14ac:dyDescent="0.25">
      <c r="A178" s="87" t="s">
        <v>131</v>
      </c>
      <c r="B178" s="158">
        <v>1</v>
      </c>
      <c r="C178" s="309" t="s">
        <v>208</v>
      </c>
      <c r="D178" t="s">
        <v>204</v>
      </c>
      <c r="H178" s="88"/>
    </row>
    <row r="179" spans="1:8" x14ac:dyDescent="0.25">
      <c r="A179" s="87" t="s">
        <v>238</v>
      </c>
      <c r="B179" s="90">
        <v>0.9</v>
      </c>
      <c r="C179" s="309" t="s">
        <v>208</v>
      </c>
      <c r="D179" t="s">
        <v>205</v>
      </c>
      <c r="H179" s="88"/>
    </row>
    <row r="180" spans="1:8" x14ac:dyDescent="0.25">
      <c r="A180" s="99" t="s">
        <v>133</v>
      </c>
      <c r="D180" t="s">
        <v>199</v>
      </c>
      <c r="H180" s="88"/>
    </row>
    <row r="181" spans="1:8" x14ac:dyDescent="0.25">
      <c r="A181" s="87" t="s">
        <v>133</v>
      </c>
      <c r="B181" s="102">
        <v>2.9999999999999997E-8</v>
      </c>
      <c r="C181" t="s">
        <v>265</v>
      </c>
      <c r="D181" t="s">
        <v>179</v>
      </c>
      <c r="H181" s="88"/>
    </row>
    <row r="182" spans="1:8" x14ac:dyDescent="0.25">
      <c r="A182" s="99" t="s">
        <v>119</v>
      </c>
      <c r="H182" s="88"/>
    </row>
    <row r="183" spans="1:8" x14ac:dyDescent="0.25">
      <c r="A183" s="87" t="s">
        <v>249</v>
      </c>
      <c r="B183" s="90">
        <v>2E-3</v>
      </c>
      <c r="C183" t="s">
        <v>2</v>
      </c>
      <c r="D183" t="s">
        <v>259</v>
      </c>
      <c r="H183" s="88"/>
    </row>
    <row r="184" spans="1:8" ht="15.6" x14ac:dyDescent="0.3">
      <c r="A184" s="478" t="s">
        <v>129</v>
      </c>
      <c r="H184" s="88"/>
    </row>
    <row r="185" spans="1:8" x14ac:dyDescent="0.25">
      <c r="A185" s="87" t="s">
        <v>142</v>
      </c>
      <c r="B185" s="39">
        <f>'Design Regulator'!E85/1000</f>
        <v>6.0000000000000001E-3</v>
      </c>
      <c r="C185" s="309" t="s">
        <v>208</v>
      </c>
      <c r="D185" t="s">
        <v>194</v>
      </c>
      <c r="H185" s="88"/>
    </row>
    <row r="186" spans="1:8" x14ac:dyDescent="0.25">
      <c r="A186" s="87" t="s">
        <v>152</v>
      </c>
      <c r="B186" s="90">
        <f>4000/1000000</f>
        <v>4.0000000000000001E-3</v>
      </c>
      <c r="C186" s="171" t="s">
        <v>562</v>
      </c>
      <c r="D186" t="s">
        <v>193</v>
      </c>
      <c r="H186" s="88"/>
    </row>
    <row r="187" spans="1:8" x14ac:dyDescent="0.25">
      <c r="A187" s="87" t="s">
        <v>141</v>
      </c>
      <c r="B187" s="114">
        <f>'Design Regulator'!E86/1000000000</f>
        <v>2.7E-8</v>
      </c>
      <c r="C187" t="s">
        <v>269</v>
      </c>
      <c r="D187" t="s">
        <v>180</v>
      </c>
      <c r="H187" s="88"/>
    </row>
    <row r="188" spans="1:8" x14ac:dyDescent="0.25">
      <c r="A188" s="87" t="s">
        <v>218</v>
      </c>
      <c r="B188" s="114">
        <f>'Design Regulator'!E87/1000000000</f>
        <v>8.9999999999999995E-9</v>
      </c>
      <c r="C188" t="s">
        <v>269</v>
      </c>
      <c r="D188" t="s">
        <v>219</v>
      </c>
      <c r="H188" s="88"/>
    </row>
    <row r="189" spans="1:8" x14ac:dyDescent="0.25">
      <c r="A189" s="87" t="s">
        <v>236</v>
      </c>
      <c r="B189" s="114">
        <f>'Design Regulator'!E88/1000000000</f>
        <v>8.0000000000000005E-9</v>
      </c>
      <c r="C189" t="s">
        <v>269</v>
      </c>
      <c r="D189" t="s">
        <v>721</v>
      </c>
      <c r="H189" s="88"/>
    </row>
    <row r="190" spans="1:8" x14ac:dyDescent="0.25">
      <c r="A190" s="389" t="s">
        <v>728</v>
      </c>
      <c r="B190" s="114">
        <f>'Design Regulator'!E89/1000000000000</f>
        <v>3.3800000000000002E-10</v>
      </c>
      <c r="C190" t="s">
        <v>34</v>
      </c>
      <c r="D190" t="s">
        <v>729</v>
      </c>
      <c r="H190" s="88"/>
    </row>
    <row r="191" spans="1:8" x14ac:dyDescent="0.25">
      <c r="A191" s="87" t="s">
        <v>168</v>
      </c>
      <c r="B191" s="39">
        <f>'Design Regulator'!E90</f>
        <v>2</v>
      </c>
      <c r="C191" s="309" t="s">
        <v>208</v>
      </c>
      <c r="D191" t="s">
        <v>730</v>
      </c>
      <c r="H191" s="88"/>
    </row>
    <row r="192" spans="1:8" x14ac:dyDescent="0.25">
      <c r="A192" s="87" t="s">
        <v>140</v>
      </c>
      <c r="B192" s="39">
        <f>'Design Regulator'!E91</f>
        <v>100</v>
      </c>
      <c r="C192" t="s">
        <v>137</v>
      </c>
      <c r="D192" t="s">
        <v>182</v>
      </c>
      <c r="H192" s="88"/>
    </row>
    <row r="193" spans="1:10" x14ac:dyDescent="0.25">
      <c r="A193" s="87" t="s">
        <v>170</v>
      </c>
      <c r="B193" s="39">
        <f>'Design Regulator'!E92</f>
        <v>3.8</v>
      </c>
      <c r="C193" t="s">
        <v>0</v>
      </c>
      <c r="D193" t="s">
        <v>183</v>
      </c>
      <c r="H193" s="88"/>
    </row>
    <row r="194" spans="1:10" x14ac:dyDescent="0.25">
      <c r="A194" s="87" t="s">
        <v>235</v>
      </c>
      <c r="B194" s="103">
        <f>VthTop+Iout/GmTop</f>
        <v>3.86</v>
      </c>
      <c r="C194" t="s">
        <v>0</v>
      </c>
      <c r="D194" t="s">
        <v>266</v>
      </c>
      <c r="H194" s="88"/>
    </row>
    <row r="195" spans="1:10" x14ac:dyDescent="0.25">
      <c r="A195" s="87" t="s">
        <v>378</v>
      </c>
      <c r="B195" s="39">
        <f>'Design Regulator'!E93</f>
        <v>0.8</v>
      </c>
      <c r="C195" t="s">
        <v>0</v>
      </c>
      <c r="D195" t="s">
        <v>380</v>
      </c>
      <c r="H195" s="88"/>
    </row>
    <row r="196" spans="1:10" x14ac:dyDescent="0.25">
      <c r="A196" s="87" t="s">
        <v>161</v>
      </c>
      <c r="B196" s="39">
        <f>'Design Regulator'!E94</f>
        <v>50</v>
      </c>
      <c r="C196" s="171" t="s">
        <v>381</v>
      </c>
      <c r="D196" t="s">
        <v>184</v>
      </c>
      <c r="H196" s="88"/>
    </row>
    <row r="197" spans="1:10" ht="15.6" x14ac:dyDescent="0.3">
      <c r="A197" s="478" t="s">
        <v>130</v>
      </c>
      <c r="H197" s="88"/>
    </row>
    <row r="198" spans="1:10" x14ac:dyDescent="0.25">
      <c r="A198" s="87" t="s">
        <v>139</v>
      </c>
      <c r="B198" s="39">
        <f>'Design Regulator'!E97/1000</f>
        <v>6.0000000000000001E-3</v>
      </c>
      <c r="C198" s="309" t="s">
        <v>208</v>
      </c>
      <c r="D198" t="s">
        <v>192</v>
      </c>
      <c r="H198" s="88"/>
    </row>
    <row r="199" spans="1:10" x14ac:dyDescent="0.25">
      <c r="A199" s="87" t="s">
        <v>153</v>
      </c>
      <c r="B199" s="39">
        <f>4000/1000000</f>
        <v>4.0000000000000001E-3</v>
      </c>
      <c r="C199" s="171" t="s">
        <v>562</v>
      </c>
      <c r="D199" t="s">
        <v>185</v>
      </c>
      <c r="H199" s="88"/>
    </row>
    <row r="200" spans="1:10" x14ac:dyDescent="0.25">
      <c r="A200" s="87" t="s">
        <v>138</v>
      </c>
      <c r="B200" s="114">
        <f>'Design Regulator'!E98/1000000000</f>
        <v>2.7E-8</v>
      </c>
      <c r="C200" t="s">
        <v>269</v>
      </c>
      <c r="D200" s="171" t="s">
        <v>724</v>
      </c>
      <c r="H200" s="88"/>
      <c r="J200">
        <f>RGateTop</f>
        <v>2</v>
      </c>
    </row>
    <row r="201" spans="1:10" x14ac:dyDescent="0.25">
      <c r="A201" s="389" t="s">
        <v>722</v>
      </c>
      <c r="B201" s="114">
        <f>'Design Regulator'!E99/1000000000</f>
        <v>2E-8</v>
      </c>
      <c r="C201" t="s">
        <v>269</v>
      </c>
      <c r="D201" s="171" t="s">
        <v>723</v>
      </c>
      <c r="H201" s="88"/>
    </row>
    <row r="202" spans="1:10" x14ac:dyDescent="0.25">
      <c r="A202" s="389" t="s">
        <v>727</v>
      </c>
      <c r="B202" s="114">
        <f>'Design Regulator'!E100/1000000000000</f>
        <v>3.3800000000000002E-10</v>
      </c>
      <c r="C202" t="s">
        <v>34</v>
      </c>
      <c r="D202" s="171" t="s">
        <v>726</v>
      </c>
      <c r="H202" s="88"/>
    </row>
    <row r="203" spans="1:10" x14ac:dyDescent="0.25">
      <c r="A203" s="87" t="s">
        <v>169</v>
      </c>
      <c r="B203" s="39">
        <v>1</v>
      </c>
      <c r="C203" s="309" t="s">
        <v>208</v>
      </c>
      <c r="D203" t="s">
        <v>181</v>
      </c>
      <c r="H203" s="88"/>
    </row>
    <row r="204" spans="1:10" x14ac:dyDescent="0.25">
      <c r="A204" s="87" t="s">
        <v>144</v>
      </c>
      <c r="B204" s="39">
        <f>'Design Regulator'!E101</f>
        <v>0.8</v>
      </c>
      <c r="C204" t="s">
        <v>0</v>
      </c>
      <c r="D204" t="s">
        <v>186</v>
      </c>
      <c r="H204" s="88"/>
    </row>
    <row r="205" spans="1:10" x14ac:dyDescent="0.25">
      <c r="A205" s="87" t="s">
        <v>145</v>
      </c>
      <c r="B205" s="114">
        <f>'Design Regulator'!E102/1000000000</f>
        <v>6.2999999999999995E-8</v>
      </c>
      <c r="C205" t="s">
        <v>269</v>
      </c>
      <c r="D205" t="s">
        <v>196</v>
      </c>
      <c r="H205" s="88"/>
    </row>
    <row r="206" spans="1:10" x14ac:dyDescent="0.25">
      <c r="A206" s="87" t="s">
        <v>146</v>
      </c>
      <c r="B206" s="114">
        <v>4.0000000000000001E-8</v>
      </c>
      <c r="C206" t="s">
        <v>265</v>
      </c>
      <c r="D206" t="s">
        <v>187</v>
      </c>
      <c r="H206" s="88"/>
    </row>
    <row r="207" spans="1:10" x14ac:dyDescent="0.25">
      <c r="A207" s="87" t="s">
        <v>160</v>
      </c>
      <c r="B207" s="39">
        <f>'Design Regulator'!E103</f>
        <v>50</v>
      </c>
      <c r="C207" s="171" t="s">
        <v>381</v>
      </c>
      <c r="D207" t="s">
        <v>184</v>
      </c>
      <c r="H207" s="88"/>
    </row>
    <row r="208" spans="1:10" ht="15.6" x14ac:dyDescent="0.3">
      <c r="A208" s="478" t="s">
        <v>428</v>
      </c>
      <c r="B208" s="39"/>
      <c r="H208" s="88"/>
    </row>
    <row r="209" spans="1:8" x14ac:dyDescent="0.25">
      <c r="A209" s="87" t="s">
        <v>365</v>
      </c>
      <c r="B209" s="39">
        <f>'Design Regulator'!E105</f>
        <v>0</v>
      </c>
      <c r="C209" t="s">
        <v>0</v>
      </c>
      <c r="D209" t="s">
        <v>368</v>
      </c>
      <c r="H209" s="88"/>
    </row>
    <row r="210" spans="1:8" x14ac:dyDescent="0.25">
      <c r="A210" s="87" t="s">
        <v>366</v>
      </c>
      <c r="B210" s="39">
        <f>'Design Regulator'!E106/1000000000</f>
        <v>0</v>
      </c>
      <c r="C210" t="s">
        <v>269</v>
      </c>
      <c r="D210" t="s">
        <v>369</v>
      </c>
      <c r="H210" s="88"/>
    </row>
    <row r="211" spans="1:8" x14ac:dyDescent="0.25">
      <c r="A211" s="87" t="s">
        <v>367</v>
      </c>
      <c r="B211" s="39">
        <v>0</v>
      </c>
      <c r="C211" t="s">
        <v>2</v>
      </c>
      <c r="D211" t="s">
        <v>370</v>
      </c>
      <c r="H211" s="88"/>
    </row>
    <row r="212" spans="1:8" x14ac:dyDescent="0.25">
      <c r="A212" s="99" t="s">
        <v>209</v>
      </c>
      <c r="H212" s="88"/>
    </row>
    <row r="213" spans="1:8" x14ac:dyDescent="0.25">
      <c r="A213" s="87" t="s">
        <v>267</v>
      </c>
      <c r="B213" s="39">
        <v>30</v>
      </c>
      <c r="H213" s="88"/>
    </row>
    <row r="214" spans="1:8" x14ac:dyDescent="0.25">
      <c r="A214" s="99" t="s">
        <v>149</v>
      </c>
      <c r="H214" s="88"/>
    </row>
    <row r="215" spans="1:8" x14ac:dyDescent="0.25">
      <c r="A215" s="87" t="s">
        <v>129</v>
      </c>
      <c r="H215" s="88"/>
    </row>
    <row r="216" spans="1:8" x14ac:dyDescent="0.25">
      <c r="A216" s="87" t="s">
        <v>166</v>
      </c>
      <c r="B216" s="106">
        <f>(QgdTop+QgsTop/2)*(RdsonDRT+RGateTop)/(Vdd-VspTop)</f>
        <v>1.0714285714285715E-8</v>
      </c>
      <c r="C216" t="s">
        <v>265</v>
      </c>
      <c r="H216" s="88"/>
    </row>
    <row r="217" spans="1:8" x14ac:dyDescent="0.25">
      <c r="A217" s="87" t="s">
        <v>167</v>
      </c>
      <c r="B217" s="106">
        <f>(QgdTop+QgsTop/2)*(RdsonDRT+RGateTop)/(VspTop)</f>
        <v>1.0103626943005184E-8</v>
      </c>
      <c r="C217" t="s">
        <v>265</v>
      </c>
      <c r="H217" s="88"/>
    </row>
    <row r="218" spans="1:8" x14ac:dyDescent="0.25">
      <c r="A218" s="87"/>
      <c r="H218" s="88"/>
    </row>
    <row r="219" spans="1:8" x14ac:dyDescent="0.25">
      <c r="A219" s="87"/>
      <c r="H219" s="88"/>
    </row>
    <row r="220" spans="1:8" x14ac:dyDescent="0.25">
      <c r="A220" s="99" t="s">
        <v>392</v>
      </c>
      <c r="B220" s="2" t="s">
        <v>8</v>
      </c>
      <c r="C220" s="2" t="s">
        <v>148</v>
      </c>
      <c r="H220" s="88"/>
    </row>
    <row r="221" spans="1:8" x14ac:dyDescent="0.25">
      <c r="A221" s="89" t="s">
        <v>207</v>
      </c>
      <c r="B221" s="411">
        <f>'Power Calculations'!AN9</f>
        <v>0.16949999999999998</v>
      </c>
      <c r="C221" s="3" t="s">
        <v>208</v>
      </c>
      <c r="H221" s="88"/>
    </row>
    <row r="222" spans="1:8" x14ac:dyDescent="0.25">
      <c r="A222" s="89" t="s">
        <v>211</v>
      </c>
      <c r="B222" s="412">
        <f>B221*ThetaJaCtrl</f>
        <v>5.0849999999999991</v>
      </c>
      <c r="C222" s="171" t="s">
        <v>442</v>
      </c>
      <c r="H222" s="88"/>
    </row>
    <row r="223" spans="1:8" x14ac:dyDescent="0.25">
      <c r="A223" s="89" t="s">
        <v>388</v>
      </c>
      <c r="B223" s="414">
        <f>(QgBot+QgTop)*Fsw+Iq</f>
        <v>1.8200000000000001E-2</v>
      </c>
      <c r="C223" t="s">
        <v>2</v>
      </c>
      <c r="H223" s="88"/>
    </row>
    <row r="224" spans="1:8" x14ac:dyDescent="0.25">
      <c r="A224" s="89" t="s">
        <v>389</v>
      </c>
      <c r="B224" s="413">
        <f>QrrBot*Fsw</f>
        <v>1.89E-2</v>
      </c>
      <c r="C224" t="s">
        <v>2</v>
      </c>
      <c r="H224" s="88"/>
    </row>
    <row r="225" spans="1:8" x14ac:dyDescent="0.25">
      <c r="A225" s="89" t="s">
        <v>390</v>
      </c>
      <c r="B225" s="413">
        <f>C225/Vin</f>
        <v>2.3583750000000001E-4</v>
      </c>
      <c r="C225">
        <f>Deadtime*Fsw*(Ipp/2)*(VsdTop+VsdBot)</f>
        <v>5.6601000000000004E-3</v>
      </c>
      <c r="H225" s="88"/>
    </row>
    <row r="226" spans="1:8" x14ac:dyDescent="0.25">
      <c r="A226" s="89" t="s">
        <v>393</v>
      </c>
      <c r="B226" s="413">
        <f>SUM(B223:B225)</f>
        <v>3.7335837500000003E-2</v>
      </c>
      <c r="C226" t="s">
        <v>2</v>
      </c>
      <c r="H226" s="88"/>
    </row>
    <row r="227" spans="1:8" x14ac:dyDescent="0.25">
      <c r="A227" s="87"/>
      <c r="H227" s="88"/>
    </row>
    <row r="228" spans="1:8" x14ac:dyDescent="0.25">
      <c r="A228" s="87"/>
      <c r="H228" s="88"/>
    </row>
    <row r="229" spans="1:8" x14ac:dyDescent="0.25">
      <c r="A229" s="87"/>
      <c r="H229" s="88"/>
    </row>
    <row r="230" spans="1:8" x14ac:dyDescent="0.25">
      <c r="A230" s="87"/>
      <c r="H230" s="88"/>
    </row>
    <row r="231" spans="1:8" x14ac:dyDescent="0.25">
      <c r="A231" s="87"/>
      <c r="H231" s="88"/>
    </row>
    <row r="232" spans="1:8" x14ac:dyDescent="0.25">
      <c r="A232" s="99" t="s">
        <v>150</v>
      </c>
      <c r="H232" s="88"/>
    </row>
    <row r="233" spans="1:8" x14ac:dyDescent="0.25">
      <c r="A233" s="87" t="s">
        <v>206</v>
      </c>
      <c r="H233" s="88"/>
    </row>
    <row r="234" spans="1:8" ht="13.8" thickBot="1" x14ac:dyDescent="0.3">
      <c r="A234" s="91" t="s">
        <v>207</v>
      </c>
      <c r="B234" s="92"/>
      <c r="C234" s="92"/>
      <c r="D234" s="92"/>
      <c r="E234" s="92"/>
      <c r="F234" s="92"/>
      <c r="G234" s="92"/>
      <c r="H234" s="93"/>
    </row>
    <row r="235" spans="1:8" x14ac:dyDescent="0.25">
      <c r="A235" s="1"/>
      <c r="B235" s="1"/>
    </row>
    <row r="236" spans="1:8" ht="21.75" customHeight="1" thickBot="1" x14ac:dyDescent="0.35">
      <c r="A236" s="133" t="s">
        <v>382</v>
      </c>
    </row>
    <row r="237" spans="1:8" x14ac:dyDescent="0.25">
      <c r="A237" s="134" t="str">
        <f>"RC1 = "&amp;'Design Regulator'!D74&amp;"kΩ"</f>
        <v>RC1 = 6.8kΩ</v>
      </c>
      <c r="B237" s="94" t="str">
        <f>'Design Regulator'!D74&amp;"kΩ"</f>
        <v>6.8kΩ</v>
      </c>
      <c r="C237" s="94"/>
      <c r="D237" s="94"/>
      <c r="E237" s="94"/>
      <c r="F237" s="94"/>
      <c r="G237" s="94"/>
      <c r="H237" s="95"/>
    </row>
    <row r="238" spans="1:8" x14ac:dyDescent="0.25">
      <c r="A238" s="87" t="str">
        <f>"LOUT = "&amp;'Design Regulator'!E17&amp;"uH"</f>
        <v>LOUT = 7.4uH</v>
      </c>
      <c r="B238" t="str">
        <f>'Design Regulator'!E17&amp;"µH"</f>
        <v>7.4µH</v>
      </c>
      <c r="H238" s="88"/>
    </row>
    <row r="239" spans="1:8" x14ac:dyDescent="0.25">
      <c r="A239" s="87" t="str">
        <f>"Rdcr = "&amp;'Design Regulator'!E18&amp;"mΩ"</f>
        <v>Rdcr = 5mΩ</v>
      </c>
      <c r="B239" t="str">
        <f>'Design Regulator'!E18&amp;"mΩ"</f>
        <v>5mΩ</v>
      </c>
      <c r="H239" s="88"/>
    </row>
    <row r="240" spans="1:8" x14ac:dyDescent="0.25">
      <c r="A240" s="388"/>
      <c r="H240" s="88"/>
    </row>
    <row r="241" spans="1:8" x14ac:dyDescent="0.25">
      <c r="A241" s="87" t="str">
        <f>"VOUT = "&amp;'Design Regulator'!E9&amp;"V"</f>
        <v>VOUT = 5.1V</v>
      </c>
      <c r="B241" t="str">
        <f>'Design Regulator'!E9&amp;"V"</f>
        <v>5.1V</v>
      </c>
      <c r="H241" s="88"/>
    </row>
    <row r="242" spans="1:8" x14ac:dyDescent="0.25">
      <c r="A242" s="87"/>
      <c r="C242" s="173" t="str">
        <f>M44</f>
        <v>47</v>
      </c>
      <c r="D242" s="173">
        <f>ROUNDUP('Design Regulator'!$E$33/C242,0)</f>
        <v>3</v>
      </c>
      <c r="H242" s="88"/>
    </row>
    <row r="243" spans="1:8" x14ac:dyDescent="0.25">
      <c r="A243" s="87" t="str">
        <f>"COUT = "&amp;'Design Regulator'!$E$33&amp;"uF"</f>
        <v>COUT = 132uF</v>
      </c>
      <c r="B243" t="str">
        <f>'Design Regulator'!$E$33&amp;"µF"</f>
        <v>132µF</v>
      </c>
      <c r="C243" s="173" t="str">
        <f>C242</f>
        <v>47</v>
      </c>
      <c r="D243" s="173" t="str">
        <f>IF(D242=1, "",B245)</f>
        <v xml:space="preserve">3 x </v>
      </c>
      <c r="E243" t="str">
        <f>D243&amp;C243&amp;"µF"</f>
        <v>3 x 47µF</v>
      </c>
      <c r="F243" t="str">
        <f>C243&amp;"µF"</f>
        <v>47µF</v>
      </c>
      <c r="G243" t="str">
        <f>L66</f>
        <v>10V</v>
      </c>
      <c r="H243" s="88"/>
    </row>
    <row r="244" spans="1:8" x14ac:dyDescent="0.25">
      <c r="A244" s="306" t="s">
        <v>531</v>
      </c>
      <c r="B244" t="str">
        <f>C242&amp;"µF"</f>
        <v>47µF</v>
      </c>
      <c r="H244" s="88"/>
    </row>
    <row r="245" spans="1:8" x14ac:dyDescent="0.25">
      <c r="A245" s="306" t="s">
        <v>532</v>
      </c>
      <c r="B245" s="173" t="str">
        <f>D242&amp;" x "</f>
        <v xml:space="preserve">3 x </v>
      </c>
      <c r="H245" s="88"/>
    </row>
    <row r="246" spans="1:8" x14ac:dyDescent="0.25">
      <c r="A246" s="389"/>
      <c r="H246" s="88"/>
    </row>
    <row r="247" spans="1:8" x14ac:dyDescent="0.25">
      <c r="A247" s="388"/>
      <c r="H247" s="88"/>
    </row>
    <row r="248" spans="1:8" x14ac:dyDescent="0.25">
      <c r="A248" s="87" t="s">
        <v>410</v>
      </c>
      <c r="B248" t="str">
        <f>Cin*1000000&amp;"µF"</f>
        <v>110µF</v>
      </c>
      <c r="H248" s="88"/>
    </row>
    <row r="249" spans="1:8" x14ac:dyDescent="0.25">
      <c r="A249" s="306" t="s">
        <v>530</v>
      </c>
      <c r="B249" t="str">
        <f>"4.7µF"</f>
        <v>4.7µF</v>
      </c>
      <c r="H249" s="88"/>
    </row>
    <row r="250" spans="1:8" x14ac:dyDescent="0.25">
      <c r="A250" s="306" t="s">
        <v>529</v>
      </c>
      <c r="B250" s="173" t="str">
        <f>ROUNDUP(Cin*1000000/4.7,0)&amp;" x "</f>
        <v xml:space="preserve">24 x </v>
      </c>
      <c r="E250" t="str">
        <f>B250&amp;B249</f>
        <v>24 x 4.7µF</v>
      </c>
      <c r="H250" s="88"/>
    </row>
    <row r="251" spans="1:8" x14ac:dyDescent="0.25">
      <c r="A251" s="389"/>
      <c r="B251" s="173"/>
      <c r="H251" s="88"/>
    </row>
    <row r="252" spans="1:8" x14ac:dyDescent="0.25">
      <c r="A252" s="306"/>
      <c r="B252" s="173"/>
      <c r="H252" s="88"/>
    </row>
    <row r="253" spans="1:8" x14ac:dyDescent="0.25">
      <c r="A253" s="87" t="str">
        <f>"RC1 = "&amp;Rcea1_u/1000&amp;"kΩ"</f>
        <v>RC1 = 6.8kΩ</v>
      </c>
      <c r="B253" t="str">
        <f>ROUND(Rcea1_u/1000,2)&amp;"kΩ"</f>
        <v>6.8kΩ</v>
      </c>
      <c r="H253" s="88"/>
    </row>
    <row r="254" spans="1:8" x14ac:dyDescent="0.25">
      <c r="A254" s="87" t="str">
        <f>"CC1 = "&amp;Cc1ea_u*10^9&amp;"nF"</f>
        <v>CC1 = 6.8nF</v>
      </c>
      <c r="B254" t="str">
        <f>ROUND(Cc1ea_u*10^9,1)&amp;"nF"</f>
        <v>6.8nF</v>
      </c>
      <c r="H254" s="88"/>
    </row>
    <row r="255" spans="1:8" x14ac:dyDescent="0.25">
      <c r="A255" s="87" t="str">
        <f>"CC2 = "&amp;Cc2ea_u*10^12&amp;"pF"</f>
        <v>CC2 = 150pF</v>
      </c>
      <c r="B255" t="str">
        <f>ROUND(Cc2ea_u*10^12,0)&amp;"pF"</f>
        <v>150pF</v>
      </c>
      <c r="H255" s="88"/>
    </row>
    <row r="256" spans="1:8" x14ac:dyDescent="0.25">
      <c r="A256" s="87" t="str">
        <f>"RC2 = "&amp;Rcea2_u&amp;"Ω"</f>
        <v>RC2 = 560Ω</v>
      </c>
      <c r="B256" t="str">
        <f>ROUND(Rcea2_u,2)&amp;"Ω"</f>
        <v>560Ω</v>
      </c>
      <c r="H256" s="88"/>
    </row>
    <row r="257" spans="1:8" x14ac:dyDescent="0.25">
      <c r="A257" s="87" t="str">
        <f>"CC3 = "&amp;Cc3ea_u*10^12&amp;"pF"</f>
        <v>CC3 = 2200pF</v>
      </c>
      <c r="B257" t="str">
        <f>ROUND(Cc3ea_u*10^12,0)&amp;"pF"</f>
        <v>2200pF</v>
      </c>
      <c r="H257" s="88"/>
    </row>
    <row r="258" spans="1:8" x14ac:dyDescent="0.25">
      <c r="A258" s="87" t="str">
        <f>"RFB1 = "&amp;'Design Regulator'!E63&amp;"kΩ"</f>
        <v>RFB1 = 18kΩ</v>
      </c>
      <c r="B258" t="str">
        <f>'Design Regulator'!E63&amp;"kΩ"</f>
        <v>18kΩ</v>
      </c>
      <c r="H258" s="88"/>
    </row>
    <row r="259" spans="1:8" x14ac:dyDescent="0.25">
      <c r="A259" s="87" t="str">
        <f>"RFB2 = "&amp;IF(Vout=Vref,"OPEN",'Design Regulator'!E64&amp;"kΩ")</f>
        <v>RFB2 = 3.32kΩ</v>
      </c>
      <c r="B259" t="str">
        <f>IF(Vout=Vref,"OPEN",Rfb2_u/1000&amp;"kΩ")</f>
        <v>3.32kΩ</v>
      </c>
      <c r="H259" s="88"/>
    </row>
    <row r="260" spans="1:8" x14ac:dyDescent="0.25">
      <c r="A260" s="87" t="str">
        <f>"Crossover Frequency = "&amp;ROUND('Bode Plots Calculations'!BK5,0)&amp;" kHz"</f>
        <v>Crossover Frequency = 37 kHz</v>
      </c>
      <c r="B260" t="str">
        <f>ROUND('Bode Plots Calculations'!BK5,0)&amp;" kHz"</f>
        <v>37 kHz</v>
      </c>
      <c r="C260" s="172">
        <f>'Bode Plots Calculations'!BK5</f>
        <v>37</v>
      </c>
      <c r="H260" s="88"/>
    </row>
    <row r="261" spans="1:8" x14ac:dyDescent="0.25">
      <c r="A261" s="87" t="str">
        <f>"Phase Margin = "&amp;ROUND('Bode Plots Calculations'!BK6,0)&amp;"°"</f>
        <v>Phase Margin = 67°</v>
      </c>
      <c r="B261" s="173" t="str">
        <f>ROUND('Bode Plots Calculations'!BK6,0)&amp;"°"</f>
        <v>67°</v>
      </c>
      <c r="D261" s="309"/>
      <c r="H261" s="88"/>
    </row>
    <row r="262" spans="1:8" x14ac:dyDescent="0.25">
      <c r="A262" s="388"/>
      <c r="B262" s="173"/>
      <c r="D262" s="309"/>
      <c r="H262" s="88"/>
    </row>
    <row r="263" spans="1:8" x14ac:dyDescent="0.25">
      <c r="A263" s="87"/>
      <c r="H263" s="88"/>
    </row>
    <row r="264" spans="1:8" x14ac:dyDescent="0.25">
      <c r="A264" s="87" t="str">
        <f>"Rilim(Rdson) = "&amp;Rilim_Rdson&amp;"Ω"</f>
        <v>Rilim(Rdson) = 274Ω</v>
      </c>
      <c r="B264" t="str">
        <f>IF(Rilim_Rdson&gt;999,Rilim_Rdson/1000&amp;"kΩ", Rilim_Rdson&amp;"Ω")</f>
        <v>274Ω</v>
      </c>
      <c r="C264">
        <f>IF(Rilim_Rdson&gt;999,Rilim_Rdson/1000, Rilim_Rdson)</f>
        <v>274</v>
      </c>
      <c r="H264" s="88"/>
    </row>
    <row r="265" spans="1:8" x14ac:dyDescent="0.25">
      <c r="A265" s="87" t="str">
        <f>"Rilim(shunt) = "&amp;Rilim_shunt&amp;"Ω"</f>
        <v>Rilim(shunt) = 549Ω</v>
      </c>
      <c r="B265" t="str">
        <f>IF('Standard Value Calculator'!S22&gt;999, 'Standard Value Calculator'!S22/1000&amp;"kΩ", 'Standard Value Calculator'!S22&amp;"Ω")</f>
        <v>549Ω</v>
      </c>
      <c r="C265">
        <f>IF('Standard Value Calculator'!S22&gt;999, 'Standard Value Calculator'!S22/1000, 'Standard Value Calculator'!S22)</f>
        <v>549</v>
      </c>
      <c r="H265" s="88"/>
    </row>
    <row r="266" spans="1:8" x14ac:dyDescent="0.25">
      <c r="A266" s="87" t="s">
        <v>700</v>
      </c>
      <c r="B266" t="str">
        <f>Cilim_ideal&amp;"pF"</f>
        <v>22pF</v>
      </c>
      <c r="C266" s="463">
        <f>Cilim_ideal</f>
        <v>22</v>
      </c>
      <c r="H266" s="88"/>
    </row>
    <row r="267" spans="1:8" x14ac:dyDescent="0.25">
      <c r="A267" s="388"/>
      <c r="H267" s="88"/>
    </row>
    <row r="268" spans="1:8" x14ac:dyDescent="0.25">
      <c r="A268" s="389" t="s">
        <v>601</v>
      </c>
      <c r="B268" t="str">
        <f>IF(RDSON_sense=1, 'Variable Management'!B264,'Variable Management'!B265)</f>
        <v>274Ω</v>
      </c>
      <c r="C268">
        <f>IF(RDSON_sense=1, 'Variable Management'!C264,'Variable Management'!C265)</f>
        <v>274</v>
      </c>
      <c r="H268" s="88"/>
    </row>
    <row r="269" spans="1:8" x14ac:dyDescent="0.25">
      <c r="A269" s="389" t="str">
        <f>IF(RDSON_sense=1, "", "Rs")</f>
        <v/>
      </c>
      <c r="B269" t="str">
        <f>IF(RDSON_sense=1, "", Rshunt*1000&amp;"mΩ")</f>
        <v/>
      </c>
      <c r="D269" t="s">
        <v>702</v>
      </c>
      <c r="H269" s="88"/>
    </row>
    <row r="270" spans="1:8" x14ac:dyDescent="0.25">
      <c r="A270" s="389" t="str">
        <f>IF(RDSON_sense=1, "Cilim", "")</f>
        <v>Cilim</v>
      </c>
      <c r="B270" t="str">
        <f>IF(RDSON_sense=1, IF(Cilim_ideal&lt;3.3, "N/A", Cilim_ideal&amp;"pF"), "")</f>
        <v>22pF</v>
      </c>
      <c r="C270" s="428" t="str">
        <f>IF(RDSON_sense=1, IF(Cilim_ideal&lt;3.3, "N/A", Cilim_ideal&amp;""), "")</f>
        <v>22</v>
      </c>
      <c r="D270" t="s">
        <v>703</v>
      </c>
      <c r="H270" s="88"/>
    </row>
    <row r="271" spans="1:8" x14ac:dyDescent="0.25">
      <c r="A271" s="388"/>
      <c r="H271" s="88"/>
    </row>
    <row r="272" spans="1:8" x14ac:dyDescent="0.25">
      <c r="A272" s="388"/>
      <c r="H272" s="88"/>
    </row>
    <row r="273" spans="1:8" x14ac:dyDescent="0.25">
      <c r="A273" s="87" t="s">
        <v>429</v>
      </c>
      <c r="B273" t="str">
        <f>'Standard Value Calculator'!S24/1000&amp;"kΩ"</f>
        <v>0kΩ</v>
      </c>
      <c r="C273">
        <f>'Standard Value Calculator'!S24/1000</f>
        <v>0</v>
      </c>
      <c r="H273" s="88"/>
    </row>
    <row r="274" spans="1:8" x14ac:dyDescent="0.25">
      <c r="A274" s="306" t="s">
        <v>524</v>
      </c>
      <c r="B274" s="171" t="s">
        <v>525</v>
      </c>
      <c r="H274" s="88"/>
    </row>
    <row r="275" spans="1:8" x14ac:dyDescent="0.25">
      <c r="A275" s="87" t="s">
        <v>296</v>
      </c>
      <c r="B275" t="str">
        <f>'Standard Value Calculator'!S4/1000&amp;"kΩ"</f>
        <v>33.2kΩ</v>
      </c>
      <c r="H275" s="88"/>
    </row>
    <row r="276" spans="1:8" x14ac:dyDescent="0.25">
      <c r="A276" s="87" t="s">
        <v>295</v>
      </c>
      <c r="B276" t="str">
        <f>'Standard Value Calculator'!B4*1000000000 &amp;"nF"</f>
        <v>100nF</v>
      </c>
      <c r="H276" s="88"/>
    </row>
    <row r="277" spans="1:8" x14ac:dyDescent="0.25">
      <c r="A277" s="306" t="s">
        <v>526</v>
      </c>
      <c r="B277" s="171" t="s">
        <v>563</v>
      </c>
      <c r="H277" s="88"/>
    </row>
    <row r="278" spans="1:8" x14ac:dyDescent="0.25">
      <c r="A278" s="87" t="s">
        <v>358</v>
      </c>
      <c r="B278" t="str">
        <f>IF(B47="y","","|")</f>
        <v>|</v>
      </c>
      <c r="H278" s="88"/>
    </row>
    <row r="279" spans="1:8" x14ac:dyDescent="0.25">
      <c r="A279" s="87" t="s">
        <v>385</v>
      </c>
      <c r="B279" t="str">
        <f>'Design Regulator'!$E$10&amp;"A"</f>
        <v>6A</v>
      </c>
      <c r="H279" s="88"/>
    </row>
    <row r="280" spans="1:8" x14ac:dyDescent="0.25">
      <c r="A280" s="87" t="s">
        <v>281</v>
      </c>
      <c r="B280" t="str">
        <f>Vin&amp;"V"</f>
        <v>24V</v>
      </c>
      <c r="H280" s="88"/>
    </row>
    <row r="281" spans="1:8" x14ac:dyDescent="0.25">
      <c r="A281" s="389" t="s">
        <v>708</v>
      </c>
      <c r="B281" t="str">
        <f>Vinmin&amp;"V to "&amp;Vinmax&amp;"V"</f>
        <v>18V to 36V</v>
      </c>
      <c r="H281" s="88"/>
    </row>
    <row r="282" spans="1:8" x14ac:dyDescent="0.25">
      <c r="A282" s="389"/>
      <c r="H282" s="88"/>
    </row>
    <row r="283" spans="1:8" x14ac:dyDescent="0.25">
      <c r="A283" s="87"/>
      <c r="H283" s="88"/>
    </row>
    <row r="284" spans="1:8" x14ac:dyDescent="0.25">
      <c r="A284" s="87" t="s">
        <v>394</v>
      </c>
      <c r="B284">
        <v>12</v>
      </c>
      <c r="H284" s="88"/>
    </row>
    <row r="285" spans="1:8" x14ac:dyDescent="0.25">
      <c r="A285" s="87" t="s">
        <v>395</v>
      </c>
      <c r="B285">
        <v>18</v>
      </c>
      <c r="H285" s="88"/>
    </row>
    <row r="286" spans="1:8" x14ac:dyDescent="0.25">
      <c r="A286" s="87" t="s">
        <v>396</v>
      </c>
      <c r="B286">
        <v>14</v>
      </c>
      <c r="H286" s="88"/>
    </row>
    <row r="287" spans="1:8" x14ac:dyDescent="0.25">
      <c r="A287" s="87" t="s">
        <v>397</v>
      </c>
      <c r="B287">
        <v>6</v>
      </c>
      <c r="H287" s="88"/>
    </row>
    <row r="288" spans="1:8" x14ac:dyDescent="0.25">
      <c r="A288" s="87" t="s">
        <v>398</v>
      </c>
      <c r="B288">
        <v>7</v>
      </c>
      <c r="H288" s="88"/>
    </row>
    <row r="289" spans="1:8" x14ac:dyDescent="0.25">
      <c r="A289" s="87" t="s">
        <v>399</v>
      </c>
      <c r="B289">
        <v>11</v>
      </c>
      <c r="H289" s="88"/>
    </row>
    <row r="290" spans="1:8" x14ac:dyDescent="0.25">
      <c r="A290" s="87" t="s">
        <v>400</v>
      </c>
      <c r="B290">
        <v>1</v>
      </c>
      <c r="H290" s="88"/>
    </row>
    <row r="291" spans="1:8" x14ac:dyDescent="0.25">
      <c r="A291" s="87" t="s">
        <v>401</v>
      </c>
      <c r="B291">
        <v>5</v>
      </c>
      <c r="H291" s="88"/>
    </row>
    <row r="292" spans="1:8" x14ac:dyDescent="0.25">
      <c r="A292" s="87" t="s">
        <v>402</v>
      </c>
      <c r="B292">
        <v>13</v>
      </c>
      <c r="H292" s="88"/>
    </row>
    <row r="293" spans="1:8" x14ac:dyDescent="0.25">
      <c r="A293" s="87" t="s">
        <v>403</v>
      </c>
      <c r="B293">
        <v>4</v>
      </c>
      <c r="H293" s="88"/>
    </row>
    <row r="294" spans="1:8" x14ac:dyDescent="0.25">
      <c r="A294" s="87" t="s">
        <v>404</v>
      </c>
      <c r="B294">
        <v>3</v>
      </c>
      <c r="H294" s="88"/>
    </row>
    <row r="295" spans="1:8" x14ac:dyDescent="0.25">
      <c r="A295" s="87" t="s">
        <v>405</v>
      </c>
      <c r="B295">
        <v>24</v>
      </c>
      <c r="H295" s="88"/>
    </row>
    <row r="296" spans="1:8" x14ac:dyDescent="0.25">
      <c r="A296" s="87" t="s">
        <v>406</v>
      </c>
      <c r="B296">
        <v>23</v>
      </c>
      <c r="H296" s="88"/>
    </row>
    <row r="297" spans="1:8" x14ac:dyDescent="0.25">
      <c r="A297" s="87" t="s">
        <v>407</v>
      </c>
      <c r="B297">
        <v>15</v>
      </c>
      <c r="H297" s="88"/>
    </row>
    <row r="298" spans="1:8" x14ac:dyDescent="0.25">
      <c r="A298" s="87" t="s">
        <v>408</v>
      </c>
      <c r="B298">
        <v>16</v>
      </c>
      <c r="H298" s="88"/>
    </row>
    <row r="299" spans="1:8" x14ac:dyDescent="0.25">
      <c r="A299" s="87" t="s">
        <v>409</v>
      </c>
      <c r="B299">
        <v>17</v>
      </c>
      <c r="H299" s="88"/>
    </row>
    <row r="300" spans="1:8" x14ac:dyDescent="0.25">
      <c r="A300" t="s">
        <v>427</v>
      </c>
      <c r="B300">
        <v>2</v>
      </c>
      <c r="H300" s="88"/>
    </row>
    <row r="301" spans="1:8" x14ac:dyDescent="0.25">
      <c r="A301" s="87" t="s">
        <v>424</v>
      </c>
      <c r="B301">
        <v>8</v>
      </c>
      <c r="H301" s="88"/>
    </row>
    <row r="302" spans="1:8" x14ac:dyDescent="0.25">
      <c r="A302" s="87" t="s">
        <v>425</v>
      </c>
      <c r="B302">
        <v>9</v>
      </c>
      <c r="H302" s="88"/>
    </row>
    <row r="303" spans="1:8" ht="13.8" thickBot="1" x14ac:dyDescent="0.3">
      <c r="A303" s="91" t="s">
        <v>426</v>
      </c>
      <c r="B303" s="92">
        <v>10</v>
      </c>
      <c r="C303" s="92"/>
      <c r="D303" s="92"/>
      <c r="E303" s="92"/>
      <c r="F303" s="92"/>
      <c r="G303" s="92"/>
      <c r="H303" s="93"/>
    </row>
    <row r="307" spans="1:2" x14ac:dyDescent="0.25">
      <c r="A307" s="167"/>
    </row>
    <row r="308" spans="1:2" x14ac:dyDescent="0.25">
      <c r="A308" s="461" t="s">
        <v>695</v>
      </c>
      <c r="B308" s="54" t="str">
        <f>ROUND('Power Calculations'!AU209*1,1)&amp;"%"</f>
        <v>94.1%</v>
      </c>
    </row>
    <row r="309" spans="1:2" x14ac:dyDescent="0.25">
      <c r="A309" s="461" t="s">
        <v>696</v>
      </c>
      <c r="B309" s="54" t="str">
        <f>ROUND('Power Calculations'!AU109*1,1)&amp;"%"</f>
        <v>91.9%</v>
      </c>
    </row>
    <row r="346" spans="1:1" x14ac:dyDescent="0.25">
      <c r="A346" t="s">
        <v>316</v>
      </c>
    </row>
    <row r="347" spans="1:1" x14ac:dyDescent="0.25">
      <c r="A347" t="s">
        <v>317</v>
      </c>
    </row>
    <row r="348" spans="1:1" x14ac:dyDescent="0.25">
      <c r="A348" t="s">
        <v>318</v>
      </c>
    </row>
    <row r="349" spans="1:1" x14ac:dyDescent="0.25">
      <c r="A349" t="s">
        <v>319</v>
      </c>
    </row>
  </sheetData>
  <sheetProtection selectLockedCells="1"/>
  <mergeCells count="2">
    <mergeCell ref="D5:G5"/>
    <mergeCell ref="A1:H1"/>
  </mergeCells>
  <phoneticPr fontId="5" type="noConversion"/>
  <pageMargins left="0.75" right="0.75" top="1" bottom="1" header="0.5" footer="0.5"/>
  <pageSetup orientation="portrait" r:id="rId1"/>
  <headerFooter alignWithMargins="0"/>
  <ignoredErrors>
    <ignoredError sqref="L69:L73" numberStoredAsText="1"/>
  </ignoredErrors>
  <drawing r:id="rId2"/>
  <legacyDrawing r:id="rId3"/>
  <oleObjects>
    <mc:AlternateContent xmlns:mc="http://schemas.openxmlformats.org/markup-compatibility/2006">
      <mc:Choice Requires="x14">
        <oleObject progId="Visio.Drawing.11" shapeId="3073" r:id="rId4">
          <objectPr defaultSize="0" autoPict="0" r:id="rId5">
            <anchor moveWithCells="1">
              <from>
                <xdr:col>9</xdr:col>
                <xdr:colOff>220980</xdr:colOff>
                <xdr:row>10</xdr:row>
                <xdr:rowOff>114300</xdr:rowOff>
              </from>
              <to>
                <xdr:col>16</xdr:col>
                <xdr:colOff>30480</xdr:colOff>
                <xdr:row>31</xdr:row>
                <xdr:rowOff>121920</xdr:rowOff>
              </to>
            </anchor>
          </objectPr>
        </oleObject>
      </mc:Choice>
      <mc:Fallback>
        <oleObject progId="Visio.Drawing.11" shapeId="3073" r:id="rId4"/>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2:T159"/>
  <sheetViews>
    <sheetView workbookViewId="0">
      <selection activeCell="S4" sqref="S4"/>
    </sheetView>
  </sheetViews>
  <sheetFormatPr defaultRowHeight="13.2" x14ac:dyDescent="0.25"/>
  <cols>
    <col min="1" max="1" width="17.33203125" customWidth="1"/>
    <col min="2" max="2" width="12" bestFit="1" customWidth="1"/>
    <col min="3" max="5" width="12.44140625" bestFit="1" customWidth="1"/>
    <col min="8" max="8" width="12.44140625" bestFit="1" customWidth="1"/>
    <col min="14" max="14" width="11.88671875" customWidth="1"/>
    <col min="17" max="17" width="12.109375" customWidth="1"/>
    <col min="18" max="18" width="12.44140625" bestFit="1" customWidth="1"/>
    <col min="19" max="19" width="15.44140625" customWidth="1"/>
  </cols>
  <sheetData>
    <row r="2" spans="1:20" x14ac:dyDescent="0.25">
      <c r="A2" t="s">
        <v>307</v>
      </c>
      <c r="B2" t="s">
        <v>295</v>
      </c>
      <c r="C2" t="s">
        <v>54</v>
      </c>
      <c r="D2" t="s">
        <v>55</v>
      </c>
      <c r="E2" t="s">
        <v>57</v>
      </c>
      <c r="F2" t="s">
        <v>36</v>
      </c>
      <c r="G2" t="s">
        <v>127</v>
      </c>
      <c r="H2" t="s">
        <v>700</v>
      </c>
      <c r="I2" t="s">
        <v>321</v>
      </c>
      <c r="J2" t="s">
        <v>305</v>
      </c>
      <c r="K2" t="s">
        <v>325</v>
      </c>
      <c r="L2" t="s">
        <v>304</v>
      </c>
      <c r="M2" t="s">
        <v>315</v>
      </c>
      <c r="N2" t="s">
        <v>359</v>
      </c>
    </row>
    <row r="3" spans="1:20" x14ac:dyDescent="0.25">
      <c r="A3" t="s">
        <v>310</v>
      </c>
      <c r="B3">
        <f>Css</f>
        <v>9.9999999999999995E-8</v>
      </c>
      <c r="C3">
        <f>Cc1ea</f>
        <v>6.3156723521331895E-9</v>
      </c>
      <c r="D3">
        <f>Cc2ea</f>
        <v>1.5328228833877832E-10</v>
      </c>
      <c r="E3">
        <f>Cc3ea</f>
        <v>1.8615466382710099E-9</v>
      </c>
      <c r="F3">
        <f>Cout</f>
        <v>1.3200000000000001E-4</v>
      </c>
      <c r="G3">
        <f>Cin</f>
        <v>1.1E-4</v>
      </c>
      <c r="H3">
        <f>Cilim</f>
        <v>2.0017379597104269E-11</v>
      </c>
      <c r="I3">
        <f>Cdd</f>
        <v>0</v>
      </c>
      <c r="J3">
        <f>Csb</f>
        <v>0</v>
      </c>
      <c r="K3">
        <f>Csby</f>
        <v>100</v>
      </c>
      <c r="L3">
        <f>Cby</f>
        <v>0</v>
      </c>
      <c r="M3">
        <f>Cb</f>
        <v>0</v>
      </c>
      <c r="N3" t="e">
        <f>'Variable Management'!#REF!</f>
        <v>#REF!</v>
      </c>
      <c r="Q3" t="s">
        <v>312</v>
      </c>
      <c r="R3" t="s">
        <v>314</v>
      </c>
      <c r="S3" s="2" t="s">
        <v>309</v>
      </c>
    </row>
    <row r="4" spans="1:20" ht="13.8" x14ac:dyDescent="0.3">
      <c r="A4" s="7" t="s">
        <v>309</v>
      </c>
      <c r="B4" s="7">
        <f>SUM(B6:B158)/1000000000000</f>
        <v>9.9999999999999995E-8</v>
      </c>
      <c r="C4" s="7">
        <f t="shared" ref="C4:H4" si="0">SUM(C6:C158)/1000000000000</f>
        <v>6.7999999999999997E-9</v>
      </c>
      <c r="D4" s="7">
        <f t="shared" si="0"/>
        <v>1.5E-10</v>
      </c>
      <c r="E4" s="7">
        <f t="shared" si="0"/>
        <v>1.8E-9</v>
      </c>
      <c r="F4" s="7">
        <f t="shared" si="0"/>
        <v>1.2E-4</v>
      </c>
      <c r="G4" s="7">
        <f t="shared" si="0"/>
        <v>1.2E-4</v>
      </c>
      <c r="H4" s="7">
        <f t="shared" si="0"/>
        <v>2.2000000000000002E-11</v>
      </c>
      <c r="I4" s="7">
        <f t="shared" ref="I4:N4" si="1">IF(I3="OPEN","OPEN",SUM(I6:I158)/1000000000000)</f>
        <v>0</v>
      </c>
      <c r="J4" s="7">
        <f t="shared" si="1"/>
        <v>0</v>
      </c>
      <c r="K4" s="7">
        <f t="shared" si="1"/>
        <v>0</v>
      </c>
      <c r="L4" s="7">
        <f t="shared" si="1"/>
        <v>0</v>
      </c>
      <c r="M4" s="7">
        <f t="shared" si="1"/>
        <v>0</v>
      </c>
      <c r="N4" s="7" t="e">
        <f t="shared" si="1"/>
        <v>#REF!</v>
      </c>
      <c r="Q4" t="s">
        <v>313</v>
      </c>
      <c r="R4">
        <f>Rfadj</f>
        <v>33333.333333333336</v>
      </c>
      <c r="S4" s="2">
        <f t="shared" ref="S4:S6" si="2">IF(R4&gt;(INT(0.5+100*POWER(10,IF(96*(LOG(R4)-INT(LOG(R4)))-ROUND(96*(LOG(R4)-INT(LOG(R4))),0)&lt;0,ROUND(96*(LOG(R4)-INT(LOG(R4))),0)-1,ROUND(96*(LOG(R4)-INT(LOG(R4))),0))/96))*POWER(10,INT(LOG(R4))-2)+INT(0.5+100*POWER(10,(IF(96*(LOG(R4)-INT(LOG(R4)))-ROUND(96*(LOG(R4)-INT(LOG(R4))),0)&lt;0,ROUND(96*(LOG(R4)-INT(LOG(R4))),0)-1,ROUND(96*(LOG(R4)-INT(LOG(R4))),0))+1)/96))*POWER(10,INT(LOG(R4))-2))/2,INT(0.5+100*POWER(10,(IF(96*(LOG(R4)-INT(LOG(R4)))-ROUND(96*(LOG(R4)-INT(LOG(R4))),0)&lt;0,ROUND(96*(LOG(R4)-INT(LOG(R4))),0)-1,ROUND(96*(LOG(R4)-INT(LOG(R4))),0))+1)/96))*POWER(10,INT(LOG(R4))-2),INT(0.5+100*POWER(10,IF(96*(LOG(R4)-INT(LOG(R4)))-ROUND(96*(LOG(R4)-INT(LOG(R4))),0)&lt;0,ROUND(96*(LOG(R4)-INT(LOG(R4))),0)-1,ROUND(96*(LOG(R4)-INT(LOG(R4))),0))/96))*POWER(10,INT(LOG(R4))-2))</f>
        <v>33200</v>
      </c>
      <c r="T4" s="55" t="s">
        <v>539</v>
      </c>
    </row>
    <row r="5" spans="1:20" ht="13.8" x14ac:dyDescent="0.3">
      <c r="A5" t="s">
        <v>308</v>
      </c>
      <c r="Q5" s="171" t="s">
        <v>594</v>
      </c>
      <c r="R5">
        <f>Rilim_Rdson_ideal</f>
        <v>272.51199324324324</v>
      </c>
      <c r="S5" s="2">
        <f t="shared" si="2"/>
        <v>274</v>
      </c>
      <c r="T5" s="55" t="s">
        <v>539</v>
      </c>
    </row>
    <row r="6" spans="1:20" ht="13.8" x14ac:dyDescent="0.3">
      <c r="A6">
        <v>0.47</v>
      </c>
      <c r="B6">
        <f>IF(IF((B$3*10^12-$A7)*(B$3*10^12-$A6)*-1&lt;0,0,1)*IF(ABS(B$3*10^12-$A7)&gt;(B$3*10^12-$A6),$A6,$A7)=B7,0,IF((B$3*10^12-$A7)*(B$3*10^12-$A6)*-1&lt;0,0,1)*IF(ABS(B$3*10^12-$A7)&gt;(B$3*10^12-$A6),$A6,$A7))</f>
        <v>0</v>
      </c>
      <c r="C6">
        <f>IF(IF((C$3*10^12-$A7)*(C$3*10^12-$A6)*-1&lt;0,0,1)*IF(ABS(C$3*10^12-$A7)&gt;(C$3*10^12-$A6),$A6,$A7)=C7,0,IF((C$3*10^12-$A7)*(C$3*10^12-$A6)*-1&lt;0,0,1)*IF(ABS(C$3*10^12-$A7)&gt;(C$3*10^12-$A6),$A6,$A7))</f>
        <v>0</v>
      </c>
      <c r="D6">
        <f t="shared" ref="D6:D69" si="3">IF(IF((D$3*10^12-$A7)*(D$3*10^12-$A6)*-1&lt;0,0,1)*IF(ABS(D$3*10^12-$A7)&gt;(D$3*10^12-$A6),$A6,$A7)=D7,0,IF((D$3*10^12-$A7)*(D$3*10^12-$A6)*-1&lt;0,0,1)*IF(ABS(D$3*10^12-$A7)&gt;(D$3*10^12-$A6),$A6,$A7))</f>
        <v>0</v>
      </c>
      <c r="E6">
        <f t="shared" ref="E6:E69" si="4">IF(IF((E$3*10^12-$A7)*(E$3*10^12-$A6)*-1&lt;0,0,1)*IF(ABS(E$3*10^12-$A7)&gt;(E$3*10^12-$A6),$A6,$A7)=E7,0,IF((E$3*10^12-$A7)*(E$3*10^12-$A6)*-1&lt;0,0,1)*IF(ABS(E$3*10^12-$A7)&gt;(E$3*10^12-$A6),$A6,$A7))</f>
        <v>0</v>
      </c>
      <c r="F6">
        <f t="shared" ref="F6:F69" si="5">IF(IF((F$3*10^12-$A7)*(F$3*10^12-$A6)*-1&lt;0,0,1)*IF(ABS(F$3*10^12-$A7)&gt;(F$3*10^12-$A6),$A6,$A7)=F7,0,IF((F$3*10^12-$A7)*(F$3*10^12-$A6)*-1&lt;0,0,1)*IF(ABS(F$3*10^12-$A7)&gt;(F$3*10^12-$A6),$A6,$A7))</f>
        <v>0</v>
      </c>
      <c r="G6">
        <f t="shared" ref="G6:G69" si="6">IF(IF((G$3*10^12-$A7)*(G$3*10^12-$A6)*-1&lt;0,0,1)*IF(ABS(G$3*10^12-$A7)&gt;(G$3*10^12-$A6),$A6,$A7)=G7,0,IF((G$3*10^12-$A7)*(G$3*10^12-$A6)*-1&lt;0,0,1)*IF(ABS(G$3*10^12-$A7)&gt;(G$3*10^12-$A6),$A6,$A7))</f>
        <v>0</v>
      </c>
      <c r="H6">
        <f t="shared" ref="H6:K69" si="7">IF(IF((H$3*10^12-$A7)*(H$3*10^12-$A6)*-1&lt;0,0,1)*IF(ABS(H$3*10^12-$A7)&gt;(H$3*10^12-$A6),$A6,$A7)=H7,0,IF((H$3*10^12-$A7)*(H$3*10^12-$A6)*-1&lt;0,0,1)*IF(ABS(H$3*10^12-$A7)&gt;(H$3*10^12-$A6),$A6,$A7))</f>
        <v>0</v>
      </c>
      <c r="I6">
        <f t="shared" si="7"/>
        <v>0</v>
      </c>
      <c r="J6">
        <f t="shared" si="7"/>
        <v>0</v>
      </c>
      <c r="K6">
        <f t="shared" si="7"/>
        <v>0</v>
      </c>
      <c r="L6">
        <f t="shared" ref="L6:L69" si="8">IF(IF((L$3*10^12-$A7)*(L$3*10^12-$A6)*-1&lt;0,0,1)*IF(ABS(L$3*10^12-$A7)&gt;(L$3*10^12-$A6),$A6,$A7)=L7,0,IF((L$3*10^12-$A7)*(L$3*10^12-$A6)*-1&lt;0,0,1)*IF(ABS(L$3*10^12-$A7)&gt;(L$3*10^12-$A6),$A6,$A7))</f>
        <v>0</v>
      </c>
      <c r="M6">
        <f t="shared" ref="M6:M37" si="9">IF(IF((M$3*10^12-$A7)*(M$3*10^12-$A6)*-1&lt;0,0,1)*IF(ABS(M$3*10^12-$A7)&gt;(M$3*10^12-$A6),$A6,$A7)=M7,0,IF((M$3*10^12-$A7)*(M$3*10^12-$A6)*-1&lt;0,0,1)*IF(ABS(M$3*10^12-$A7)&gt;(M$3*10^12-$A6),$A6,$A7))</f>
        <v>0</v>
      </c>
      <c r="N6" t="e">
        <f t="shared" ref="N6:N37" si="10">IF(IF((N$3*10^12-$A7)*(N$3*10^12-$A6)*-1&lt;0,0,1)*IF(ABS(N$3*10^12-$A7)&gt;(N$3*10^12-$A6),$A6,$A7)=N7,0,IF((N$3*10^12-$A7)*(N$3*10^12-$A6)*-1&lt;0,0,1)*IF(ABS(N$3*10^12-$A7)&gt;(N$3*10^12-$A6),$A6,$A7))</f>
        <v>#REF!</v>
      </c>
      <c r="Q6" s="171" t="s">
        <v>594</v>
      </c>
      <c r="R6">
        <f>Rilim_Rdson_ideal</f>
        <v>272.51199324324324</v>
      </c>
      <c r="S6" s="2">
        <f t="shared" si="2"/>
        <v>274</v>
      </c>
      <c r="T6" s="55" t="s">
        <v>539</v>
      </c>
    </row>
    <row r="7" spans="1:20" x14ac:dyDescent="0.25">
      <c r="A7">
        <v>0.56000000000000005</v>
      </c>
      <c r="B7">
        <f t="shared" ref="B7:B70" si="11">IF(IF((B$3*10^12-$A8)*(B$3*10^12-$A7)*-1&lt;0,0,1)*IF(ABS(B$3*10^12-$A8)&gt;(B$3*10^12-$A7),$A7,$A8)=B8,0,IF((B$3*10^12-$A8)*(B$3*10^12-$A7)*-1&lt;0,0,1)*IF(ABS(B$3*10^12-$A8)&gt;(B$3*10^12-$A7),$A7,$A8))</f>
        <v>0</v>
      </c>
      <c r="C7">
        <f t="shared" ref="C7:C38" si="12">IF(IF((C$3*10^12-$A8)*(C$3*10^12-$A7)*-1&lt;0,0,1)*IF(ABS(C$3*10^12-$A8)&gt;(C$3*10^12-$A7),$A7,$A8)=C8,0,IF((C$3*10^12-$A8)*(C$3*10^12-$A7)*-1&lt;0,0,1)*IF(ABS(C$3*10^12-$A8)&gt;(C$3*10^12-$A7),$A7,$A8))</f>
        <v>0</v>
      </c>
      <c r="D7">
        <f t="shared" si="3"/>
        <v>0</v>
      </c>
      <c r="E7">
        <f t="shared" si="4"/>
        <v>0</v>
      </c>
      <c r="F7">
        <f t="shared" si="5"/>
        <v>0</v>
      </c>
      <c r="G7">
        <f t="shared" si="6"/>
        <v>0</v>
      </c>
      <c r="H7">
        <f t="shared" si="7"/>
        <v>0</v>
      </c>
      <c r="I7">
        <f t="shared" si="7"/>
        <v>0</v>
      </c>
      <c r="J7">
        <f t="shared" si="7"/>
        <v>0</v>
      </c>
      <c r="K7">
        <f t="shared" si="7"/>
        <v>0</v>
      </c>
      <c r="L7">
        <f t="shared" si="8"/>
        <v>0</v>
      </c>
      <c r="M7">
        <f t="shared" si="9"/>
        <v>0</v>
      </c>
      <c r="N7" t="e">
        <f t="shared" si="10"/>
        <v>#REF!</v>
      </c>
    </row>
    <row r="8" spans="1:20" ht="13.8" x14ac:dyDescent="0.3">
      <c r="A8">
        <v>0.68</v>
      </c>
      <c r="B8">
        <f t="shared" si="11"/>
        <v>0</v>
      </c>
      <c r="C8">
        <f t="shared" si="12"/>
        <v>0</v>
      </c>
      <c r="D8">
        <f t="shared" si="3"/>
        <v>0</v>
      </c>
      <c r="E8">
        <f t="shared" si="4"/>
        <v>0</v>
      </c>
      <c r="F8">
        <f t="shared" si="5"/>
        <v>0</v>
      </c>
      <c r="G8">
        <f t="shared" si="6"/>
        <v>0</v>
      </c>
      <c r="H8">
        <f t="shared" si="7"/>
        <v>0</v>
      </c>
      <c r="I8">
        <f t="shared" si="7"/>
        <v>0</v>
      </c>
      <c r="J8">
        <f t="shared" si="7"/>
        <v>0</v>
      </c>
      <c r="K8">
        <f t="shared" si="7"/>
        <v>0</v>
      </c>
      <c r="L8">
        <f t="shared" si="8"/>
        <v>0</v>
      </c>
      <c r="M8">
        <f t="shared" si="9"/>
        <v>0</v>
      </c>
      <c r="N8" t="e">
        <f t="shared" si="10"/>
        <v>#REF!</v>
      </c>
      <c r="Q8" t="s">
        <v>345</v>
      </c>
      <c r="R8">
        <f>Rcea1</f>
        <v>7090.0845190758355</v>
      </c>
      <c r="S8" s="2">
        <f>IF(R8&gt;(INT(0.5+100*POWER(10,IF(96*(LOG(R8)-INT(LOG(R8)))-ROUND(96*(LOG(R8)-INT(LOG(R8))),0)&lt;0,ROUND(96*(LOG(R8)-INT(LOG(R8))),0)-1,ROUND(96*(LOG(R8)-INT(LOG(R8))),0))/96))*POWER(10,INT(LOG(R8))-2)+INT(0.5+100*POWER(10,(IF(96*(LOG(R8)-INT(LOG(R8)))-ROUND(96*(LOG(R8)-INT(LOG(R8))),0)&lt;0,ROUND(96*(LOG(R8)-INT(LOG(R8))),0)-1,ROUND(96*(LOG(R8)-INT(LOG(R8))),0))+1)/96))*POWER(10,INT(LOG(R8))-2))/2,INT(0.5+100*POWER(10,(IF(96*(LOG(R8)-INT(LOG(R8)))-ROUND(96*(LOG(R8)-INT(LOG(R8))),0)&lt;0,ROUND(96*(LOG(R8)-INT(LOG(R8))),0)-1,ROUND(96*(LOG(R8)-INT(LOG(R8))),0))+1)/96))*POWER(10,INT(LOG(R8))-2),INT(0.5+100*POWER(10,IF(96*(LOG(R8)-INT(LOG(R8)))-ROUND(96*(LOG(R8)-INT(LOG(R8))),0)&lt;0,ROUND(96*(LOG(R8)-INT(LOG(R8))),0)-1,ROUND(96*(LOG(R8)-INT(LOG(R8))),0))/96))*POWER(10,INT(LOG(R8))-2))</f>
        <v>7150</v>
      </c>
      <c r="T8" s="55" t="s">
        <v>539</v>
      </c>
    </row>
    <row r="9" spans="1:20" ht="13.8" x14ac:dyDescent="0.3">
      <c r="A9">
        <v>0.82</v>
      </c>
      <c r="B9">
        <f t="shared" si="11"/>
        <v>0</v>
      </c>
      <c r="C9">
        <f t="shared" si="12"/>
        <v>0</v>
      </c>
      <c r="D9">
        <f t="shared" si="3"/>
        <v>0</v>
      </c>
      <c r="E9">
        <f t="shared" si="4"/>
        <v>0</v>
      </c>
      <c r="F9">
        <f t="shared" si="5"/>
        <v>0</v>
      </c>
      <c r="G9">
        <f t="shared" si="6"/>
        <v>0</v>
      </c>
      <c r="H9">
        <f t="shared" si="7"/>
        <v>0</v>
      </c>
      <c r="I9">
        <f t="shared" si="7"/>
        <v>0</v>
      </c>
      <c r="J9">
        <f t="shared" si="7"/>
        <v>0</v>
      </c>
      <c r="K9">
        <f t="shared" si="7"/>
        <v>0</v>
      </c>
      <c r="L9">
        <f t="shared" si="8"/>
        <v>0</v>
      </c>
      <c r="M9">
        <f t="shared" si="9"/>
        <v>0</v>
      </c>
      <c r="N9" t="e">
        <f t="shared" si="10"/>
        <v>#REF!</v>
      </c>
      <c r="Q9" t="s">
        <v>346</v>
      </c>
      <c r="R9">
        <f>Rcea2</f>
        <v>709.08779445139555</v>
      </c>
      <c r="S9" s="2">
        <f>IF(R9&gt;(INT(0.5+100*POWER(10,IF(96*(LOG(R9)-INT(LOG(R9)))-ROUND(96*(LOG(R9)-INT(LOG(R9))),0)&lt;0,ROUND(96*(LOG(R9)-INT(LOG(R9))),0)-1,ROUND(96*(LOG(R9)-INT(LOG(R9))),0))/96))*POWER(10,INT(LOG(R9))-2)+INT(0.5+100*POWER(10,(IF(96*(LOG(R9)-INT(LOG(R9)))-ROUND(96*(LOG(R9)-INT(LOG(R9))),0)&lt;0,ROUND(96*(LOG(R9)-INT(LOG(R9))),0)-1,ROUND(96*(LOG(R9)-INT(LOG(R9))),0))+1)/96))*POWER(10,INT(LOG(R9))-2))/2,INT(0.5+100*POWER(10,(IF(96*(LOG(R9)-INT(LOG(R9)))-ROUND(96*(LOG(R9)-INT(LOG(R9))),0)&lt;0,ROUND(96*(LOG(R9)-INT(LOG(R9))),0)-1,ROUND(96*(LOG(R9)-INT(LOG(R9))),0))+1)/96))*POWER(10,INT(LOG(R9))-2),INT(0.5+100*POWER(10,IF(96*(LOG(R9)-INT(LOG(R9)))-ROUND(96*(LOG(R9)-INT(LOG(R9))),0)&lt;0,ROUND(96*(LOG(R9)-INT(LOG(R9))),0)-1,ROUND(96*(LOG(R9)-INT(LOG(R9))),0))/96))*POWER(10,INT(LOG(R9))-2))</f>
        <v>715</v>
      </c>
      <c r="T9" s="55" t="s">
        <v>539</v>
      </c>
    </row>
    <row r="10" spans="1:20" ht="13.8" x14ac:dyDescent="0.3">
      <c r="A10">
        <v>1</v>
      </c>
      <c r="B10">
        <f t="shared" si="11"/>
        <v>0</v>
      </c>
      <c r="C10">
        <f t="shared" si="12"/>
        <v>0</v>
      </c>
      <c r="D10">
        <f t="shared" si="3"/>
        <v>0</v>
      </c>
      <c r="E10">
        <f t="shared" si="4"/>
        <v>0</v>
      </c>
      <c r="F10">
        <f t="shared" si="5"/>
        <v>0</v>
      </c>
      <c r="G10">
        <f t="shared" si="6"/>
        <v>0</v>
      </c>
      <c r="H10">
        <f t="shared" si="7"/>
        <v>0</v>
      </c>
      <c r="I10">
        <f t="shared" si="7"/>
        <v>0</v>
      </c>
      <c r="J10">
        <f t="shared" si="7"/>
        <v>0</v>
      </c>
      <c r="K10">
        <f t="shared" si="7"/>
        <v>0</v>
      </c>
      <c r="L10">
        <f t="shared" si="8"/>
        <v>0</v>
      </c>
      <c r="M10">
        <f t="shared" si="9"/>
        <v>0</v>
      </c>
      <c r="N10" t="e">
        <f t="shared" si="10"/>
        <v>#REF!</v>
      </c>
      <c r="Q10" t="s">
        <v>52</v>
      </c>
      <c r="R10">
        <f>_Rfb1</f>
        <v>18000</v>
      </c>
      <c r="S10" s="2">
        <f>IF(R10&gt;(INT(0.5+100*POWER(10,IF(96*(LOG(R10)-INT(LOG(R10)))-ROUND(96*(LOG(R10)-INT(LOG(R10))),0)&lt;0,ROUND(96*(LOG(R10)-INT(LOG(R10))),0)-1,ROUND(96*(LOG(R10)-INT(LOG(R10))),0))/96))*POWER(10,INT(LOG(R10))-2)+INT(0.5+100*POWER(10,(IF(96*(LOG(R10)-INT(LOG(R10)))-ROUND(96*(LOG(R10)-INT(LOG(R10))),0)&lt;0,ROUND(96*(LOG(R10)-INT(LOG(R10))),0)-1,ROUND(96*(LOG(R10)-INT(LOG(R10))),0))+1)/96))*POWER(10,INT(LOG(R10))-2))/2,INT(0.5+100*POWER(10,(IF(96*(LOG(R10)-INT(LOG(R10)))-ROUND(96*(LOG(R10)-INT(LOG(R10))),0)&lt;0,ROUND(96*(LOG(R10)-INT(LOG(R10))),0)-1,ROUND(96*(LOG(R10)-INT(LOG(R10))),0))+1)/96))*POWER(10,INT(LOG(R10))-2),INT(0.5+100*POWER(10,IF(96*(LOG(R10)-INT(LOG(R10)))-ROUND(96*(LOG(R10)-INT(LOG(R10))),0)&lt;0,ROUND(96*(LOG(R10)-INT(LOG(R10))),0)-1,ROUND(96*(LOG(R10)-INT(LOG(R10))),0))/96))*POWER(10,INT(LOG(R10))-2))</f>
        <v>17800</v>
      </c>
      <c r="T10" s="55" t="s">
        <v>539</v>
      </c>
    </row>
    <row r="11" spans="1:20" ht="13.8" x14ac:dyDescent="0.3">
      <c r="A11">
        <v>1.2</v>
      </c>
      <c r="B11">
        <f t="shared" si="11"/>
        <v>0</v>
      </c>
      <c r="C11">
        <f t="shared" si="12"/>
        <v>0</v>
      </c>
      <c r="D11">
        <f t="shared" si="3"/>
        <v>0</v>
      </c>
      <c r="E11">
        <f t="shared" si="4"/>
        <v>0</v>
      </c>
      <c r="F11">
        <f t="shared" si="5"/>
        <v>0</v>
      </c>
      <c r="G11">
        <f t="shared" si="6"/>
        <v>0</v>
      </c>
      <c r="H11">
        <f t="shared" si="7"/>
        <v>0</v>
      </c>
      <c r="I11">
        <f t="shared" si="7"/>
        <v>0</v>
      </c>
      <c r="J11">
        <f t="shared" si="7"/>
        <v>0</v>
      </c>
      <c r="K11">
        <f t="shared" si="7"/>
        <v>0</v>
      </c>
      <c r="L11">
        <f t="shared" si="8"/>
        <v>0</v>
      </c>
      <c r="M11">
        <f t="shared" si="9"/>
        <v>0</v>
      </c>
      <c r="N11" t="e">
        <f t="shared" si="10"/>
        <v>#REF!</v>
      </c>
      <c r="Q11" t="s">
        <v>77</v>
      </c>
      <c r="R11">
        <f>_Rfb2</f>
        <v>3348.8372093023258</v>
      </c>
      <c r="S11" s="2">
        <f>IF(R11="OPEN","OPEN",IF(R11&gt;(INT(0.5+100*POWER(10,IF(96*(LOG(R11)-INT(LOG(R11)))-ROUND(96*(LOG(R11)-INT(LOG(R11))),0)&lt;0,ROUND(96*(LOG(R11)-INT(LOG(R11))),0)-1,ROUND(96*(LOG(R11)-INT(LOG(R11))),0))/96))*POWER(10,INT(LOG(R11))-2)+INT(0.5+100*POWER(10,(IF(96*(LOG(R11)-INT(LOG(R11)))-ROUND(96*(LOG(R11)-INT(LOG(R11))),0)&lt;0,ROUND(96*(LOG(R11)-INT(LOG(R11))),0)-1,ROUND(96*(LOG(R11)-INT(LOG(R11))),0))+1)/96))*POWER(10,INT(LOG(R11))-2))/2,INT(0.5+100*POWER(10,(IF(96*(LOG(R11)-INT(LOG(R11)))-ROUND(96*(LOG(R11)-INT(LOG(R11))),0)&lt;0,ROUND(96*(LOG(R11)-INT(LOG(R11))),0)-1,ROUND(96*(LOG(R11)-INT(LOG(R11))),0))+1)/96))*POWER(10,INT(LOG(R11))-2),INT(0.5+100*POWER(10,IF(96*(LOG(R11)-INT(LOG(R11)))-ROUND(96*(LOG(R11)-INT(LOG(R11))),0)&lt;0,ROUND(96*(LOG(R11)-INT(LOG(R11))),0)-1,ROUND(96*(LOG(R11)-INT(LOG(R11))),0))/96))*POWER(10,INT(LOG(R11))-2)))</f>
        <v>3320</v>
      </c>
      <c r="T11" s="55" t="s">
        <v>539</v>
      </c>
    </row>
    <row r="12" spans="1:20" x14ac:dyDescent="0.25">
      <c r="A12">
        <v>1.5</v>
      </c>
      <c r="B12">
        <f t="shared" si="11"/>
        <v>0</v>
      </c>
      <c r="C12">
        <f t="shared" si="12"/>
        <v>0</v>
      </c>
      <c r="D12">
        <f t="shared" si="3"/>
        <v>0</v>
      </c>
      <c r="E12">
        <f t="shared" si="4"/>
        <v>0</v>
      </c>
      <c r="F12">
        <f t="shared" si="5"/>
        <v>0</v>
      </c>
      <c r="G12">
        <f t="shared" si="6"/>
        <v>0</v>
      </c>
      <c r="H12">
        <f t="shared" si="7"/>
        <v>0</v>
      </c>
      <c r="I12">
        <f t="shared" si="7"/>
        <v>0</v>
      </c>
      <c r="J12">
        <f t="shared" si="7"/>
        <v>0</v>
      </c>
      <c r="K12">
        <f t="shared" si="7"/>
        <v>0</v>
      </c>
      <c r="L12">
        <f t="shared" si="8"/>
        <v>0</v>
      </c>
      <c r="M12">
        <f t="shared" si="9"/>
        <v>0</v>
      </c>
      <c r="N12" t="e">
        <f t="shared" si="10"/>
        <v>#REF!</v>
      </c>
      <c r="Q12" t="s">
        <v>316</v>
      </c>
      <c r="R12">
        <f>_Rs1</f>
        <v>22</v>
      </c>
      <c r="S12" s="2"/>
    </row>
    <row r="13" spans="1:20" x14ac:dyDescent="0.25">
      <c r="A13">
        <v>1.8</v>
      </c>
      <c r="B13">
        <f t="shared" si="11"/>
        <v>0</v>
      </c>
      <c r="C13">
        <f t="shared" si="12"/>
        <v>0</v>
      </c>
      <c r="D13">
        <f t="shared" si="3"/>
        <v>0</v>
      </c>
      <c r="E13">
        <f t="shared" si="4"/>
        <v>0</v>
      </c>
      <c r="F13">
        <f t="shared" si="5"/>
        <v>0</v>
      </c>
      <c r="G13">
        <f t="shared" si="6"/>
        <v>0</v>
      </c>
      <c r="H13">
        <f t="shared" si="7"/>
        <v>0</v>
      </c>
      <c r="I13">
        <f t="shared" si="7"/>
        <v>0</v>
      </c>
      <c r="J13">
        <f t="shared" si="7"/>
        <v>0</v>
      </c>
      <c r="K13">
        <f t="shared" si="7"/>
        <v>0</v>
      </c>
      <c r="L13">
        <f t="shared" si="8"/>
        <v>0</v>
      </c>
      <c r="M13">
        <f t="shared" si="9"/>
        <v>0</v>
      </c>
      <c r="N13" t="e">
        <f t="shared" si="10"/>
        <v>#REF!</v>
      </c>
      <c r="Q13" t="s">
        <v>317</v>
      </c>
      <c r="R13">
        <f>_Rs2</f>
        <v>2.0017379597104269E-11</v>
      </c>
      <c r="S13" s="2"/>
    </row>
    <row r="14" spans="1:20" x14ac:dyDescent="0.25">
      <c r="A14">
        <v>2.2000000000000002</v>
      </c>
      <c r="B14">
        <f t="shared" si="11"/>
        <v>0</v>
      </c>
      <c r="C14">
        <f t="shared" si="12"/>
        <v>0</v>
      </c>
      <c r="D14">
        <f t="shared" si="3"/>
        <v>0</v>
      </c>
      <c r="E14">
        <f t="shared" si="4"/>
        <v>0</v>
      </c>
      <c r="F14">
        <f t="shared" si="5"/>
        <v>0</v>
      </c>
      <c r="G14">
        <f t="shared" si="6"/>
        <v>0</v>
      </c>
      <c r="H14">
        <f t="shared" si="7"/>
        <v>0</v>
      </c>
      <c r="I14">
        <f t="shared" si="7"/>
        <v>0</v>
      </c>
      <c r="J14">
        <f t="shared" si="7"/>
        <v>0</v>
      </c>
      <c r="K14">
        <f t="shared" si="7"/>
        <v>0</v>
      </c>
      <c r="L14">
        <f t="shared" si="8"/>
        <v>0</v>
      </c>
      <c r="M14">
        <f t="shared" si="9"/>
        <v>0</v>
      </c>
      <c r="N14" t="e">
        <f t="shared" si="10"/>
        <v>#REF!</v>
      </c>
      <c r="Q14" t="s">
        <v>318</v>
      </c>
      <c r="R14">
        <f>_Rs3</f>
        <v>0.16</v>
      </c>
      <c r="S14" s="2"/>
    </row>
    <row r="15" spans="1:20" x14ac:dyDescent="0.25">
      <c r="A15">
        <v>2.7</v>
      </c>
      <c r="B15">
        <f t="shared" si="11"/>
        <v>0</v>
      </c>
      <c r="C15">
        <f t="shared" si="12"/>
        <v>0</v>
      </c>
      <c r="D15">
        <f t="shared" si="3"/>
        <v>0</v>
      </c>
      <c r="E15">
        <f t="shared" si="4"/>
        <v>0</v>
      </c>
      <c r="F15">
        <f t="shared" si="5"/>
        <v>0</v>
      </c>
      <c r="G15">
        <f t="shared" si="6"/>
        <v>0</v>
      </c>
      <c r="H15">
        <f t="shared" si="7"/>
        <v>0</v>
      </c>
      <c r="I15">
        <f t="shared" si="7"/>
        <v>0</v>
      </c>
      <c r="J15">
        <f t="shared" si="7"/>
        <v>0</v>
      </c>
      <c r="K15">
        <f t="shared" si="7"/>
        <v>0</v>
      </c>
      <c r="L15">
        <f t="shared" si="8"/>
        <v>0</v>
      </c>
      <c r="M15">
        <f t="shared" si="9"/>
        <v>0</v>
      </c>
      <c r="N15" t="e">
        <f t="shared" si="10"/>
        <v>#REF!</v>
      </c>
      <c r="S15" s="2"/>
    </row>
    <row r="16" spans="1:20" ht="13.8" x14ac:dyDescent="0.3">
      <c r="A16">
        <v>3.3</v>
      </c>
      <c r="B16">
        <f t="shared" si="11"/>
        <v>0</v>
      </c>
      <c r="C16">
        <f t="shared" si="12"/>
        <v>0</v>
      </c>
      <c r="D16">
        <f t="shared" si="3"/>
        <v>0</v>
      </c>
      <c r="E16">
        <f t="shared" si="4"/>
        <v>0</v>
      </c>
      <c r="F16">
        <f t="shared" si="5"/>
        <v>0</v>
      </c>
      <c r="G16">
        <f t="shared" si="6"/>
        <v>0</v>
      </c>
      <c r="H16">
        <f t="shared" si="7"/>
        <v>0</v>
      </c>
      <c r="I16">
        <f t="shared" si="7"/>
        <v>0</v>
      </c>
      <c r="J16">
        <f t="shared" si="7"/>
        <v>0</v>
      </c>
      <c r="K16">
        <f t="shared" si="7"/>
        <v>0</v>
      </c>
      <c r="L16">
        <f t="shared" si="8"/>
        <v>0</v>
      </c>
      <c r="M16">
        <f t="shared" si="9"/>
        <v>0</v>
      </c>
      <c r="N16" t="e">
        <f t="shared" si="10"/>
        <v>#REF!</v>
      </c>
      <c r="Q16" s="171" t="s">
        <v>527</v>
      </c>
      <c r="R16">
        <f>Ruvlo1</f>
        <v>75</v>
      </c>
      <c r="S16" s="2">
        <f t="shared" ref="S16:S17" si="13">IF(R16="OPEN","OPEN",IF(R16&gt;(INT(0.5+100*POWER(10,IF(96*(LOG(R16)-INT(LOG(R16)))-ROUND(96*(LOG(R16)-INT(LOG(R16))),0)&lt;0,ROUND(96*(LOG(R16)-INT(LOG(R16))),0)-1,ROUND(96*(LOG(R16)-INT(LOG(R16))),0))/96))*POWER(10,INT(LOG(R16))-2)+INT(0.5+100*POWER(10,(IF(96*(LOG(R16)-INT(LOG(R16)))-ROUND(96*(LOG(R16)-INT(LOG(R16))),0)&lt;0,ROUND(96*(LOG(R16)-INT(LOG(R16))),0)-1,ROUND(96*(LOG(R16)-INT(LOG(R16))),0))+1)/96))*POWER(10,INT(LOG(R16))-2))/2,INT(0.5+100*POWER(10,(IF(96*(LOG(R16)-INT(LOG(R16)))-ROUND(96*(LOG(R16)-INT(LOG(R16))),0)&lt;0,ROUND(96*(LOG(R16)-INT(LOG(R16))),0)-1,ROUND(96*(LOG(R16)-INT(LOG(R16))),0))+1)/96))*POWER(10,INT(LOG(R16))-2),INT(0.5+100*POWER(10,IF(96*(LOG(R16)-INT(LOG(R16)))-ROUND(96*(LOG(R16)-INT(LOG(R16))),0)&lt;0,ROUND(96*(LOG(R16)-INT(LOG(R16))),0)-1,ROUND(96*(LOG(R16)-INT(LOG(R16))),0))/96))*POWER(10,INT(LOG(R16))-2)))</f>
        <v>75</v>
      </c>
      <c r="T16" s="55" t="s">
        <v>493</v>
      </c>
    </row>
    <row r="17" spans="1:20" ht="13.8" x14ac:dyDescent="0.3">
      <c r="A17">
        <v>3.9</v>
      </c>
      <c r="B17">
        <f t="shared" si="11"/>
        <v>0</v>
      </c>
      <c r="C17">
        <f t="shared" si="12"/>
        <v>0</v>
      </c>
      <c r="D17">
        <f t="shared" si="3"/>
        <v>0</v>
      </c>
      <c r="E17">
        <f t="shared" si="4"/>
        <v>0</v>
      </c>
      <c r="F17">
        <f t="shared" si="5"/>
        <v>0</v>
      </c>
      <c r="G17">
        <f t="shared" si="6"/>
        <v>0</v>
      </c>
      <c r="H17">
        <f t="shared" si="7"/>
        <v>0</v>
      </c>
      <c r="I17">
        <f t="shared" si="7"/>
        <v>0</v>
      </c>
      <c r="J17">
        <f t="shared" si="7"/>
        <v>0</v>
      </c>
      <c r="K17">
        <f t="shared" si="7"/>
        <v>0</v>
      </c>
      <c r="L17">
        <f t="shared" si="8"/>
        <v>0</v>
      </c>
      <c r="M17">
        <f t="shared" si="9"/>
        <v>0</v>
      </c>
      <c r="N17" t="e">
        <f t="shared" si="10"/>
        <v>#REF!</v>
      </c>
      <c r="Q17" s="171" t="s">
        <v>528</v>
      </c>
      <c r="R17">
        <f>Ruvlo2</f>
        <v>12.622720897615709</v>
      </c>
      <c r="S17" s="2">
        <f t="shared" si="13"/>
        <v>12.700000000000001</v>
      </c>
      <c r="T17" s="55" t="s">
        <v>493</v>
      </c>
    </row>
    <row r="18" spans="1:20" x14ac:dyDescent="0.25">
      <c r="A18">
        <v>4.7</v>
      </c>
      <c r="B18">
        <f t="shared" si="11"/>
        <v>0</v>
      </c>
      <c r="C18">
        <f t="shared" si="12"/>
        <v>0</v>
      </c>
      <c r="D18">
        <f t="shared" si="3"/>
        <v>0</v>
      </c>
      <c r="E18">
        <f t="shared" si="4"/>
        <v>0</v>
      </c>
      <c r="F18">
        <f t="shared" si="5"/>
        <v>0</v>
      </c>
      <c r="G18">
        <f t="shared" si="6"/>
        <v>0</v>
      </c>
      <c r="H18">
        <f t="shared" si="7"/>
        <v>0</v>
      </c>
      <c r="I18">
        <f t="shared" si="7"/>
        <v>0</v>
      </c>
      <c r="J18">
        <f t="shared" si="7"/>
        <v>0</v>
      </c>
      <c r="K18">
        <f t="shared" si="7"/>
        <v>0</v>
      </c>
      <c r="L18">
        <f t="shared" si="8"/>
        <v>0</v>
      </c>
      <c r="M18">
        <f t="shared" si="9"/>
        <v>0</v>
      </c>
      <c r="N18" t="e">
        <f t="shared" si="10"/>
        <v>#REF!</v>
      </c>
      <c r="S18" s="2"/>
    </row>
    <row r="19" spans="1:20" x14ac:dyDescent="0.25">
      <c r="A19">
        <v>5.6</v>
      </c>
      <c r="B19">
        <f t="shared" si="11"/>
        <v>0</v>
      </c>
      <c r="C19">
        <f t="shared" si="12"/>
        <v>0</v>
      </c>
      <c r="D19">
        <f t="shared" si="3"/>
        <v>0</v>
      </c>
      <c r="E19">
        <f t="shared" si="4"/>
        <v>0</v>
      </c>
      <c r="F19">
        <f t="shared" si="5"/>
        <v>0</v>
      </c>
      <c r="G19">
        <f t="shared" si="6"/>
        <v>0</v>
      </c>
      <c r="H19">
        <f t="shared" si="7"/>
        <v>0</v>
      </c>
      <c r="I19">
        <f t="shared" si="7"/>
        <v>0</v>
      </c>
      <c r="J19">
        <f t="shared" si="7"/>
        <v>0</v>
      </c>
      <c r="K19">
        <f t="shared" si="7"/>
        <v>0</v>
      </c>
      <c r="L19">
        <f t="shared" si="8"/>
        <v>0</v>
      </c>
      <c r="M19">
        <f t="shared" si="9"/>
        <v>0</v>
      </c>
      <c r="N19" t="e">
        <f t="shared" si="10"/>
        <v>#REF!</v>
      </c>
      <c r="S19" s="2"/>
    </row>
    <row r="20" spans="1:20" x14ac:dyDescent="0.25">
      <c r="A20">
        <v>6.8</v>
      </c>
      <c r="B20">
        <f t="shared" si="11"/>
        <v>0</v>
      </c>
      <c r="C20">
        <f t="shared" si="12"/>
        <v>0</v>
      </c>
      <c r="D20">
        <f t="shared" si="3"/>
        <v>0</v>
      </c>
      <c r="E20">
        <f t="shared" si="4"/>
        <v>0</v>
      </c>
      <c r="F20">
        <f t="shared" si="5"/>
        <v>0</v>
      </c>
      <c r="G20">
        <f t="shared" si="6"/>
        <v>0</v>
      </c>
      <c r="H20">
        <f t="shared" si="7"/>
        <v>0</v>
      </c>
      <c r="I20">
        <f t="shared" si="7"/>
        <v>0</v>
      </c>
      <c r="J20">
        <f t="shared" si="7"/>
        <v>0</v>
      </c>
      <c r="K20">
        <f t="shared" si="7"/>
        <v>0</v>
      </c>
      <c r="L20">
        <f t="shared" si="8"/>
        <v>0</v>
      </c>
      <c r="M20">
        <f t="shared" si="9"/>
        <v>0</v>
      </c>
      <c r="N20" t="e">
        <f t="shared" si="10"/>
        <v>#REF!</v>
      </c>
      <c r="S20" s="2"/>
    </row>
    <row r="21" spans="1:20" ht="13.8" x14ac:dyDescent="0.3">
      <c r="A21">
        <v>8.1999999999999993</v>
      </c>
      <c r="B21">
        <f t="shared" si="11"/>
        <v>0</v>
      </c>
      <c r="C21">
        <f t="shared" si="12"/>
        <v>0</v>
      </c>
      <c r="D21">
        <f t="shared" si="3"/>
        <v>0</v>
      </c>
      <c r="E21">
        <f t="shared" si="4"/>
        <v>0</v>
      </c>
      <c r="F21">
        <f t="shared" si="5"/>
        <v>0</v>
      </c>
      <c r="G21">
        <f t="shared" si="6"/>
        <v>0</v>
      </c>
      <c r="H21">
        <f t="shared" si="7"/>
        <v>0</v>
      </c>
      <c r="I21">
        <f t="shared" si="7"/>
        <v>0</v>
      </c>
      <c r="J21">
        <f t="shared" si="7"/>
        <v>0</v>
      </c>
      <c r="K21">
        <f t="shared" si="7"/>
        <v>0</v>
      </c>
      <c r="L21">
        <f t="shared" si="8"/>
        <v>0</v>
      </c>
      <c r="M21">
        <f t="shared" si="9"/>
        <v>0</v>
      </c>
      <c r="N21" t="e">
        <f t="shared" si="10"/>
        <v>#REF!</v>
      </c>
      <c r="Q21" s="171"/>
      <c r="S21" s="2"/>
      <c r="T21" s="55"/>
    </row>
    <row r="22" spans="1:20" ht="13.8" x14ac:dyDescent="0.3">
      <c r="A22">
        <v>10</v>
      </c>
      <c r="B22">
        <f t="shared" si="11"/>
        <v>0</v>
      </c>
      <c r="C22">
        <f t="shared" si="12"/>
        <v>0</v>
      </c>
      <c r="D22">
        <f t="shared" si="3"/>
        <v>0</v>
      </c>
      <c r="E22">
        <f t="shared" si="4"/>
        <v>0</v>
      </c>
      <c r="F22">
        <f t="shared" si="5"/>
        <v>0</v>
      </c>
      <c r="G22">
        <f t="shared" si="6"/>
        <v>0</v>
      </c>
      <c r="H22">
        <f t="shared" si="7"/>
        <v>0</v>
      </c>
      <c r="I22">
        <f t="shared" si="7"/>
        <v>0</v>
      </c>
      <c r="J22">
        <f t="shared" si="7"/>
        <v>0</v>
      </c>
      <c r="K22">
        <f t="shared" si="7"/>
        <v>0</v>
      </c>
      <c r="L22">
        <f t="shared" si="8"/>
        <v>0</v>
      </c>
      <c r="M22">
        <f t="shared" si="9"/>
        <v>0</v>
      </c>
      <c r="N22" t="e">
        <f t="shared" si="10"/>
        <v>#REF!</v>
      </c>
      <c r="Q22" s="171" t="s">
        <v>595</v>
      </c>
      <c r="R22" s="408">
        <f>Rilim_shunt_ideal</f>
        <v>545.02398648648648</v>
      </c>
      <c r="S22" s="2">
        <f>IF(R22=0,0,IF(R22&gt;(INT(0.5+100*POWER(10,IF(96*(LOG(R22)-INT(LOG(R22)))-ROUND(96*(LOG(R22)-INT(LOG(R22))),0)&lt;0,ROUND(96*(LOG(R22)-INT(LOG(R22))),0)-1,ROUND(96*(LOG(R22)-INT(LOG(R22))),0))/96))*POWER(10,INT(LOG(R22))-2)+INT(0.5+100*POWER(10,(IF(96*(LOG(R22)-INT(LOG(R22)))-ROUND(96*(LOG(R22)-INT(LOG(R22))),0)&lt;0,ROUND(96*(LOG(R22)-INT(LOG(R22))),0)-1,ROUND(96*(LOG(R22)-INT(LOG(R22))),0))+1)/96))*POWER(10,INT(LOG(R22))-2))/2,INT(0.5+100*POWER(10,(IF(96*(LOG(R22)-INT(LOG(R22)))-ROUND(96*(LOG(R22)-INT(LOG(R22))),0)&lt;0,ROUND(96*(LOG(R22)-INT(LOG(R22))),0)-1,ROUND(96*(LOG(R22)-INT(LOG(R22))),0))+1)/96))*POWER(10,INT(LOG(R22))-2),INT(0.5+100*POWER(10,IF(96*(LOG(R22)-INT(LOG(R22)))-ROUND(96*(LOG(R22)-INT(LOG(R22))),0)&lt;0,ROUND(96*(LOG(R22)-INT(LOG(R22))),0)-1,ROUND(96*(LOG(R22)-INT(LOG(R22))),0))/96))*POWER(10,INT(LOG(R22))-2)))</f>
        <v>549</v>
      </c>
      <c r="T22" s="55" t="s">
        <v>539</v>
      </c>
    </row>
    <row r="23" spans="1:20" x14ac:dyDescent="0.25">
      <c r="A23">
        <v>12</v>
      </c>
      <c r="B23">
        <f t="shared" si="11"/>
        <v>0</v>
      </c>
      <c r="C23">
        <f t="shared" si="12"/>
        <v>0</v>
      </c>
      <c r="D23">
        <f t="shared" si="3"/>
        <v>0</v>
      </c>
      <c r="E23">
        <f t="shared" si="4"/>
        <v>0</v>
      </c>
      <c r="F23">
        <f t="shared" si="5"/>
        <v>0</v>
      </c>
      <c r="G23">
        <f t="shared" si="6"/>
        <v>0</v>
      </c>
      <c r="H23">
        <f t="shared" si="7"/>
        <v>0</v>
      </c>
      <c r="I23">
        <f t="shared" si="7"/>
        <v>0</v>
      </c>
      <c r="J23">
        <f t="shared" si="7"/>
        <v>0</v>
      </c>
      <c r="K23">
        <f t="shared" si="7"/>
        <v>0</v>
      </c>
      <c r="L23">
        <f t="shared" si="8"/>
        <v>0</v>
      </c>
      <c r="M23">
        <f t="shared" si="9"/>
        <v>0</v>
      </c>
      <c r="N23" t="e">
        <f t="shared" si="10"/>
        <v>#REF!</v>
      </c>
      <c r="Q23" t="s">
        <v>700</v>
      </c>
      <c r="R23" s="40">
        <f>Cilim</f>
        <v>2.0017379597104269E-11</v>
      </c>
      <c r="S23" s="2">
        <f>H4*1000000000000</f>
        <v>22</v>
      </c>
      <c r="T23" t="s">
        <v>53</v>
      </c>
    </row>
    <row r="24" spans="1:20" ht="13.8" x14ac:dyDescent="0.3">
      <c r="A24">
        <v>15</v>
      </c>
      <c r="B24">
        <f t="shared" si="11"/>
        <v>0</v>
      </c>
      <c r="C24">
        <f t="shared" si="12"/>
        <v>0</v>
      </c>
      <c r="D24">
        <f t="shared" si="3"/>
        <v>0</v>
      </c>
      <c r="E24">
        <f t="shared" si="4"/>
        <v>0</v>
      </c>
      <c r="F24">
        <f t="shared" si="5"/>
        <v>0</v>
      </c>
      <c r="G24">
        <f t="shared" si="6"/>
        <v>0</v>
      </c>
      <c r="H24">
        <f t="shared" si="7"/>
        <v>0</v>
      </c>
      <c r="I24">
        <f t="shared" si="7"/>
        <v>0</v>
      </c>
      <c r="J24">
        <f t="shared" si="7"/>
        <v>0</v>
      </c>
      <c r="K24">
        <f t="shared" si="7"/>
        <v>0</v>
      </c>
      <c r="L24">
        <f t="shared" si="8"/>
        <v>0</v>
      </c>
      <c r="M24">
        <f t="shared" si="9"/>
        <v>0</v>
      </c>
      <c r="N24" t="e">
        <f t="shared" si="10"/>
        <v>#REF!</v>
      </c>
      <c r="Q24" s="171"/>
      <c r="S24" s="2"/>
      <c r="T24" s="55"/>
    </row>
    <row r="25" spans="1:20" x14ac:dyDescent="0.25">
      <c r="A25">
        <v>18</v>
      </c>
      <c r="B25">
        <f t="shared" si="11"/>
        <v>0</v>
      </c>
      <c r="C25">
        <f t="shared" si="12"/>
        <v>0</v>
      </c>
      <c r="D25">
        <f t="shared" si="3"/>
        <v>0</v>
      </c>
      <c r="E25">
        <f t="shared" si="4"/>
        <v>0</v>
      </c>
      <c r="F25">
        <f t="shared" si="5"/>
        <v>0</v>
      </c>
      <c r="G25">
        <f t="shared" si="6"/>
        <v>0</v>
      </c>
      <c r="H25">
        <f t="shared" si="7"/>
        <v>22</v>
      </c>
      <c r="I25">
        <f t="shared" si="7"/>
        <v>0</v>
      </c>
      <c r="J25">
        <f t="shared" si="7"/>
        <v>0</v>
      </c>
      <c r="K25">
        <f t="shared" si="7"/>
        <v>0</v>
      </c>
      <c r="L25">
        <f t="shared" si="8"/>
        <v>0</v>
      </c>
      <c r="M25">
        <f t="shared" si="9"/>
        <v>0</v>
      </c>
      <c r="N25" t="e">
        <f t="shared" si="10"/>
        <v>#REF!</v>
      </c>
    </row>
    <row r="26" spans="1:20" x14ac:dyDescent="0.25">
      <c r="A26">
        <v>22</v>
      </c>
      <c r="B26">
        <f t="shared" si="11"/>
        <v>0</v>
      </c>
      <c r="C26">
        <f t="shared" si="12"/>
        <v>0</v>
      </c>
      <c r="D26">
        <f t="shared" si="3"/>
        <v>0</v>
      </c>
      <c r="E26">
        <f t="shared" si="4"/>
        <v>0</v>
      </c>
      <c r="F26">
        <f t="shared" si="5"/>
        <v>0</v>
      </c>
      <c r="G26">
        <f t="shared" si="6"/>
        <v>0</v>
      </c>
      <c r="H26">
        <f t="shared" si="7"/>
        <v>0</v>
      </c>
      <c r="I26">
        <f t="shared" si="7"/>
        <v>0</v>
      </c>
      <c r="J26">
        <f t="shared" si="7"/>
        <v>0</v>
      </c>
      <c r="K26">
        <f t="shared" si="7"/>
        <v>0</v>
      </c>
      <c r="L26">
        <f t="shared" si="8"/>
        <v>0</v>
      </c>
      <c r="M26">
        <f t="shared" si="9"/>
        <v>0</v>
      </c>
      <c r="N26" t="e">
        <f t="shared" si="10"/>
        <v>#REF!</v>
      </c>
    </row>
    <row r="27" spans="1:20" ht="13.8" x14ac:dyDescent="0.3">
      <c r="A27">
        <v>27</v>
      </c>
      <c r="B27">
        <f t="shared" si="11"/>
        <v>0</v>
      </c>
      <c r="C27">
        <f t="shared" si="12"/>
        <v>0</v>
      </c>
      <c r="D27">
        <f t="shared" si="3"/>
        <v>0</v>
      </c>
      <c r="E27">
        <f t="shared" si="4"/>
        <v>0</v>
      </c>
      <c r="F27">
        <f t="shared" si="5"/>
        <v>0</v>
      </c>
      <c r="G27">
        <f t="shared" si="6"/>
        <v>0</v>
      </c>
      <c r="H27">
        <f t="shared" si="7"/>
        <v>0</v>
      </c>
      <c r="I27">
        <f t="shared" si="7"/>
        <v>0</v>
      </c>
      <c r="J27">
        <f t="shared" si="7"/>
        <v>0</v>
      </c>
      <c r="K27">
        <f t="shared" si="7"/>
        <v>0</v>
      </c>
      <c r="L27">
        <f t="shared" si="8"/>
        <v>0</v>
      </c>
      <c r="M27">
        <f t="shared" si="9"/>
        <v>0</v>
      </c>
      <c r="N27" t="e">
        <f t="shared" si="10"/>
        <v>#REF!</v>
      </c>
      <c r="Q27" s="3" t="s">
        <v>326</v>
      </c>
      <c r="R27" t="str">
        <f>S8/1000&amp;" kΩ"</f>
        <v>7.15 kΩ</v>
      </c>
      <c r="S27">
        <f>S8/1000</f>
        <v>7.15</v>
      </c>
      <c r="T27" s="55" t="s">
        <v>493</v>
      </c>
    </row>
    <row r="28" spans="1:20" x14ac:dyDescent="0.25">
      <c r="A28">
        <v>33</v>
      </c>
      <c r="B28">
        <f t="shared" si="11"/>
        <v>0</v>
      </c>
      <c r="C28">
        <f t="shared" si="12"/>
        <v>0</v>
      </c>
      <c r="D28">
        <f t="shared" si="3"/>
        <v>0</v>
      </c>
      <c r="E28">
        <f t="shared" si="4"/>
        <v>0</v>
      </c>
      <c r="F28">
        <f t="shared" si="5"/>
        <v>0</v>
      </c>
      <c r="G28">
        <f t="shared" si="6"/>
        <v>0</v>
      </c>
      <c r="H28">
        <f t="shared" si="7"/>
        <v>0</v>
      </c>
      <c r="I28">
        <f t="shared" si="7"/>
        <v>0</v>
      </c>
      <c r="J28">
        <f t="shared" si="7"/>
        <v>0</v>
      </c>
      <c r="K28">
        <f t="shared" si="7"/>
        <v>0</v>
      </c>
      <c r="L28">
        <f t="shared" si="8"/>
        <v>0</v>
      </c>
      <c r="M28">
        <f t="shared" si="9"/>
        <v>0</v>
      </c>
      <c r="N28" t="e">
        <f t="shared" si="10"/>
        <v>#REF!</v>
      </c>
      <c r="Q28" s="3" t="s">
        <v>322</v>
      </c>
      <c r="R28" t="str">
        <f>C4*1000000000000&amp;" pF"</f>
        <v>6800 pF</v>
      </c>
      <c r="S28">
        <f>C4*1000000000000</f>
        <v>6800</v>
      </c>
      <c r="T28" s="171" t="s">
        <v>53</v>
      </c>
    </row>
    <row r="29" spans="1:20" x14ac:dyDescent="0.25">
      <c r="A29">
        <v>39</v>
      </c>
      <c r="B29">
        <f t="shared" si="11"/>
        <v>0</v>
      </c>
      <c r="C29">
        <f t="shared" si="12"/>
        <v>0</v>
      </c>
      <c r="D29">
        <f t="shared" si="3"/>
        <v>0</v>
      </c>
      <c r="E29">
        <f t="shared" si="4"/>
        <v>0</v>
      </c>
      <c r="F29">
        <f t="shared" si="5"/>
        <v>0</v>
      </c>
      <c r="G29">
        <f t="shared" si="6"/>
        <v>0</v>
      </c>
      <c r="H29">
        <f t="shared" si="7"/>
        <v>0</v>
      </c>
      <c r="I29">
        <f t="shared" si="7"/>
        <v>0</v>
      </c>
      <c r="J29">
        <f t="shared" si="7"/>
        <v>0</v>
      </c>
      <c r="K29">
        <f t="shared" si="7"/>
        <v>0</v>
      </c>
      <c r="L29">
        <f t="shared" si="8"/>
        <v>0</v>
      </c>
      <c r="M29">
        <f t="shared" si="9"/>
        <v>0</v>
      </c>
      <c r="N29" t="e">
        <f t="shared" si="10"/>
        <v>#REF!</v>
      </c>
      <c r="Q29" s="3" t="s">
        <v>323</v>
      </c>
      <c r="R29" t="str">
        <f>D4*1000000000000&amp;" pF"</f>
        <v>150 pF</v>
      </c>
      <c r="S29">
        <f>D4*1000000000000</f>
        <v>150</v>
      </c>
      <c r="T29" s="171" t="s">
        <v>53</v>
      </c>
    </row>
    <row r="30" spans="1:20" ht="13.8" x14ac:dyDescent="0.3">
      <c r="A30">
        <v>47</v>
      </c>
      <c r="B30">
        <f t="shared" si="11"/>
        <v>0</v>
      </c>
      <c r="C30">
        <f t="shared" si="12"/>
        <v>0</v>
      </c>
      <c r="D30">
        <f t="shared" si="3"/>
        <v>0</v>
      </c>
      <c r="E30">
        <f t="shared" si="4"/>
        <v>0</v>
      </c>
      <c r="F30">
        <f t="shared" si="5"/>
        <v>0</v>
      </c>
      <c r="G30">
        <f t="shared" si="6"/>
        <v>0</v>
      </c>
      <c r="H30">
        <f t="shared" si="7"/>
        <v>0</v>
      </c>
      <c r="I30">
        <f t="shared" si="7"/>
        <v>0</v>
      </c>
      <c r="J30">
        <f t="shared" si="7"/>
        <v>0</v>
      </c>
      <c r="K30">
        <f t="shared" si="7"/>
        <v>0</v>
      </c>
      <c r="L30">
        <f t="shared" si="8"/>
        <v>0</v>
      </c>
      <c r="M30">
        <f t="shared" si="9"/>
        <v>0</v>
      </c>
      <c r="N30" t="e">
        <f t="shared" si="10"/>
        <v>#REF!</v>
      </c>
      <c r="Q30" s="3" t="s">
        <v>327</v>
      </c>
      <c r="R30" t="str">
        <f>S9&amp;" Ω"</f>
        <v>715 Ω</v>
      </c>
      <c r="S30">
        <f>S9</f>
        <v>715</v>
      </c>
      <c r="T30" s="55" t="s">
        <v>539</v>
      </c>
    </row>
    <row r="31" spans="1:20" x14ac:dyDescent="0.25">
      <c r="A31">
        <v>56</v>
      </c>
      <c r="B31">
        <f t="shared" si="11"/>
        <v>0</v>
      </c>
      <c r="C31">
        <f t="shared" si="12"/>
        <v>0</v>
      </c>
      <c r="D31">
        <f t="shared" si="3"/>
        <v>0</v>
      </c>
      <c r="E31">
        <f t="shared" si="4"/>
        <v>0</v>
      </c>
      <c r="F31">
        <f t="shared" si="5"/>
        <v>0</v>
      </c>
      <c r="G31">
        <f t="shared" si="6"/>
        <v>0</v>
      </c>
      <c r="H31">
        <f t="shared" si="7"/>
        <v>0</v>
      </c>
      <c r="I31">
        <f t="shared" si="7"/>
        <v>0</v>
      </c>
      <c r="J31">
        <f t="shared" si="7"/>
        <v>0</v>
      </c>
      <c r="K31">
        <f t="shared" si="7"/>
        <v>0</v>
      </c>
      <c r="L31">
        <f t="shared" si="8"/>
        <v>0</v>
      </c>
      <c r="M31">
        <f t="shared" si="9"/>
        <v>0</v>
      </c>
      <c r="N31" t="e">
        <f t="shared" si="10"/>
        <v>#REF!</v>
      </c>
      <c r="Q31" s="3" t="s">
        <v>324</v>
      </c>
      <c r="R31" t="str">
        <f>E4*1000000000000&amp;" pF"</f>
        <v>1800 pF</v>
      </c>
      <c r="S31">
        <f>E4*1000000000000</f>
        <v>1800</v>
      </c>
      <c r="T31" s="171" t="s">
        <v>53</v>
      </c>
    </row>
    <row r="32" spans="1:20" x14ac:dyDescent="0.25">
      <c r="A32">
        <v>68</v>
      </c>
      <c r="B32">
        <f t="shared" si="11"/>
        <v>0</v>
      </c>
      <c r="C32">
        <f t="shared" si="12"/>
        <v>0</v>
      </c>
      <c r="D32">
        <f t="shared" si="3"/>
        <v>0</v>
      </c>
      <c r="E32">
        <f t="shared" si="4"/>
        <v>0</v>
      </c>
      <c r="F32">
        <f t="shared" si="5"/>
        <v>0</v>
      </c>
      <c r="G32">
        <f t="shared" si="6"/>
        <v>0</v>
      </c>
      <c r="H32">
        <f t="shared" si="7"/>
        <v>0</v>
      </c>
      <c r="I32">
        <f t="shared" si="7"/>
        <v>0</v>
      </c>
      <c r="J32">
        <f t="shared" si="7"/>
        <v>0</v>
      </c>
      <c r="K32">
        <f t="shared" si="7"/>
        <v>0</v>
      </c>
      <c r="L32">
        <f t="shared" si="8"/>
        <v>0</v>
      </c>
      <c r="M32">
        <f t="shared" si="9"/>
        <v>0</v>
      </c>
      <c r="N32" t="e">
        <f t="shared" si="10"/>
        <v>#REF!</v>
      </c>
    </row>
    <row r="33" spans="1:17" x14ac:dyDescent="0.25">
      <c r="A33">
        <v>82</v>
      </c>
      <c r="B33">
        <f t="shared" si="11"/>
        <v>0</v>
      </c>
      <c r="C33">
        <f t="shared" si="12"/>
        <v>0</v>
      </c>
      <c r="D33">
        <f t="shared" si="3"/>
        <v>0</v>
      </c>
      <c r="E33">
        <f t="shared" si="4"/>
        <v>0</v>
      </c>
      <c r="F33">
        <f t="shared" si="5"/>
        <v>0</v>
      </c>
      <c r="G33">
        <f t="shared" si="6"/>
        <v>0</v>
      </c>
      <c r="H33">
        <f t="shared" si="7"/>
        <v>0</v>
      </c>
      <c r="I33">
        <f t="shared" si="7"/>
        <v>0</v>
      </c>
      <c r="J33">
        <f t="shared" si="7"/>
        <v>0</v>
      </c>
      <c r="K33">
        <f t="shared" si="7"/>
        <v>0</v>
      </c>
      <c r="L33">
        <f t="shared" si="8"/>
        <v>0</v>
      </c>
      <c r="M33">
        <f t="shared" si="9"/>
        <v>0</v>
      </c>
      <c r="N33" t="e">
        <f t="shared" si="10"/>
        <v>#REF!</v>
      </c>
    </row>
    <row r="34" spans="1:17" x14ac:dyDescent="0.25">
      <c r="A34">
        <f>A22*10</f>
        <v>100</v>
      </c>
      <c r="B34">
        <f t="shared" si="11"/>
        <v>0</v>
      </c>
      <c r="C34">
        <f t="shared" si="12"/>
        <v>0</v>
      </c>
      <c r="D34">
        <f t="shared" si="3"/>
        <v>0</v>
      </c>
      <c r="E34">
        <f t="shared" si="4"/>
        <v>0</v>
      </c>
      <c r="F34">
        <f t="shared" si="5"/>
        <v>0</v>
      </c>
      <c r="G34">
        <f t="shared" si="6"/>
        <v>0</v>
      </c>
      <c r="H34">
        <f t="shared" si="7"/>
        <v>0</v>
      </c>
      <c r="I34">
        <f t="shared" si="7"/>
        <v>0</v>
      </c>
      <c r="J34">
        <f t="shared" si="7"/>
        <v>0</v>
      </c>
      <c r="K34">
        <f t="shared" si="7"/>
        <v>0</v>
      </c>
      <c r="L34">
        <f t="shared" si="8"/>
        <v>0</v>
      </c>
      <c r="M34">
        <f t="shared" si="9"/>
        <v>0</v>
      </c>
      <c r="N34" t="e">
        <f t="shared" si="10"/>
        <v>#REF!</v>
      </c>
      <c r="Q34" s="171"/>
    </row>
    <row r="35" spans="1:17" x14ac:dyDescent="0.25">
      <c r="A35">
        <f t="shared" ref="A35:A98" si="14">A23*10</f>
        <v>120</v>
      </c>
      <c r="B35">
        <f t="shared" si="11"/>
        <v>0</v>
      </c>
      <c r="C35">
        <f t="shared" si="12"/>
        <v>0</v>
      </c>
      <c r="D35">
        <f t="shared" si="3"/>
        <v>0</v>
      </c>
      <c r="E35">
        <f t="shared" si="4"/>
        <v>0</v>
      </c>
      <c r="F35">
        <f t="shared" si="5"/>
        <v>0</v>
      </c>
      <c r="G35">
        <f t="shared" si="6"/>
        <v>0</v>
      </c>
      <c r="H35">
        <f t="shared" si="7"/>
        <v>0</v>
      </c>
      <c r="I35">
        <f t="shared" si="7"/>
        <v>0</v>
      </c>
      <c r="J35">
        <f t="shared" si="7"/>
        <v>0</v>
      </c>
      <c r="K35">
        <f t="shared" si="7"/>
        <v>0</v>
      </c>
      <c r="L35">
        <f t="shared" si="8"/>
        <v>0</v>
      </c>
      <c r="M35">
        <f t="shared" si="9"/>
        <v>0</v>
      </c>
      <c r="N35" t="e">
        <f t="shared" si="10"/>
        <v>#REF!</v>
      </c>
      <c r="Q35" s="171"/>
    </row>
    <row r="36" spans="1:17" x14ac:dyDescent="0.25">
      <c r="A36">
        <f t="shared" si="14"/>
        <v>150</v>
      </c>
      <c r="B36">
        <f t="shared" si="11"/>
        <v>0</v>
      </c>
      <c r="C36">
        <f t="shared" si="12"/>
        <v>0</v>
      </c>
      <c r="D36">
        <f t="shared" si="3"/>
        <v>150</v>
      </c>
      <c r="E36">
        <f t="shared" si="4"/>
        <v>0</v>
      </c>
      <c r="F36">
        <f t="shared" si="5"/>
        <v>0</v>
      </c>
      <c r="G36">
        <f t="shared" si="6"/>
        <v>0</v>
      </c>
      <c r="H36">
        <f t="shared" si="7"/>
        <v>0</v>
      </c>
      <c r="I36">
        <f t="shared" si="7"/>
        <v>0</v>
      </c>
      <c r="J36">
        <f t="shared" si="7"/>
        <v>0</v>
      </c>
      <c r="K36">
        <f t="shared" si="7"/>
        <v>0</v>
      </c>
      <c r="L36">
        <f t="shared" si="8"/>
        <v>0</v>
      </c>
      <c r="M36">
        <f t="shared" si="9"/>
        <v>0</v>
      </c>
      <c r="N36" t="e">
        <f t="shared" si="10"/>
        <v>#REF!</v>
      </c>
    </row>
    <row r="37" spans="1:17" x14ac:dyDescent="0.25">
      <c r="A37">
        <f t="shared" si="14"/>
        <v>180</v>
      </c>
      <c r="B37">
        <f t="shared" si="11"/>
        <v>0</v>
      </c>
      <c r="C37">
        <f t="shared" si="12"/>
        <v>0</v>
      </c>
      <c r="D37">
        <f t="shared" si="3"/>
        <v>0</v>
      </c>
      <c r="E37">
        <f t="shared" si="4"/>
        <v>0</v>
      </c>
      <c r="F37">
        <f t="shared" si="5"/>
        <v>0</v>
      </c>
      <c r="G37">
        <f t="shared" si="6"/>
        <v>0</v>
      </c>
      <c r="H37">
        <f t="shared" si="7"/>
        <v>0</v>
      </c>
      <c r="I37">
        <f t="shared" si="7"/>
        <v>0</v>
      </c>
      <c r="J37">
        <f t="shared" si="7"/>
        <v>0</v>
      </c>
      <c r="K37">
        <f t="shared" si="7"/>
        <v>0</v>
      </c>
      <c r="L37">
        <f t="shared" si="8"/>
        <v>0</v>
      </c>
      <c r="M37">
        <f t="shared" si="9"/>
        <v>0</v>
      </c>
      <c r="N37" t="e">
        <f t="shared" si="10"/>
        <v>#REF!</v>
      </c>
    </row>
    <row r="38" spans="1:17" x14ac:dyDescent="0.25">
      <c r="A38">
        <f t="shared" si="14"/>
        <v>220</v>
      </c>
      <c r="B38">
        <f t="shared" si="11"/>
        <v>0</v>
      </c>
      <c r="C38">
        <f t="shared" si="12"/>
        <v>0</v>
      </c>
      <c r="D38">
        <f t="shared" si="3"/>
        <v>0</v>
      </c>
      <c r="E38">
        <f t="shared" si="4"/>
        <v>0</v>
      </c>
      <c r="F38">
        <f t="shared" si="5"/>
        <v>0</v>
      </c>
      <c r="G38">
        <f t="shared" si="6"/>
        <v>0</v>
      </c>
      <c r="H38">
        <f t="shared" si="7"/>
        <v>0</v>
      </c>
      <c r="I38">
        <f t="shared" si="7"/>
        <v>0</v>
      </c>
      <c r="J38">
        <f t="shared" si="7"/>
        <v>0</v>
      </c>
      <c r="K38">
        <f t="shared" si="7"/>
        <v>0</v>
      </c>
      <c r="L38">
        <f t="shared" si="8"/>
        <v>0</v>
      </c>
      <c r="M38">
        <f t="shared" ref="M38:M69" si="15">IF(IF((M$3*10^12-$A39)*(M$3*10^12-$A38)*-1&lt;0,0,1)*IF(ABS(M$3*10^12-$A39)&gt;(M$3*10^12-$A38),$A38,$A39)=M39,0,IF((M$3*10^12-$A39)*(M$3*10^12-$A38)*-1&lt;0,0,1)*IF(ABS(M$3*10^12-$A39)&gt;(M$3*10^12-$A38),$A38,$A39))</f>
        <v>0</v>
      </c>
      <c r="N38" t="e">
        <f t="shared" ref="N38:N69" si="16">IF(IF((N$3*10^12-$A39)*(N$3*10^12-$A38)*-1&lt;0,0,1)*IF(ABS(N$3*10^12-$A39)&gt;(N$3*10^12-$A38),$A38,$A39)=N39,0,IF((N$3*10^12-$A39)*(N$3*10^12-$A38)*-1&lt;0,0,1)*IF(ABS(N$3*10^12-$A39)&gt;(N$3*10^12-$A38),$A38,$A39))</f>
        <v>#REF!</v>
      </c>
    </row>
    <row r="39" spans="1:17" x14ac:dyDescent="0.25">
      <c r="A39">
        <f t="shared" si="14"/>
        <v>270</v>
      </c>
      <c r="B39">
        <f t="shared" si="11"/>
        <v>0</v>
      </c>
      <c r="C39">
        <f t="shared" ref="C39:C70" si="17">IF(IF((C$3*10^12-$A40)*(C$3*10^12-$A39)*-1&lt;0,0,1)*IF(ABS(C$3*10^12-$A40)&gt;(C$3*10^12-$A39),$A39,$A40)=C40,0,IF((C$3*10^12-$A40)*(C$3*10^12-$A39)*-1&lt;0,0,1)*IF(ABS(C$3*10^12-$A40)&gt;(C$3*10^12-$A39),$A39,$A40))</f>
        <v>0</v>
      </c>
      <c r="D39">
        <f t="shared" si="3"/>
        <v>0</v>
      </c>
      <c r="E39">
        <f t="shared" si="4"/>
        <v>0</v>
      </c>
      <c r="F39">
        <f t="shared" si="5"/>
        <v>0</v>
      </c>
      <c r="G39">
        <f t="shared" si="6"/>
        <v>0</v>
      </c>
      <c r="H39">
        <f t="shared" si="7"/>
        <v>0</v>
      </c>
      <c r="I39">
        <f t="shared" si="7"/>
        <v>0</v>
      </c>
      <c r="J39">
        <f t="shared" si="7"/>
        <v>0</v>
      </c>
      <c r="K39">
        <f t="shared" si="7"/>
        <v>0</v>
      </c>
      <c r="L39">
        <f t="shared" si="8"/>
        <v>0</v>
      </c>
      <c r="M39">
        <f t="shared" si="15"/>
        <v>0</v>
      </c>
      <c r="N39" t="e">
        <f t="shared" si="16"/>
        <v>#REF!</v>
      </c>
    </row>
    <row r="40" spans="1:17" x14ac:dyDescent="0.25">
      <c r="A40">
        <f t="shared" si="14"/>
        <v>330</v>
      </c>
      <c r="B40">
        <f t="shared" si="11"/>
        <v>0</v>
      </c>
      <c r="C40">
        <f t="shared" si="17"/>
        <v>0</v>
      </c>
      <c r="D40">
        <f t="shared" si="3"/>
        <v>0</v>
      </c>
      <c r="E40">
        <f t="shared" si="4"/>
        <v>0</v>
      </c>
      <c r="F40">
        <f t="shared" si="5"/>
        <v>0</v>
      </c>
      <c r="G40">
        <f t="shared" si="6"/>
        <v>0</v>
      </c>
      <c r="H40">
        <f t="shared" si="7"/>
        <v>0</v>
      </c>
      <c r="I40">
        <f t="shared" si="7"/>
        <v>0</v>
      </c>
      <c r="J40">
        <f t="shared" si="7"/>
        <v>0</v>
      </c>
      <c r="K40">
        <f t="shared" si="7"/>
        <v>0</v>
      </c>
      <c r="L40">
        <f t="shared" si="8"/>
        <v>0</v>
      </c>
      <c r="M40">
        <f t="shared" si="15"/>
        <v>0</v>
      </c>
      <c r="N40" t="e">
        <f t="shared" si="16"/>
        <v>#REF!</v>
      </c>
    </row>
    <row r="41" spans="1:17" x14ac:dyDescent="0.25">
      <c r="A41">
        <f t="shared" si="14"/>
        <v>390</v>
      </c>
      <c r="B41">
        <f t="shared" si="11"/>
        <v>0</v>
      </c>
      <c r="C41">
        <f t="shared" si="17"/>
        <v>0</v>
      </c>
      <c r="D41">
        <f t="shared" si="3"/>
        <v>0</v>
      </c>
      <c r="E41">
        <f t="shared" si="4"/>
        <v>0</v>
      </c>
      <c r="F41">
        <f t="shared" si="5"/>
        <v>0</v>
      </c>
      <c r="G41">
        <f t="shared" si="6"/>
        <v>0</v>
      </c>
      <c r="H41">
        <f t="shared" si="7"/>
        <v>0</v>
      </c>
      <c r="I41">
        <f t="shared" si="7"/>
        <v>0</v>
      </c>
      <c r="J41">
        <f t="shared" si="7"/>
        <v>0</v>
      </c>
      <c r="K41">
        <f t="shared" si="7"/>
        <v>0</v>
      </c>
      <c r="L41">
        <f t="shared" si="8"/>
        <v>0</v>
      </c>
      <c r="M41">
        <f t="shared" si="15"/>
        <v>0</v>
      </c>
      <c r="N41" t="e">
        <f t="shared" si="16"/>
        <v>#REF!</v>
      </c>
    </row>
    <row r="42" spans="1:17" x14ac:dyDescent="0.25">
      <c r="A42">
        <f t="shared" si="14"/>
        <v>470</v>
      </c>
      <c r="B42">
        <f t="shared" si="11"/>
        <v>0</v>
      </c>
      <c r="C42">
        <f t="shared" si="17"/>
        <v>0</v>
      </c>
      <c r="D42">
        <f t="shared" si="3"/>
        <v>0</v>
      </c>
      <c r="E42">
        <f t="shared" si="4"/>
        <v>0</v>
      </c>
      <c r="F42">
        <f t="shared" si="5"/>
        <v>0</v>
      </c>
      <c r="G42">
        <f t="shared" si="6"/>
        <v>0</v>
      </c>
      <c r="H42">
        <f t="shared" si="7"/>
        <v>0</v>
      </c>
      <c r="I42">
        <f t="shared" si="7"/>
        <v>0</v>
      </c>
      <c r="J42">
        <f t="shared" si="7"/>
        <v>0</v>
      </c>
      <c r="K42">
        <f t="shared" si="7"/>
        <v>0</v>
      </c>
      <c r="L42">
        <f t="shared" si="8"/>
        <v>0</v>
      </c>
      <c r="M42">
        <f t="shared" si="15"/>
        <v>0</v>
      </c>
      <c r="N42" t="e">
        <f t="shared" si="16"/>
        <v>#REF!</v>
      </c>
    </row>
    <row r="43" spans="1:17" x14ac:dyDescent="0.25">
      <c r="A43">
        <f t="shared" si="14"/>
        <v>560</v>
      </c>
      <c r="B43">
        <f t="shared" si="11"/>
        <v>0</v>
      </c>
      <c r="C43">
        <f t="shared" si="17"/>
        <v>0</v>
      </c>
      <c r="D43">
        <f t="shared" si="3"/>
        <v>0</v>
      </c>
      <c r="E43">
        <f t="shared" si="4"/>
        <v>0</v>
      </c>
      <c r="F43">
        <f t="shared" si="5"/>
        <v>0</v>
      </c>
      <c r="G43">
        <f t="shared" si="6"/>
        <v>0</v>
      </c>
      <c r="H43">
        <f t="shared" si="7"/>
        <v>0</v>
      </c>
      <c r="I43">
        <f t="shared" si="7"/>
        <v>0</v>
      </c>
      <c r="J43">
        <f t="shared" si="7"/>
        <v>0</v>
      </c>
      <c r="K43">
        <f t="shared" si="7"/>
        <v>0</v>
      </c>
      <c r="L43">
        <f t="shared" si="8"/>
        <v>0</v>
      </c>
      <c r="M43">
        <f t="shared" si="15"/>
        <v>0</v>
      </c>
      <c r="N43" t="e">
        <f t="shared" si="16"/>
        <v>#REF!</v>
      </c>
    </row>
    <row r="44" spans="1:17" x14ac:dyDescent="0.25">
      <c r="A44">
        <f t="shared" si="14"/>
        <v>680</v>
      </c>
      <c r="B44">
        <f t="shared" si="11"/>
        <v>0</v>
      </c>
      <c r="C44">
        <f t="shared" si="17"/>
        <v>0</v>
      </c>
      <c r="D44">
        <f t="shared" si="3"/>
        <v>0</v>
      </c>
      <c r="E44">
        <f t="shared" si="4"/>
        <v>0</v>
      </c>
      <c r="F44">
        <f t="shared" si="5"/>
        <v>0</v>
      </c>
      <c r="G44">
        <f t="shared" si="6"/>
        <v>0</v>
      </c>
      <c r="H44">
        <f t="shared" si="7"/>
        <v>0</v>
      </c>
      <c r="I44">
        <f t="shared" si="7"/>
        <v>0</v>
      </c>
      <c r="J44">
        <f t="shared" si="7"/>
        <v>0</v>
      </c>
      <c r="K44">
        <f t="shared" si="7"/>
        <v>0</v>
      </c>
      <c r="L44">
        <f t="shared" si="8"/>
        <v>0</v>
      </c>
      <c r="M44">
        <f t="shared" si="15"/>
        <v>0</v>
      </c>
      <c r="N44" t="e">
        <f t="shared" si="16"/>
        <v>#REF!</v>
      </c>
    </row>
    <row r="45" spans="1:17" x14ac:dyDescent="0.25">
      <c r="A45">
        <f>A33*10</f>
        <v>820</v>
      </c>
      <c r="B45">
        <f t="shared" si="11"/>
        <v>0</v>
      </c>
      <c r="C45">
        <f t="shared" si="17"/>
        <v>0</v>
      </c>
      <c r="D45">
        <f t="shared" si="3"/>
        <v>0</v>
      </c>
      <c r="E45">
        <f t="shared" si="4"/>
        <v>0</v>
      </c>
      <c r="F45">
        <f t="shared" si="5"/>
        <v>0</v>
      </c>
      <c r="G45">
        <f t="shared" si="6"/>
        <v>0</v>
      </c>
      <c r="H45">
        <f t="shared" si="7"/>
        <v>0</v>
      </c>
      <c r="I45">
        <f t="shared" si="7"/>
        <v>0</v>
      </c>
      <c r="J45">
        <f t="shared" si="7"/>
        <v>0</v>
      </c>
      <c r="K45">
        <f t="shared" si="7"/>
        <v>0</v>
      </c>
      <c r="L45">
        <f t="shared" si="8"/>
        <v>0</v>
      </c>
      <c r="M45">
        <f t="shared" si="15"/>
        <v>0</v>
      </c>
      <c r="N45" t="e">
        <f t="shared" si="16"/>
        <v>#REF!</v>
      </c>
    </row>
    <row r="46" spans="1:17" x14ac:dyDescent="0.25">
      <c r="A46">
        <f t="shared" si="14"/>
        <v>1000</v>
      </c>
      <c r="B46">
        <f t="shared" si="11"/>
        <v>0</v>
      </c>
      <c r="C46">
        <f t="shared" si="17"/>
        <v>0</v>
      </c>
      <c r="D46">
        <f t="shared" si="3"/>
        <v>0</v>
      </c>
      <c r="E46">
        <f t="shared" si="4"/>
        <v>0</v>
      </c>
      <c r="F46">
        <f t="shared" si="5"/>
        <v>0</v>
      </c>
      <c r="G46">
        <f t="shared" si="6"/>
        <v>0</v>
      </c>
      <c r="H46">
        <f t="shared" si="7"/>
        <v>0</v>
      </c>
      <c r="I46">
        <f t="shared" si="7"/>
        <v>0</v>
      </c>
      <c r="J46">
        <f t="shared" si="7"/>
        <v>0</v>
      </c>
      <c r="K46">
        <f t="shared" si="7"/>
        <v>0</v>
      </c>
      <c r="L46">
        <f t="shared" si="8"/>
        <v>0</v>
      </c>
      <c r="M46">
        <f t="shared" si="15"/>
        <v>0</v>
      </c>
      <c r="N46" t="e">
        <f t="shared" si="16"/>
        <v>#REF!</v>
      </c>
    </row>
    <row r="47" spans="1:17" x14ac:dyDescent="0.25">
      <c r="A47">
        <f t="shared" si="14"/>
        <v>1200</v>
      </c>
      <c r="B47">
        <f t="shared" si="11"/>
        <v>0</v>
      </c>
      <c r="C47">
        <f t="shared" si="17"/>
        <v>0</v>
      </c>
      <c r="D47">
        <f t="shared" si="3"/>
        <v>0</v>
      </c>
      <c r="E47">
        <f t="shared" si="4"/>
        <v>0</v>
      </c>
      <c r="F47">
        <f t="shared" si="5"/>
        <v>0</v>
      </c>
      <c r="G47">
        <f t="shared" si="6"/>
        <v>0</v>
      </c>
      <c r="H47">
        <f t="shared" si="7"/>
        <v>0</v>
      </c>
      <c r="I47">
        <f t="shared" si="7"/>
        <v>0</v>
      </c>
      <c r="J47">
        <f t="shared" si="7"/>
        <v>0</v>
      </c>
      <c r="K47">
        <f t="shared" si="7"/>
        <v>0</v>
      </c>
      <c r="L47">
        <f t="shared" si="8"/>
        <v>0</v>
      </c>
      <c r="M47">
        <f t="shared" si="15"/>
        <v>0</v>
      </c>
      <c r="N47" t="e">
        <f t="shared" si="16"/>
        <v>#REF!</v>
      </c>
    </row>
    <row r="48" spans="1:17" x14ac:dyDescent="0.25">
      <c r="A48">
        <f t="shared" si="14"/>
        <v>1500</v>
      </c>
      <c r="B48">
        <f t="shared" si="11"/>
        <v>0</v>
      </c>
      <c r="C48">
        <f t="shared" si="17"/>
        <v>0</v>
      </c>
      <c r="D48">
        <f t="shared" si="3"/>
        <v>0</v>
      </c>
      <c r="E48">
        <f t="shared" si="4"/>
        <v>0</v>
      </c>
      <c r="F48">
        <f t="shared" si="5"/>
        <v>0</v>
      </c>
      <c r="G48">
        <f t="shared" si="6"/>
        <v>0</v>
      </c>
      <c r="H48">
        <f t="shared" si="7"/>
        <v>0</v>
      </c>
      <c r="I48">
        <f t="shared" si="7"/>
        <v>0</v>
      </c>
      <c r="J48">
        <f t="shared" si="7"/>
        <v>0</v>
      </c>
      <c r="K48">
        <f t="shared" si="7"/>
        <v>0</v>
      </c>
      <c r="L48">
        <f t="shared" si="8"/>
        <v>0</v>
      </c>
      <c r="M48">
        <f t="shared" si="15"/>
        <v>0</v>
      </c>
      <c r="N48" t="e">
        <f t="shared" si="16"/>
        <v>#REF!</v>
      </c>
    </row>
    <row r="49" spans="1:14" x14ac:dyDescent="0.25">
      <c r="A49">
        <f t="shared" si="14"/>
        <v>1800</v>
      </c>
      <c r="B49">
        <f t="shared" si="11"/>
        <v>0</v>
      </c>
      <c r="C49">
        <f t="shared" si="17"/>
        <v>0</v>
      </c>
      <c r="D49">
        <f t="shared" si="3"/>
        <v>0</v>
      </c>
      <c r="E49">
        <f t="shared" si="4"/>
        <v>1800</v>
      </c>
      <c r="F49">
        <f t="shared" si="5"/>
        <v>0</v>
      </c>
      <c r="G49">
        <f t="shared" si="6"/>
        <v>0</v>
      </c>
      <c r="H49">
        <f t="shared" si="7"/>
        <v>0</v>
      </c>
      <c r="I49">
        <f t="shared" si="7"/>
        <v>0</v>
      </c>
      <c r="J49">
        <f t="shared" si="7"/>
        <v>0</v>
      </c>
      <c r="K49">
        <f t="shared" si="7"/>
        <v>0</v>
      </c>
      <c r="L49">
        <f t="shared" si="8"/>
        <v>0</v>
      </c>
      <c r="M49">
        <f t="shared" si="15"/>
        <v>0</v>
      </c>
      <c r="N49" t="e">
        <f t="shared" si="16"/>
        <v>#REF!</v>
      </c>
    </row>
    <row r="50" spans="1:14" x14ac:dyDescent="0.25">
      <c r="A50">
        <f t="shared" si="14"/>
        <v>2200</v>
      </c>
      <c r="B50">
        <f t="shared" si="11"/>
        <v>0</v>
      </c>
      <c r="C50">
        <f t="shared" si="17"/>
        <v>0</v>
      </c>
      <c r="D50">
        <f t="shared" si="3"/>
        <v>0</v>
      </c>
      <c r="E50">
        <f t="shared" si="4"/>
        <v>0</v>
      </c>
      <c r="F50">
        <f t="shared" si="5"/>
        <v>0</v>
      </c>
      <c r="G50">
        <f t="shared" si="6"/>
        <v>0</v>
      </c>
      <c r="H50">
        <f t="shared" si="7"/>
        <v>0</v>
      </c>
      <c r="I50">
        <f t="shared" si="7"/>
        <v>0</v>
      </c>
      <c r="J50">
        <f t="shared" si="7"/>
        <v>0</v>
      </c>
      <c r="K50">
        <f t="shared" si="7"/>
        <v>0</v>
      </c>
      <c r="L50">
        <f t="shared" si="8"/>
        <v>0</v>
      </c>
      <c r="M50">
        <f t="shared" si="15"/>
        <v>0</v>
      </c>
      <c r="N50" t="e">
        <f t="shared" si="16"/>
        <v>#REF!</v>
      </c>
    </row>
    <row r="51" spans="1:14" x14ac:dyDescent="0.25">
      <c r="A51">
        <f t="shared" si="14"/>
        <v>2700</v>
      </c>
      <c r="B51">
        <f t="shared" si="11"/>
        <v>0</v>
      </c>
      <c r="C51">
        <f t="shared" si="17"/>
        <v>0</v>
      </c>
      <c r="D51">
        <f t="shared" si="3"/>
        <v>0</v>
      </c>
      <c r="E51">
        <f t="shared" si="4"/>
        <v>0</v>
      </c>
      <c r="F51">
        <f t="shared" si="5"/>
        <v>0</v>
      </c>
      <c r="G51">
        <f t="shared" si="6"/>
        <v>0</v>
      </c>
      <c r="H51">
        <f t="shared" si="7"/>
        <v>0</v>
      </c>
      <c r="I51">
        <f t="shared" si="7"/>
        <v>0</v>
      </c>
      <c r="J51">
        <f t="shared" si="7"/>
        <v>0</v>
      </c>
      <c r="K51">
        <f t="shared" si="7"/>
        <v>0</v>
      </c>
      <c r="L51">
        <f t="shared" si="8"/>
        <v>0</v>
      </c>
      <c r="M51">
        <f t="shared" si="15"/>
        <v>0</v>
      </c>
      <c r="N51" t="e">
        <f t="shared" si="16"/>
        <v>#REF!</v>
      </c>
    </row>
    <row r="52" spans="1:14" x14ac:dyDescent="0.25">
      <c r="A52">
        <f t="shared" si="14"/>
        <v>3300</v>
      </c>
      <c r="B52">
        <f t="shared" si="11"/>
        <v>0</v>
      </c>
      <c r="C52">
        <f t="shared" si="17"/>
        <v>0</v>
      </c>
      <c r="D52">
        <f t="shared" si="3"/>
        <v>0</v>
      </c>
      <c r="E52">
        <f t="shared" si="4"/>
        <v>0</v>
      </c>
      <c r="F52">
        <f t="shared" si="5"/>
        <v>0</v>
      </c>
      <c r="G52">
        <f t="shared" si="6"/>
        <v>0</v>
      </c>
      <c r="H52">
        <f t="shared" si="7"/>
        <v>0</v>
      </c>
      <c r="I52">
        <f t="shared" si="7"/>
        <v>0</v>
      </c>
      <c r="J52">
        <f t="shared" si="7"/>
        <v>0</v>
      </c>
      <c r="K52">
        <f t="shared" si="7"/>
        <v>0</v>
      </c>
      <c r="L52">
        <f t="shared" si="8"/>
        <v>0</v>
      </c>
      <c r="M52">
        <f t="shared" si="15"/>
        <v>0</v>
      </c>
      <c r="N52" t="e">
        <f t="shared" si="16"/>
        <v>#REF!</v>
      </c>
    </row>
    <row r="53" spans="1:14" x14ac:dyDescent="0.25">
      <c r="A53">
        <f t="shared" si="14"/>
        <v>3900</v>
      </c>
      <c r="B53">
        <f t="shared" si="11"/>
        <v>0</v>
      </c>
      <c r="C53">
        <f t="shared" si="17"/>
        <v>0</v>
      </c>
      <c r="D53">
        <f t="shared" si="3"/>
        <v>0</v>
      </c>
      <c r="E53">
        <f t="shared" si="4"/>
        <v>0</v>
      </c>
      <c r="F53">
        <f t="shared" si="5"/>
        <v>0</v>
      </c>
      <c r="G53">
        <f t="shared" si="6"/>
        <v>0</v>
      </c>
      <c r="H53">
        <f t="shared" si="7"/>
        <v>0</v>
      </c>
      <c r="I53">
        <f t="shared" si="7"/>
        <v>0</v>
      </c>
      <c r="J53">
        <f t="shared" si="7"/>
        <v>0</v>
      </c>
      <c r="K53">
        <f t="shared" si="7"/>
        <v>0</v>
      </c>
      <c r="L53">
        <f t="shared" si="8"/>
        <v>0</v>
      </c>
      <c r="M53">
        <f t="shared" si="15"/>
        <v>0</v>
      </c>
      <c r="N53" t="e">
        <f t="shared" si="16"/>
        <v>#REF!</v>
      </c>
    </row>
    <row r="54" spans="1:14" x14ac:dyDescent="0.25">
      <c r="A54">
        <f t="shared" si="14"/>
        <v>4700</v>
      </c>
      <c r="B54">
        <f t="shared" si="11"/>
        <v>0</v>
      </c>
      <c r="C54">
        <f t="shared" si="17"/>
        <v>0</v>
      </c>
      <c r="D54">
        <f t="shared" si="3"/>
        <v>0</v>
      </c>
      <c r="E54">
        <f t="shared" si="4"/>
        <v>0</v>
      </c>
      <c r="F54">
        <f t="shared" si="5"/>
        <v>0</v>
      </c>
      <c r="G54">
        <f t="shared" si="6"/>
        <v>0</v>
      </c>
      <c r="H54">
        <f t="shared" si="7"/>
        <v>0</v>
      </c>
      <c r="I54">
        <f t="shared" si="7"/>
        <v>0</v>
      </c>
      <c r="J54">
        <f t="shared" si="7"/>
        <v>0</v>
      </c>
      <c r="K54">
        <f t="shared" si="7"/>
        <v>0</v>
      </c>
      <c r="L54">
        <f t="shared" si="8"/>
        <v>0</v>
      </c>
      <c r="M54">
        <f t="shared" si="15"/>
        <v>0</v>
      </c>
      <c r="N54" t="e">
        <f t="shared" si="16"/>
        <v>#REF!</v>
      </c>
    </row>
    <row r="55" spans="1:14" x14ac:dyDescent="0.25">
      <c r="A55">
        <f t="shared" si="14"/>
        <v>5600</v>
      </c>
      <c r="B55">
        <f t="shared" si="11"/>
        <v>0</v>
      </c>
      <c r="C55">
        <f t="shared" si="17"/>
        <v>6800</v>
      </c>
      <c r="D55">
        <f t="shared" si="3"/>
        <v>0</v>
      </c>
      <c r="E55">
        <f t="shared" si="4"/>
        <v>0</v>
      </c>
      <c r="F55">
        <f t="shared" si="5"/>
        <v>0</v>
      </c>
      <c r="G55">
        <f t="shared" si="6"/>
        <v>0</v>
      </c>
      <c r="H55">
        <f t="shared" si="7"/>
        <v>0</v>
      </c>
      <c r="I55">
        <f t="shared" si="7"/>
        <v>0</v>
      </c>
      <c r="J55">
        <f t="shared" si="7"/>
        <v>0</v>
      </c>
      <c r="K55">
        <f t="shared" si="7"/>
        <v>0</v>
      </c>
      <c r="L55">
        <f t="shared" si="8"/>
        <v>0</v>
      </c>
      <c r="M55">
        <f t="shared" si="15"/>
        <v>0</v>
      </c>
      <c r="N55" t="e">
        <f t="shared" si="16"/>
        <v>#REF!</v>
      </c>
    </row>
    <row r="56" spans="1:14" x14ac:dyDescent="0.25">
      <c r="A56">
        <f t="shared" si="14"/>
        <v>6800</v>
      </c>
      <c r="B56">
        <f t="shared" si="11"/>
        <v>0</v>
      </c>
      <c r="C56">
        <f t="shared" si="17"/>
        <v>0</v>
      </c>
      <c r="D56">
        <f t="shared" si="3"/>
        <v>0</v>
      </c>
      <c r="E56">
        <f t="shared" si="4"/>
        <v>0</v>
      </c>
      <c r="F56">
        <f t="shared" si="5"/>
        <v>0</v>
      </c>
      <c r="G56">
        <f t="shared" si="6"/>
        <v>0</v>
      </c>
      <c r="H56">
        <f t="shared" si="7"/>
        <v>0</v>
      </c>
      <c r="I56">
        <f t="shared" si="7"/>
        <v>0</v>
      </c>
      <c r="J56">
        <f t="shared" si="7"/>
        <v>0</v>
      </c>
      <c r="K56">
        <f t="shared" si="7"/>
        <v>0</v>
      </c>
      <c r="L56">
        <f t="shared" si="8"/>
        <v>0</v>
      </c>
      <c r="M56">
        <f t="shared" si="15"/>
        <v>0</v>
      </c>
      <c r="N56" t="e">
        <f t="shared" si="16"/>
        <v>#REF!</v>
      </c>
    </row>
    <row r="57" spans="1:14" x14ac:dyDescent="0.25">
      <c r="A57">
        <f t="shared" si="14"/>
        <v>8200</v>
      </c>
      <c r="B57">
        <f t="shared" si="11"/>
        <v>0</v>
      </c>
      <c r="C57">
        <f t="shared" si="17"/>
        <v>0</v>
      </c>
      <c r="D57">
        <f t="shared" si="3"/>
        <v>0</v>
      </c>
      <c r="E57">
        <f t="shared" si="4"/>
        <v>0</v>
      </c>
      <c r="F57">
        <f t="shared" si="5"/>
        <v>0</v>
      </c>
      <c r="G57">
        <f t="shared" si="6"/>
        <v>0</v>
      </c>
      <c r="H57">
        <f t="shared" si="7"/>
        <v>0</v>
      </c>
      <c r="I57">
        <f t="shared" si="7"/>
        <v>0</v>
      </c>
      <c r="J57">
        <f t="shared" si="7"/>
        <v>0</v>
      </c>
      <c r="K57">
        <f t="shared" si="7"/>
        <v>0</v>
      </c>
      <c r="L57">
        <f t="shared" si="8"/>
        <v>0</v>
      </c>
      <c r="M57">
        <f t="shared" si="15"/>
        <v>0</v>
      </c>
      <c r="N57" t="e">
        <f t="shared" si="16"/>
        <v>#REF!</v>
      </c>
    </row>
    <row r="58" spans="1:14" x14ac:dyDescent="0.25">
      <c r="A58">
        <f t="shared" si="14"/>
        <v>10000</v>
      </c>
      <c r="B58">
        <f t="shared" si="11"/>
        <v>0</v>
      </c>
      <c r="C58">
        <f t="shared" si="17"/>
        <v>0</v>
      </c>
      <c r="D58">
        <f t="shared" si="3"/>
        <v>0</v>
      </c>
      <c r="E58">
        <f t="shared" si="4"/>
        <v>0</v>
      </c>
      <c r="F58">
        <f t="shared" si="5"/>
        <v>0</v>
      </c>
      <c r="G58">
        <f t="shared" si="6"/>
        <v>0</v>
      </c>
      <c r="H58">
        <f t="shared" si="7"/>
        <v>0</v>
      </c>
      <c r="I58">
        <f t="shared" si="7"/>
        <v>0</v>
      </c>
      <c r="J58">
        <f t="shared" si="7"/>
        <v>0</v>
      </c>
      <c r="K58">
        <f t="shared" si="7"/>
        <v>0</v>
      </c>
      <c r="L58">
        <f t="shared" si="8"/>
        <v>0</v>
      </c>
      <c r="M58">
        <f t="shared" si="15"/>
        <v>0</v>
      </c>
      <c r="N58" t="e">
        <f t="shared" si="16"/>
        <v>#REF!</v>
      </c>
    </row>
    <row r="59" spans="1:14" x14ac:dyDescent="0.25">
      <c r="A59">
        <f t="shared" si="14"/>
        <v>12000</v>
      </c>
      <c r="B59">
        <f t="shared" si="11"/>
        <v>0</v>
      </c>
      <c r="C59">
        <f t="shared" si="17"/>
        <v>0</v>
      </c>
      <c r="D59">
        <f t="shared" si="3"/>
        <v>0</v>
      </c>
      <c r="E59">
        <f t="shared" si="4"/>
        <v>0</v>
      </c>
      <c r="F59">
        <f t="shared" si="5"/>
        <v>0</v>
      </c>
      <c r="G59">
        <f t="shared" si="6"/>
        <v>0</v>
      </c>
      <c r="H59">
        <f t="shared" si="7"/>
        <v>0</v>
      </c>
      <c r="I59">
        <f t="shared" si="7"/>
        <v>0</v>
      </c>
      <c r="J59">
        <f t="shared" si="7"/>
        <v>0</v>
      </c>
      <c r="K59">
        <f t="shared" si="7"/>
        <v>0</v>
      </c>
      <c r="L59">
        <f t="shared" si="8"/>
        <v>0</v>
      </c>
      <c r="M59">
        <f t="shared" si="15"/>
        <v>0</v>
      </c>
      <c r="N59" t="e">
        <f t="shared" si="16"/>
        <v>#REF!</v>
      </c>
    </row>
    <row r="60" spans="1:14" x14ac:dyDescent="0.25">
      <c r="A60">
        <f t="shared" si="14"/>
        <v>15000</v>
      </c>
      <c r="B60">
        <f t="shared" si="11"/>
        <v>0</v>
      </c>
      <c r="C60">
        <f t="shared" si="17"/>
        <v>0</v>
      </c>
      <c r="D60">
        <f t="shared" si="3"/>
        <v>0</v>
      </c>
      <c r="E60">
        <f t="shared" si="4"/>
        <v>0</v>
      </c>
      <c r="F60">
        <f t="shared" si="5"/>
        <v>0</v>
      </c>
      <c r="G60">
        <f t="shared" si="6"/>
        <v>0</v>
      </c>
      <c r="H60">
        <f t="shared" si="7"/>
        <v>0</v>
      </c>
      <c r="I60">
        <f t="shared" si="7"/>
        <v>0</v>
      </c>
      <c r="J60">
        <f t="shared" si="7"/>
        <v>0</v>
      </c>
      <c r="K60">
        <f t="shared" si="7"/>
        <v>0</v>
      </c>
      <c r="L60">
        <f t="shared" si="8"/>
        <v>0</v>
      </c>
      <c r="M60">
        <f t="shared" si="15"/>
        <v>0</v>
      </c>
      <c r="N60" t="e">
        <f t="shared" si="16"/>
        <v>#REF!</v>
      </c>
    </row>
    <row r="61" spans="1:14" x14ac:dyDescent="0.25">
      <c r="A61">
        <f t="shared" si="14"/>
        <v>18000</v>
      </c>
      <c r="B61">
        <f t="shared" si="11"/>
        <v>0</v>
      </c>
      <c r="C61">
        <f t="shared" si="17"/>
        <v>0</v>
      </c>
      <c r="D61">
        <f t="shared" si="3"/>
        <v>0</v>
      </c>
      <c r="E61">
        <f t="shared" si="4"/>
        <v>0</v>
      </c>
      <c r="F61">
        <f t="shared" si="5"/>
        <v>0</v>
      </c>
      <c r="G61">
        <f t="shared" si="6"/>
        <v>0</v>
      </c>
      <c r="H61">
        <f t="shared" si="7"/>
        <v>0</v>
      </c>
      <c r="I61">
        <f t="shared" si="7"/>
        <v>0</v>
      </c>
      <c r="J61">
        <f t="shared" si="7"/>
        <v>0</v>
      </c>
      <c r="K61">
        <f t="shared" si="7"/>
        <v>0</v>
      </c>
      <c r="L61">
        <f t="shared" si="8"/>
        <v>0</v>
      </c>
      <c r="M61">
        <f t="shared" si="15"/>
        <v>0</v>
      </c>
      <c r="N61" t="e">
        <f t="shared" si="16"/>
        <v>#REF!</v>
      </c>
    </row>
    <row r="62" spans="1:14" x14ac:dyDescent="0.25">
      <c r="A62">
        <f t="shared" si="14"/>
        <v>22000</v>
      </c>
      <c r="B62">
        <f t="shared" si="11"/>
        <v>0</v>
      </c>
      <c r="C62">
        <f t="shared" si="17"/>
        <v>0</v>
      </c>
      <c r="D62">
        <f t="shared" si="3"/>
        <v>0</v>
      </c>
      <c r="E62">
        <f t="shared" si="4"/>
        <v>0</v>
      </c>
      <c r="F62">
        <f t="shared" si="5"/>
        <v>0</v>
      </c>
      <c r="G62">
        <f t="shared" si="6"/>
        <v>0</v>
      </c>
      <c r="H62">
        <f t="shared" si="7"/>
        <v>0</v>
      </c>
      <c r="I62">
        <f t="shared" si="7"/>
        <v>0</v>
      </c>
      <c r="J62">
        <f t="shared" si="7"/>
        <v>0</v>
      </c>
      <c r="K62">
        <f t="shared" si="7"/>
        <v>0</v>
      </c>
      <c r="L62">
        <f t="shared" si="8"/>
        <v>0</v>
      </c>
      <c r="M62">
        <f t="shared" si="15"/>
        <v>0</v>
      </c>
      <c r="N62" t="e">
        <f t="shared" si="16"/>
        <v>#REF!</v>
      </c>
    </row>
    <row r="63" spans="1:14" x14ac:dyDescent="0.25">
      <c r="A63">
        <f t="shared" si="14"/>
        <v>27000</v>
      </c>
      <c r="B63">
        <f t="shared" si="11"/>
        <v>0</v>
      </c>
      <c r="C63">
        <f t="shared" si="17"/>
        <v>0</v>
      </c>
      <c r="D63">
        <f t="shared" si="3"/>
        <v>0</v>
      </c>
      <c r="E63">
        <f t="shared" si="4"/>
        <v>0</v>
      </c>
      <c r="F63">
        <f t="shared" si="5"/>
        <v>0</v>
      </c>
      <c r="G63">
        <f t="shared" si="6"/>
        <v>0</v>
      </c>
      <c r="H63">
        <f t="shared" si="7"/>
        <v>0</v>
      </c>
      <c r="I63">
        <f t="shared" si="7"/>
        <v>0</v>
      </c>
      <c r="J63">
        <f t="shared" si="7"/>
        <v>0</v>
      </c>
      <c r="K63">
        <f t="shared" si="7"/>
        <v>0</v>
      </c>
      <c r="L63">
        <f t="shared" si="8"/>
        <v>0</v>
      </c>
      <c r="M63">
        <f t="shared" si="15"/>
        <v>0</v>
      </c>
      <c r="N63" t="e">
        <f t="shared" si="16"/>
        <v>#REF!</v>
      </c>
    </row>
    <row r="64" spans="1:14" x14ac:dyDescent="0.25">
      <c r="A64">
        <f t="shared" si="14"/>
        <v>33000</v>
      </c>
      <c r="B64">
        <f t="shared" si="11"/>
        <v>0</v>
      </c>
      <c r="C64">
        <f t="shared" si="17"/>
        <v>0</v>
      </c>
      <c r="D64">
        <f t="shared" si="3"/>
        <v>0</v>
      </c>
      <c r="E64">
        <f t="shared" si="4"/>
        <v>0</v>
      </c>
      <c r="F64">
        <f t="shared" si="5"/>
        <v>0</v>
      </c>
      <c r="G64">
        <f t="shared" si="6"/>
        <v>0</v>
      </c>
      <c r="H64">
        <f t="shared" si="7"/>
        <v>0</v>
      </c>
      <c r="I64">
        <f t="shared" si="7"/>
        <v>0</v>
      </c>
      <c r="J64">
        <f t="shared" si="7"/>
        <v>0</v>
      </c>
      <c r="K64">
        <f t="shared" si="7"/>
        <v>0</v>
      </c>
      <c r="L64">
        <f t="shared" si="8"/>
        <v>0</v>
      </c>
      <c r="M64">
        <f t="shared" si="15"/>
        <v>0</v>
      </c>
      <c r="N64" t="e">
        <f t="shared" si="16"/>
        <v>#REF!</v>
      </c>
    </row>
    <row r="65" spans="1:14" x14ac:dyDescent="0.25">
      <c r="A65">
        <f t="shared" si="14"/>
        <v>39000</v>
      </c>
      <c r="B65">
        <f t="shared" si="11"/>
        <v>0</v>
      </c>
      <c r="C65">
        <f t="shared" si="17"/>
        <v>0</v>
      </c>
      <c r="D65">
        <f t="shared" si="3"/>
        <v>0</v>
      </c>
      <c r="E65">
        <f t="shared" si="4"/>
        <v>0</v>
      </c>
      <c r="F65">
        <f t="shared" si="5"/>
        <v>0</v>
      </c>
      <c r="G65">
        <f t="shared" si="6"/>
        <v>0</v>
      </c>
      <c r="H65">
        <f t="shared" si="7"/>
        <v>0</v>
      </c>
      <c r="I65">
        <f t="shared" si="7"/>
        <v>0</v>
      </c>
      <c r="J65">
        <f t="shared" si="7"/>
        <v>0</v>
      </c>
      <c r="K65">
        <f t="shared" si="7"/>
        <v>0</v>
      </c>
      <c r="L65">
        <f t="shared" si="8"/>
        <v>0</v>
      </c>
      <c r="M65">
        <f t="shared" si="15"/>
        <v>0</v>
      </c>
      <c r="N65" t="e">
        <f t="shared" si="16"/>
        <v>#REF!</v>
      </c>
    </row>
    <row r="66" spans="1:14" x14ac:dyDescent="0.25">
      <c r="A66">
        <f t="shared" si="14"/>
        <v>47000</v>
      </c>
      <c r="B66">
        <f t="shared" si="11"/>
        <v>0</v>
      </c>
      <c r="C66">
        <f t="shared" si="17"/>
        <v>0</v>
      </c>
      <c r="D66">
        <f t="shared" si="3"/>
        <v>0</v>
      </c>
      <c r="E66">
        <f t="shared" si="4"/>
        <v>0</v>
      </c>
      <c r="F66">
        <f t="shared" si="5"/>
        <v>0</v>
      </c>
      <c r="G66">
        <f t="shared" si="6"/>
        <v>0</v>
      </c>
      <c r="H66">
        <f t="shared" si="7"/>
        <v>0</v>
      </c>
      <c r="I66">
        <f t="shared" si="7"/>
        <v>0</v>
      </c>
      <c r="J66">
        <f t="shared" si="7"/>
        <v>0</v>
      </c>
      <c r="K66">
        <f t="shared" si="7"/>
        <v>0</v>
      </c>
      <c r="L66">
        <f t="shared" si="8"/>
        <v>0</v>
      </c>
      <c r="M66">
        <f t="shared" si="15"/>
        <v>0</v>
      </c>
      <c r="N66" t="e">
        <f t="shared" si="16"/>
        <v>#REF!</v>
      </c>
    </row>
    <row r="67" spans="1:14" x14ac:dyDescent="0.25">
      <c r="A67">
        <f t="shared" si="14"/>
        <v>56000</v>
      </c>
      <c r="B67">
        <f t="shared" si="11"/>
        <v>0</v>
      </c>
      <c r="C67">
        <f t="shared" si="17"/>
        <v>0</v>
      </c>
      <c r="D67">
        <f t="shared" si="3"/>
        <v>0</v>
      </c>
      <c r="E67">
        <f t="shared" si="4"/>
        <v>0</v>
      </c>
      <c r="F67">
        <f t="shared" si="5"/>
        <v>0</v>
      </c>
      <c r="G67">
        <f t="shared" si="6"/>
        <v>0</v>
      </c>
      <c r="H67">
        <f t="shared" si="7"/>
        <v>0</v>
      </c>
      <c r="I67">
        <f t="shared" si="7"/>
        <v>0</v>
      </c>
      <c r="J67">
        <f t="shared" si="7"/>
        <v>0</v>
      </c>
      <c r="K67">
        <f t="shared" si="7"/>
        <v>0</v>
      </c>
      <c r="L67">
        <f t="shared" si="8"/>
        <v>0</v>
      </c>
      <c r="M67">
        <f t="shared" si="15"/>
        <v>0</v>
      </c>
      <c r="N67" t="e">
        <f t="shared" si="16"/>
        <v>#REF!</v>
      </c>
    </row>
    <row r="68" spans="1:14" x14ac:dyDescent="0.25">
      <c r="A68">
        <f t="shared" si="14"/>
        <v>68000</v>
      </c>
      <c r="B68">
        <f t="shared" si="11"/>
        <v>0</v>
      </c>
      <c r="C68">
        <f t="shared" si="17"/>
        <v>0</v>
      </c>
      <c r="D68">
        <f t="shared" si="3"/>
        <v>0</v>
      </c>
      <c r="E68">
        <f t="shared" si="4"/>
        <v>0</v>
      </c>
      <c r="F68">
        <f t="shared" si="5"/>
        <v>0</v>
      </c>
      <c r="G68">
        <f t="shared" si="6"/>
        <v>0</v>
      </c>
      <c r="H68">
        <f t="shared" si="7"/>
        <v>0</v>
      </c>
      <c r="I68">
        <f t="shared" si="7"/>
        <v>0</v>
      </c>
      <c r="J68">
        <f t="shared" si="7"/>
        <v>0</v>
      </c>
      <c r="K68">
        <f t="shared" si="7"/>
        <v>0</v>
      </c>
      <c r="L68">
        <f t="shared" si="8"/>
        <v>0</v>
      </c>
      <c r="M68">
        <f t="shared" si="15"/>
        <v>0</v>
      </c>
      <c r="N68" t="e">
        <f t="shared" si="16"/>
        <v>#REF!</v>
      </c>
    </row>
    <row r="69" spans="1:14" x14ac:dyDescent="0.25">
      <c r="A69">
        <f t="shared" si="14"/>
        <v>82000</v>
      </c>
      <c r="B69">
        <f t="shared" si="11"/>
        <v>0</v>
      </c>
      <c r="C69">
        <f t="shared" si="17"/>
        <v>0</v>
      </c>
      <c r="D69">
        <f t="shared" si="3"/>
        <v>0</v>
      </c>
      <c r="E69">
        <f t="shared" si="4"/>
        <v>0</v>
      </c>
      <c r="F69">
        <f t="shared" si="5"/>
        <v>0</v>
      </c>
      <c r="G69">
        <f t="shared" si="6"/>
        <v>0</v>
      </c>
      <c r="H69">
        <f t="shared" si="7"/>
        <v>0</v>
      </c>
      <c r="I69">
        <f t="shared" si="7"/>
        <v>0</v>
      </c>
      <c r="J69">
        <f t="shared" si="7"/>
        <v>0</v>
      </c>
      <c r="K69">
        <f t="shared" ref="K69:L132" si="18">IF(IF((K$3*10^12-$A70)*(K$3*10^12-$A69)*-1&lt;0,0,1)*IF(ABS(K$3*10^12-$A70)&gt;(K$3*10^12-$A69),$A69,$A70)=K70,0,IF((K$3*10^12-$A70)*(K$3*10^12-$A69)*-1&lt;0,0,1)*IF(ABS(K$3*10^12-$A70)&gt;(K$3*10^12-$A69),$A69,$A70))</f>
        <v>0</v>
      </c>
      <c r="L69">
        <f t="shared" si="8"/>
        <v>0</v>
      </c>
      <c r="M69">
        <f t="shared" si="15"/>
        <v>0</v>
      </c>
      <c r="N69" t="e">
        <f t="shared" si="16"/>
        <v>#REF!</v>
      </c>
    </row>
    <row r="70" spans="1:14" x14ac:dyDescent="0.25">
      <c r="A70">
        <f t="shared" si="14"/>
        <v>100000</v>
      </c>
      <c r="B70">
        <f t="shared" si="11"/>
        <v>100000</v>
      </c>
      <c r="C70">
        <f t="shared" si="17"/>
        <v>0</v>
      </c>
      <c r="D70">
        <f t="shared" ref="D70:J70" si="19">IF(IF((D$3*10^12-$A71)*(D$3*10^12-$A70)*-1&lt;0,0,1)*IF(ABS(D$3*10^12-$A71)&gt;(D$3*10^12-$A70),$A70,$A71)=D71,0,IF((D$3*10^12-$A71)*(D$3*10^12-$A70)*-1&lt;0,0,1)*IF(ABS(D$3*10^12-$A71)&gt;(D$3*10^12-$A70),$A70,$A71))</f>
        <v>0</v>
      </c>
      <c r="E70">
        <f t="shared" si="19"/>
        <v>0</v>
      </c>
      <c r="F70">
        <f t="shared" si="19"/>
        <v>0</v>
      </c>
      <c r="G70">
        <f t="shared" si="19"/>
        <v>0</v>
      </c>
      <c r="H70">
        <f t="shared" si="19"/>
        <v>0</v>
      </c>
      <c r="I70">
        <f t="shared" si="19"/>
        <v>0</v>
      </c>
      <c r="J70">
        <f t="shared" si="19"/>
        <v>0</v>
      </c>
      <c r="K70">
        <f t="shared" si="18"/>
        <v>0</v>
      </c>
      <c r="L70">
        <f t="shared" si="18"/>
        <v>0</v>
      </c>
      <c r="M70">
        <f t="shared" ref="M70:M101" si="20">IF(IF((M$3*10^12-$A71)*(M$3*10^12-$A70)*-1&lt;0,0,1)*IF(ABS(M$3*10^12-$A71)&gt;(M$3*10^12-$A70),$A70,$A71)=M71,0,IF((M$3*10^12-$A71)*(M$3*10^12-$A70)*-1&lt;0,0,1)*IF(ABS(M$3*10^12-$A71)&gt;(M$3*10^12-$A70),$A70,$A71))</f>
        <v>0</v>
      </c>
      <c r="N70" t="e">
        <f t="shared" ref="N70:N101" si="21">IF(IF((N$3*10^12-$A71)*(N$3*10^12-$A70)*-1&lt;0,0,1)*IF(ABS(N$3*10^12-$A71)&gt;(N$3*10^12-$A70),$A70,$A71)=N71,0,IF((N$3*10^12-$A71)*(N$3*10^12-$A70)*-1&lt;0,0,1)*IF(ABS(N$3*10^12-$A71)&gt;(N$3*10^12-$A70),$A70,$A71))</f>
        <v>#REF!</v>
      </c>
    </row>
    <row r="71" spans="1:14" x14ac:dyDescent="0.25">
      <c r="A71">
        <f t="shared" si="14"/>
        <v>120000</v>
      </c>
      <c r="B71">
        <f t="shared" ref="B71:B134" si="22">IF(IF((B$3*10^12-$A72)*(B$3*10^12-$A71)*-1&lt;0,0,1)*IF(ABS(B$3*10^12-$A72)&gt;(B$3*10^12-$A71),$A71,$A72)=B72,0,IF((B$3*10^12-$A72)*(B$3*10^12-$A71)*-1&lt;0,0,1)*IF(ABS(B$3*10^12-$A72)&gt;(B$3*10^12-$A71),$A71,$A72))</f>
        <v>0</v>
      </c>
      <c r="C71">
        <f t="shared" ref="C71:F134" si="23">IF(IF((C$3*10^12-$A72)*(C$3*10^12-$A71)*-1&lt;0,0,1)*IF(ABS(C$3*10^12-$A72)&gt;(C$3*10^12-$A71),$A71,$A72)=C72,0,IF((C$3*10^12-$A72)*(C$3*10^12-$A71)*-1&lt;0,0,1)*IF(ABS(C$3*10^12-$A72)&gt;(C$3*10^12-$A71),$A71,$A72))</f>
        <v>0</v>
      </c>
      <c r="D71">
        <f t="shared" si="23"/>
        <v>0</v>
      </c>
      <c r="E71">
        <f t="shared" si="23"/>
        <v>0</v>
      </c>
      <c r="F71">
        <f t="shared" si="23"/>
        <v>0</v>
      </c>
      <c r="G71">
        <f t="shared" ref="G71:G102" si="24">IF(IF((G$3*10^12-$A72)*(G$3*10^12-$A71)*-1&lt;0,0,1)*IF(ABS(G$3*10^12-$A72)&gt;(G$3*10^12-$A71),$A71,$A72)=G72,0,IF((G$3*10^12-$A72)*(G$3*10^12-$A71)*-1&lt;0,0,1)*IF(ABS(G$3*10^12-$A72)&gt;(G$3*10^12-$A71),$A71,$A72))</f>
        <v>0</v>
      </c>
      <c r="H71">
        <f t="shared" ref="H71:H102" si="25">IF(IF((H$3*10^12-$A72)*(H$3*10^12-$A71)*-1&lt;0,0,1)*IF(ABS(H$3*10^12-$A72)&gt;(H$3*10^12-$A71),$A71,$A72)=H72,0,IF((H$3*10^12-$A72)*(H$3*10^12-$A71)*-1&lt;0,0,1)*IF(ABS(H$3*10^12-$A72)&gt;(H$3*10^12-$A71),$A71,$A72))</f>
        <v>0</v>
      </c>
      <c r="I71">
        <f t="shared" ref="I71:I102" si="26">IF(IF((I$3*10^12-$A72)*(I$3*10^12-$A71)*-1&lt;0,0,1)*IF(ABS(I$3*10^12-$A72)&gt;(I$3*10^12-$A71),$A71,$A72)=I72,0,IF((I$3*10^12-$A72)*(I$3*10^12-$A71)*-1&lt;0,0,1)*IF(ABS(I$3*10^12-$A72)&gt;(I$3*10^12-$A71),$A71,$A72))</f>
        <v>0</v>
      </c>
      <c r="J71">
        <f t="shared" ref="J71:J102" si="27">IF(IF((J$3*10^12-$A72)*(J$3*10^12-$A71)*-1&lt;0,0,1)*IF(ABS(J$3*10^12-$A72)&gt;(J$3*10^12-$A71),$A71,$A72)=J72,0,IF((J$3*10^12-$A72)*(J$3*10^12-$A71)*-1&lt;0,0,1)*IF(ABS(J$3*10^12-$A72)&gt;(J$3*10^12-$A71),$A71,$A72))</f>
        <v>0</v>
      </c>
      <c r="K71">
        <f t="shared" si="18"/>
        <v>0</v>
      </c>
      <c r="L71">
        <f t="shared" si="18"/>
        <v>0</v>
      </c>
      <c r="M71">
        <f t="shared" si="20"/>
        <v>0</v>
      </c>
      <c r="N71" t="e">
        <f t="shared" si="21"/>
        <v>#REF!</v>
      </c>
    </row>
    <row r="72" spans="1:14" x14ac:dyDescent="0.25">
      <c r="A72">
        <f t="shared" si="14"/>
        <v>150000</v>
      </c>
      <c r="B72">
        <f t="shared" si="22"/>
        <v>0</v>
      </c>
      <c r="C72">
        <f t="shared" si="23"/>
        <v>0</v>
      </c>
      <c r="D72">
        <f t="shared" si="23"/>
        <v>0</v>
      </c>
      <c r="E72">
        <f t="shared" si="23"/>
        <v>0</v>
      </c>
      <c r="F72">
        <f t="shared" si="23"/>
        <v>0</v>
      </c>
      <c r="G72">
        <f t="shared" si="24"/>
        <v>0</v>
      </c>
      <c r="H72">
        <f t="shared" si="25"/>
        <v>0</v>
      </c>
      <c r="I72">
        <f t="shared" si="26"/>
        <v>0</v>
      </c>
      <c r="J72">
        <f t="shared" si="27"/>
        <v>0</v>
      </c>
      <c r="K72">
        <f t="shared" si="18"/>
        <v>0</v>
      </c>
      <c r="L72">
        <f t="shared" si="18"/>
        <v>0</v>
      </c>
      <c r="M72">
        <f t="shared" si="20"/>
        <v>0</v>
      </c>
      <c r="N72" t="e">
        <f t="shared" si="21"/>
        <v>#REF!</v>
      </c>
    </row>
    <row r="73" spans="1:14" x14ac:dyDescent="0.25">
      <c r="A73">
        <f t="shared" si="14"/>
        <v>180000</v>
      </c>
      <c r="B73">
        <f t="shared" si="22"/>
        <v>0</v>
      </c>
      <c r="C73">
        <f t="shared" si="23"/>
        <v>0</v>
      </c>
      <c r="D73">
        <f t="shared" si="23"/>
        <v>0</v>
      </c>
      <c r="E73">
        <f t="shared" si="23"/>
        <v>0</v>
      </c>
      <c r="F73">
        <f t="shared" si="23"/>
        <v>0</v>
      </c>
      <c r="G73">
        <f t="shared" si="24"/>
        <v>0</v>
      </c>
      <c r="H73">
        <f t="shared" si="25"/>
        <v>0</v>
      </c>
      <c r="I73">
        <f t="shared" si="26"/>
        <v>0</v>
      </c>
      <c r="J73">
        <f t="shared" si="27"/>
        <v>0</v>
      </c>
      <c r="K73">
        <f t="shared" si="18"/>
        <v>0</v>
      </c>
      <c r="L73">
        <f t="shared" si="18"/>
        <v>0</v>
      </c>
      <c r="M73">
        <f t="shared" si="20"/>
        <v>0</v>
      </c>
      <c r="N73" t="e">
        <f t="shared" si="21"/>
        <v>#REF!</v>
      </c>
    </row>
    <row r="74" spans="1:14" x14ac:dyDescent="0.25">
      <c r="A74">
        <f t="shared" si="14"/>
        <v>220000</v>
      </c>
      <c r="B74">
        <f t="shared" si="22"/>
        <v>0</v>
      </c>
      <c r="C74">
        <f t="shared" si="23"/>
        <v>0</v>
      </c>
      <c r="D74">
        <f t="shared" si="23"/>
        <v>0</v>
      </c>
      <c r="E74">
        <f t="shared" si="23"/>
        <v>0</v>
      </c>
      <c r="F74">
        <f t="shared" si="23"/>
        <v>0</v>
      </c>
      <c r="G74">
        <f t="shared" si="24"/>
        <v>0</v>
      </c>
      <c r="H74">
        <f t="shared" si="25"/>
        <v>0</v>
      </c>
      <c r="I74">
        <f t="shared" si="26"/>
        <v>0</v>
      </c>
      <c r="J74">
        <f t="shared" si="27"/>
        <v>0</v>
      </c>
      <c r="K74">
        <f t="shared" si="18"/>
        <v>0</v>
      </c>
      <c r="L74">
        <f t="shared" si="18"/>
        <v>0</v>
      </c>
      <c r="M74">
        <f t="shared" si="20"/>
        <v>0</v>
      </c>
      <c r="N74" t="e">
        <f t="shared" si="21"/>
        <v>#REF!</v>
      </c>
    </row>
    <row r="75" spans="1:14" x14ac:dyDescent="0.25">
      <c r="A75">
        <f t="shared" si="14"/>
        <v>270000</v>
      </c>
      <c r="B75">
        <f t="shared" si="22"/>
        <v>0</v>
      </c>
      <c r="C75">
        <f t="shared" si="23"/>
        <v>0</v>
      </c>
      <c r="D75">
        <f t="shared" si="23"/>
        <v>0</v>
      </c>
      <c r="E75">
        <f t="shared" si="23"/>
        <v>0</v>
      </c>
      <c r="F75">
        <f t="shared" si="23"/>
        <v>0</v>
      </c>
      <c r="G75">
        <f t="shared" si="24"/>
        <v>0</v>
      </c>
      <c r="H75">
        <f t="shared" si="25"/>
        <v>0</v>
      </c>
      <c r="I75">
        <f t="shared" si="26"/>
        <v>0</v>
      </c>
      <c r="J75">
        <f t="shared" si="27"/>
        <v>0</v>
      </c>
      <c r="K75">
        <f t="shared" si="18"/>
        <v>0</v>
      </c>
      <c r="L75">
        <f t="shared" si="18"/>
        <v>0</v>
      </c>
      <c r="M75">
        <f t="shared" si="20"/>
        <v>0</v>
      </c>
      <c r="N75" t="e">
        <f t="shared" si="21"/>
        <v>#REF!</v>
      </c>
    </row>
    <row r="76" spans="1:14" x14ac:dyDescent="0.25">
      <c r="A76">
        <f t="shared" si="14"/>
        <v>330000</v>
      </c>
      <c r="B76">
        <f t="shared" si="22"/>
        <v>0</v>
      </c>
      <c r="C76">
        <f t="shared" si="23"/>
        <v>0</v>
      </c>
      <c r="D76">
        <f t="shared" si="23"/>
        <v>0</v>
      </c>
      <c r="E76">
        <f t="shared" si="23"/>
        <v>0</v>
      </c>
      <c r="F76">
        <f t="shared" si="23"/>
        <v>0</v>
      </c>
      <c r="G76">
        <f t="shared" si="24"/>
        <v>0</v>
      </c>
      <c r="H76">
        <f t="shared" si="25"/>
        <v>0</v>
      </c>
      <c r="I76">
        <f t="shared" si="26"/>
        <v>0</v>
      </c>
      <c r="J76">
        <f t="shared" si="27"/>
        <v>0</v>
      </c>
      <c r="K76">
        <f t="shared" si="18"/>
        <v>0</v>
      </c>
      <c r="L76">
        <f t="shared" si="18"/>
        <v>0</v>
      </c>
      <c r="M76">
        <f t="shared" si="20"/>
        <v>0</v>
      </c>
      <c r="N76" t="e">
        <f t="shared" si="21"/>
        <v>#REF!</v>
      </c>
    </row>
    <row r="77" spans="1:14" x14ac:dyDescent="0.25">
      <c r="A77">
        <f t="shared" si="14"/>
        <v>390000</v>
      </c>
      <c r="B77">
        <f t="shared" si="22"/>
        <v>0</v>
      </c>
      <c r="C77">
        <f t="shared" si="23"/>
        <v>0</v>
      </c>
      <c r="D77">
        <f t="shared" si="23"/>
        <v>0</v>
      </c>
      <c r="E77">
        <f t="shared" si="23"/>
        <v>0</v>
      </c>
      <c r="F77">
        <f t="shared" si="23"/>
        <v>0</v>
      </c>
      <c r="G77">
        <f t="shared" si="24"/>
        <v>0</v>
      </c>
      <c r="H77">
        <f t="shared" si="25"/>
        <v>0</v>
      </c>
      <c r="I77">
        <f t="shared" si="26"/>
        <v>0</v>
      </c>
      <c r="J77">
        <f t="shared" si="27"/>
        <v>0</v>
      </c>
      <c r="K77">
        <f t="shared" si="18"/>
        <v>0</v>
      </c>
      <c r="L77">
        <f t="shared" si="18"/>
        <v>0</v>
      </c>
      <c r="M77">
        <f t="shared" si="20"/>
        <v>0</v>
      </c>
      <c r="N77" t="e">
        <f t="shared" si="21"/>
        <v>#REF!</v>
      </c>
    </row>
    <row r="78" spans="1:14" x14ac:dyDescent="0.25">
      <c r="A78">
        <f t="shared" si="14"/>
        <v>470000</v>
      </c>
      <c r="B78">
        <f t="shared" si="22"/>
        <v>0</v>
      </c>
      <c r="C78">
        <f t="shared" si="23"/>
        <v>0</v>
      </c>
      <c r="D78">
        <f t="shared" si="23"/>
        <v>0</v>
      </c>
      <c r="E78">
        <f t="shared" si="23"/>
        <v>0</v>
      </c>
      <c r="F78">
        <f t="shared" si="23"/>
        <v>0</v>
      </c>
      <c r="G78">
        <f t="shared" si="24"/>
        <v>0</v>
      </c>
      <c r="H78">
        <f t="shared" si="25"/>
        <v>0</v>
      </c>
      <c r="I78">
        <f t="shared" si="26"/>
        <v>0</v>
      </c>
      <c r="J78">
        <f t="shared" si="27"/>
        <v>0</v>
      </c>
      <c r="K78">
        <f t="shared" si="18"/>
        <v>0</v>
      </c>
      <c r="L78">
        <f t="shared" si="18"/>
        <v>0</v>
      </c>
      <c r="M78">
        <f t="shared" si="20"/>
        <v>0</v>
      </c>
      <c r="N78" t="e">
        <f t="shared" si="21"/>
        <v>#REF!</v>
      </c>
    </row>
    <row r="79" spans="1:14" x14ac:dyDescent="0.25">
      <c r="A79">
        <f t="shared" si="14"/>
        <v>560000</v>
      </c>
      <c r="B79">
        <f t="shared" si="22"/>
        <v>0</v>
      </c>
      <c r="C79">
        <f t="shared" si="23"/>
        <v>0</v>
      </c>
      <c r="D79">
        <f t="shared" si="23"/>
        <v>0</v>
      </c>
      <c r="E79">
        <f t="shared" si="23"/>
        <v>0</v>
      </c>
      <c r="F79">
        <f t="shared" si="23"/>
        <v>0</v>
      </c>
      <c r="G79">
        <f t="shared" si="24"/>
        <v>0</v>
      </c>
      <c r="H79">
        <f t="shared" si="25"/>
        <v>0</v>
      </c>
      <c r="I79">
        <f t="shared" si="26"/>
        <v>0</v>
      </c>
      <c r="J79">
        <f t="shared" si="27"/>
        <v>0</v>
      </c>
      <c r="K79">
        <f t="shared" si="18"/>
        <v>0</v>
      </c>
      <c r="L79">
        <f t="shared" si="18"/>
        <v>0</v>
      </c>
      <c r="M79">
        <f t="shared" si="20"/>
        <v>0</v>
      </c>
      <c r="N79" t="e">
        <f t="shared" si="21"/>
        <v>#REF!</v>
      </c>
    </row>
    <row r="80" spans="1:14" x14ac:dyDescent="0.25">
      <c r="A80">
        <f t="shared" si="14"/>
        <v>680000</v>
      </c>
      <c r="B80">
        <f t="shared" si="22"/>
        <v>0</v>
      </c>
      <c r="C80">
        <f t="shared" si="23"/>
        <v>0</v>
      </c>
      <c r="D80">
        <f t="shared" si="23"/>
        <v>0</v>
      </c>
      <c r="E80">
        <f t="shared" si="23"/>
        <v>0</v>
      </c>
      <c r="F80">
        <f t="shared" si="23"/>
        <v>0</v>
      </c>
      <c r="G80">
        <f t="shared" si="24"/>
        <v>0</v>
      </c>
      <c r="H80">
        <f t="shared" si="25"/>
        <v>0</v>
      </c>
      <c r="I80">
        <f t="shared" si="26"/>
        <v>0</v>
      </c>
      <c r="J80">
        <f t="shared" si="27"/>
        <v>0</v>
      </c>
      <c r="K80">
        <f t="shared" si="18"/>
        <v>0</v>
      </c>
      <c r="L80">
        <f t="shared" si="18"/>
        <v>0</v>
      </c>
      <c r="M80">
        <f t="shared" si="20"/>
        <v>0</v>
      </c>
      <c r="N80" t="e">
        <f t="shared" si="21"/>
        <v>#REF!</v>
      </c>
    </row>
    <row r="81" spans="1:14" x14ac:dyDescent="0.25">
      <c r="A81">
        <f t="shared" si="14"/>
        <v>820000</v>
      </c>
      <c r="B81">
        <f t="shared" si="22"/>
        <v>0</v>
      </c>
      <c r="C81">
        <f t="shared" si="23"/>
        <v>0</v>
      </c>
      <c r="D81">
        <f t="shared" si="23"/>
        <v>0</v>
      </c>
      <c r="E81">
        <f t="shared" si="23"/>
        <v>0</v>
      </c>
      <c r="F81">
        <f t="shared" si="23"/>
        <v>0</v>
      </c>
      <c r="G81">
        <f t="shared" si="24"/>
        <v>0</v>
      </c>
      <c r="H81">
        <f t="shared" si="25"/>
        <v>0</v>
      </c>
      <c r="I81">
        <f t="shared" si="26"/>
        <v>0</v>
      </c>
      <c r="J81">
        <f t="shared" si="27"/>
        <v>0</v>
      </c>
      <c r="K81">
        <f t="shared" si="18"/>
        <v>0</v>
      </c>
      <c r="L81">
        <f t="shared" si="18"/>
        <v>0</v>
      </c>
      <c r="M81">
        <f t="shared" si="20"/>
        <v>0</v>
      </c>
      <c r="N81" t="e">
        <f t="shared" si="21"/>
        <v>#REF!</v>
      </c>
    </row>
    <row r="82" spans="1:14" x14ac:dyDescent="0.25">
      <c r="A82">
        <f t="shared" si="14"/>
        <v>1000000</v>
      </c>
      <c r="B82">
        <f t="shared" si="22"/>
        <v>0</v>
      </c>
      <c r="C82">
        <f t="shared" si="23"/>
        <v>0</v>
      </c>
      <c r="D82">
        <f t="shared" si="23"/>
        <v>0</v>
      </c>
      <c r="E82">
        <f t="shared" si="23"/>
        <v>0</v>
      </c>
      <c r="F82">
        <f t="shared" si="23"/>
        <v>0</v>
      </c>
      <c r="G82">
        <f t="shared" si="24"/>
        <v>0</v>
      </c>
      <c r="H82">
        <f t="shared" si="25"/>
        <v>0</v>
      </c>
      <c r="I82">
        <f t="shared" si="26"/>
        <v>0</v>
      </c>
      <c r="J82">
        <f t="shared" si="27"/>
        <v>0</v>
      </c>
      <c r="K82">
        <f t="shared" si="18"/>
        <v>0</v>
      </c>
      <c r="L82">
        <f t="shared" si="18"/>
        <v>0</v>
      </c>
      <c r="M82">
        <f t="shared" si="20"/>
        <v>0</v>
      </c>
      <c r="N82" t="e">
        <f t="shared" si="21"/>
        <v>#REF!</v>
      </c>
    </row>
    <row r="83" spans="1:14" x14ac:dyDescent="0.25">
      <c r="A83">
        <f t="shared" si="14"/>
        <v>1200000</v>
      </c>
      <c r="B83">
        <f t="shared" si="22"/>
        <v>0</v>
      </c>
      <c r="C83">
        <f t="shared" si="23"/>
        <v>0</v>
      </c>
      <c r="D83">
        <f t="shared" si="23"/>
        <v>0</v>
      </c>
      <c r="E83">
        <f t="shared" si="23"/>
        <v>0</v>
      </c>
      <c r="F83">
        <f t="shared" si="23"/>
        <v>0</v>
      </c>
      <c r="G83">
        <f t="shared" si="24"/>
        <v>0</v>
      </c>
      <c r="H83">
        <f t="shared" si="25"/>
        <v>0</v>
      </c>
      <c r="I83">
        <f t="shared" si="26"/>
        <v>0</v>
      </c>
      <c r="J83">
        <f t="shared" si="27"/>
        <v>0</v>
      </c>
      <c r="K83">
        <f t="shared" si="18"/>
        <v>0</v>
      </c>
      <c r="L83">
        <f t="shared" si="18"/>
        <v>0</v>
      </c>
      <c r="M83">
        <f t="shared" si="20"/>
        <v>0</v>
      </c>
      <c r="N83" t="e">
        <f t="shared" si="21"/>
        <v>#REF!</v>
      </c>
    </row>
    <row r="84" spans="1:14" x14ac:dyDescent="0.25">
      <c r="A84">
        <f t="shared" si="14"/>
        <v>1500000</v>
      </c>
      <c r="B84">
        <f t="shared" si="22"/>
        <v>0</v>
      </c>
      <c r="C84">
        <f t="shared" si="23"/>
        <v>0</v>
      </c>
      <c r="D84">
        <f t="shared" si="23"/>
        <v>0</v>
      </c>
      <c r="E84">
        <f t="shared" si="23"/>
        <v>0</v>
      </c>
      <c r="F84">
        <f t="shared" si="23"/>
        <v>0</v>
      </c>
      <c r="G84">
        <f t="shared" si="24"/>
        <v>0</v>
      </c>
      <c r="H84">
        <f t="shared" si="25"/>
        <v>0</v>
      </c>
      <c r="I84">
        <f t="shared" si="26"/>
        <v>0</v>
      </c>
      <c r="J84">
        <f t="shared" si="27"/>
        <v>0</v>
      </c>
      <c r="K84">
        <f t="shared" si="18"/>
        <v>0</v>
      </c>
      <c r="L84">
        <f t="shared" si="18"/>
        <v>0</v>
      </c>
      <c r="M84">
        <f t="shared" si="20"/>
        <v>0</v>
      </c>
      <c r="N84" t="e">
        <f t="shared" si="21"/>
        <v>#REF!</v>
      </c>
    </row>
    <row r="85" spans="1:14" x14ac:dyDescent="0.25">
      <c r="A85">
        <f t="shared" si="14"/>
        <v>1800000</v>
      </c>
      <c r="B85">
        <f t="shared" si="22"/>
        <v>0</v>
      </c>
      <c r="C85">
        <f t="shared" si="23"/>
        <v>0</v>
      </c>
      <c r="D85">
        <f t="shared" si="23"/>
        <v>0</v>
      </c>
      <c r="E85">
        <f t="shared" si="23"/>
        <v>0</v>
      </c>
      <c r="F85">
        <f t="shared" si="23"/>
        <v>0</v>
      </c>
      <c r="G85">
        <f t="shared" si="24"/>
        <v>0</v>
      </c>
      <c r="H85">
        <f t="shared" si="25"/>
        <v>0</v>
      </c>
      <c r="I85">
        <f t="shared" si="26"/>
        <v>0</v>
      </c>
      <c r="J85">
        <f t="shared" si="27"/>
        <v>0</v>
      </c>
      <c r="K85">
        <f t="shared" si="18"/>
        <v>0</v>
      </c>
      <c r="L85">
        <f t="shared" si="18"/>
        <v>0</v>
      </c>
      <c r="M85">
        <f t="shared" si="20"/>
        <v>0</v>
      </c>
      <c r="N85" t="e">
        <f t="shared" si="21"/>
        <v>#REF!</v>
      </c>
    </row>
    <row r="86" spans="1:14" x14ac:dyDescent="0.25">
      <c r="A86">
        <f t="shared" si="14"/>
        <v>2200000</v>
      </c>
      <c r="B86">
        <f t="shared" si="22"/>
        <v>0</v>
      </c>
      <c r="C86">
        <f t="shared" si="23"/>
        <v>0</v>
      </c>
      <c r="D86">
        <f t="shared" si="23"/>
        <v>0</v>
      </c>
      <c r="E86">
        <f t="shared" si="23"/>
        <v>0</v>
      </c>
      <c r="F86">
        <f t="shared" si="23"/>
        <v>0</v>
      </c>
      <c r="G86">
        <f t="shared" si="24"/>
        <v>0</v>
      </c>
      <c r="H86">
        <f t="shared" si="25"/>
        <v>0</v>
      </c>
      <c r="I86">
        <f t="shared" si="26"/>
        <v>0</v>
      </c>
      <c r="J86">
        <f t="shared" si="27"/>
        <v>0</v>
      </c>
      <c r="K86">
        <f t="shared" si="18"/>
        <v>0</v>
      </c>
      <c r="L86">
        <f t="shared" si="18"/>
        <v>0</v>
      </c>
      <c r="M86">
        <f t="shared" si="20"/>
        <v>0</v>
      </c>
      <c r="N86" t="e">
        <f t="shared" si="21"/>
        <v>#REF!</v>
      </c>
    </row>
    <row r="87" spans="1:14" x14ac:dyDescent="0.25">
      <c r="A87">
        <f t="shared" si="14"/>
        <v>2700000</v>
      </c>
      <c r="B87">
        <f t="shared" si="22"/>
        <v>0</v>
      </c>
      <c r="C87">
        <f t="shared" si="23"/>
        <v>0</v>
      </c>
      <c r="D87">
        <f t="shared" si="23"/>
        <v>0</v>
      </c>
      <c r="E87">
        <f t="shared" si="23"/>
        <v>0</v>
      </c>
      <c r="F87">
        <f t="shared" si="23"/>
        <v>0</v>
      </c>
      <c r="G87">
        <f t="shared" si="24"/>
        <v>0</v>
      </c>
      <c r="H87">
        <f t="shared" si="25"/>
        <v>0</v>
      </c>
      <c r="I87">
        <f t="shared" si="26"/>
        <v>0</v>
      </c>
      <c r="J87">
        <f t="shared" si="27"/>
        <v>0</v>
      </c>
      <c r="K87">
        <f t="shared" si="18"/>
        <v>0</v>
      </c>
      <c r="L87">
        <f t="shared" si="18"/>
        <v>0</v>
      </c>
      <c r="M87">
        <f t="shared" si="20"/>
        <v>0</v>
      </c>
      <c r="N87" t="e">
        <f t="shared" si="21"/>
        <v>#REF!</v>
      </c>
    </row>
    <row r="88" spans="1:14" x14ac:dyDescent="0.25">
      <c r="A88">
        <f t="shared" si="14"/>
        <v>3300000</v>
      </c>
      <c r="B88">
        <f t="shared" si="22"/>
        <v>0</v>
      </c>
      <c r="C88">
        <f t="shared" si="23"/>
        <v>0</v>
      </c>
      <c r="D88">
        <f t="shared" si="23"/>
        <v>0</v>
      </c>
      <c r="E88">
        <f t="shared" si="23"/>
        <v>0</v>
      </c>
      <c r="F88">
        <f t="shared" si="23"/>
        <v>0</v>
      </c>
      <c r="G88">
        <f t="shared" si="24"/>
        <v>0</v>
      </c>
      <c r="H88">
        <f t="shared" si="25"/>
        <v>0</v>
      </c>
      <c r="I88">
        <f t="shared" si="26"/>
        <v>0</v>
      </c>
      <c r="J88">
        <f t="shared" si="27"/>
        <v>0</v>
      </c>
      <c r="K88">
        <f t="shared" si="18"/>
        <v>0</v>
      </c>
      <c r="L88">
        <f t="shared" si="18"/>
        <v>0</v>
      </c>
      <c r="M88">
        <f t="shared" si="20"/>
        <v>0</v>
      </c>
      <c r="N88" t="e">
        <f t="shared" si="21"/>
        <v>#REF!</v>
      </c>
    </row>
    <row r="89" spans="1:14" x14ac:dyDescent="0.25">
      <c r="A89">
        <f t="shared" si="14"/>
        <v>3900000</v>
      </c>
      <c r="B89">
        <f t="shared" si="22"/>
        <v>0</v>
      </c>
      <c r="C89">
        <f t="shared" si="23"/>
        <v>0</v>
      </c>
      <c r="D89">
        <f t="shared" si="23"/>
        <v>0</v>
      </c>
      <c r="E89">
        <f t="shared" si="23"/>
        <v>0</v>
      </c>
      <c r="F89">
        <f t="shared" si="23"/>
        <v>0</v>
      </c>
      <c r="G89">
        <f t="shared" si="24"/>
        <v>0</v>
      </c>
      <c r="H89">
        <f t="shared" si="25"/>
        <v>0</v>
      </c>
      <c r="I89">
        <f t="shared" si="26"/>
        <v>0</v>
      </c>
      <c r="J89">
        <f t="shared" si="27"/>
        <v>0</v>
      </c>
      <c r="K89">
        <f t="shared" si="18"/>
        <v>0</v>
      </c>
      <c r="L89">
        <f t="shared" si="18"/>
        <v>0</v>
      </c>
      <c r="M89">
        <f t="shared" si="20"/>
        <v>0</v>
      </c>
      <c r="N89" t="e">
        <f t="shared" si="21"/>
        <v>#REF!</v>
      </c>
    </row>
    <row r="90" spans="1:14" x14ac:dyDescent="0.25">
      <c r="A90">
        <f t="shared" si="14"/>
        <v>4700000</v>
      </c>
      <c r="B90">
        <f t="shared" si="22"/>
        <v>0</v>
      </c>
      <c r="C90">
        <f t="shared" si="23"/>
        <v>0</v>
      </c>
      <c r="D90">
        <f t="shared" si="23"/>
        <v>0</v>
      </c>
      <c r="E90">
        <f t="shared" si="23"/>
        <v>0</v>
      </c>
      <c r="F90">
        <f t="shared" si="23"/>
        <v>0</v>
      </c>
      <c r="G90">
        <f t="shared" si="24"/>
        <v>0</v>
      </c>
      <c r="H90">
        <f t="shared" si="25"/>
        <v>0</v>
      </c>
      <c r="I90">
        <f t="shared" si="26"/>
        <v>0</v>
      </c>
      <c r="J90">
        <f t="shared" si="27"/>
        <v>0</v>
      </c>
      <c r="K90">
        <f t="shared" si="18"/>
        <v>0</v>
      </c>
      <c r="L90">
        <f t="shared" si="18"/>
        <v>0</v>
      </c>
      <c r="M90">
        <f t="shared" si="20"/>
        <v>0</v>
      </c>
      <c r="N90" t="e">
        <f t="shared" si="21"/>
        <v>#REF!</v>
      </c>
    </row>
    <row r="91" spans="1:14" x14ac:dyDescent="0.25">
      <c r="A91">
        <f t="shared" si="14"/>
        <v>5600000</v>
      </c>
      <c r="B91">
        <f t="shared" si="22"/>
        <v>0</v>
      </c>
      <c r="C91">
        <f t="shared" si="23"/>
        <v>0</v>
      </c>
      <c r="D91">
        <f t="shared" si="23"/>
        <v>0</v>
      </c>
      <c r="E91">
        <f t="shared" si="23"/>
        <v>0</v>
      </c>
      <c r="F91">
        <f t="shared" si="23"/>
        <v>0</v>
      </c>
      <c r="G91">
        <f t="shared" si="24"/>
        <v>0</v>
      </c>
      <c r="H91">
        <f t="shared" si="25"/>
        <v>0</v>
      </c>
      <c r="I91">
        <f t="shared" si="26"/>
        <v>0</v>
      </c>
      <c r="J91">
        <f t="shared" si="27"/>
        <v>0</v>
      </c>
      <c r="K91">
        <f t="shared" si="18"/>
        <v>0</v>
      </c>
      <c r="L91">
        <f t="shared" si="18"/>
        <v>0</v>
      </c>
      <c r="M91">
        <f t="shared" si="20"/>
        <v>0</v>
      </c>
      <c r="N91" t="e">
        <f t="shared" si="21"/>
        <v>#REF!</v>
      </c>
    </row>
    <row r="92" spans="1:14" x14ac:dyDescent="0.25">
      <c r="A92">
        <f t="shared" si="14"/>
        <v>6800000</v>
      </c>
      <c r="B92">
        <f t="shared" si="22"/>
        <v>0</v>
      </c>
      <c r="C92">
        <f t="shared" si="23"/>
        <v>0</v>
      </c>
      <c r="D92">
        <f t="shared" si="23"/>
        <v>0</v>
      </c>
      <c r="E92">
        <f t="shared" si="23"/>
        <v>0</v>
      </c>
      <c r="F92">
        <f t="shared" si="23"/>
        <v>0</v>
      </c>
      <c r="G92">
        <f t="shared" si="24"/>
        <v>0</v>
      </c>
      <c r="H92">
        <f t="shared" si="25"/>
        <v>0</v>
      </c>
      <c r="I92">
        <f t="shared" si="26"/>
        <v>0</v>
      </c>
      <c r="J92">
        <f t="shared" si="27"/>
        <v>0</v>
      </c>
      <c r="K92">
        <f t="shared" si="18"/>
        <v>0</v>
      </c>
      <c r="L92">
        <f t="shared" si="18"/>
        <v>0</v>
      </c>
      <c r="M92">
        <f t="shared" si="20"/>
        <v>0</v>
      </c>
      <c r="N92" t="e">
        <f t="shared" si="21"/>
        <v>#REF!</v>
      </c>
    </row>
    <row r="93" spans="1:14" x14ac:dyDescent="0.25">
      <c r="A93">
        <f t="shared" si="14"/>
        <v>8200000</v>
      </c>
      <c r="B93">
        <f t="shared" si="22"/>
        <v>0</v>
      </c>
      <c r="C93">
        <f t="shared" si="23"/>
        <v>0</v>
      </c>
      <c r="D93">
        <f t="shared" si="23"/>
        <v>0</v>
      </c>
      <c r="E93">
        <f t="shared" si="23"/>
        <v>0</v>
      </c>
      <c r="F93">
        <f t="shared" si="23"/>
        <v>0</v>
      </c>
      <c r="G93">
        <f t="shared" si="24"/>
        <v>0</v>
      </c>
      <c r="H93">
        <f t="shared" si="25"/>
        <v>0</v>
      </c>
      <c r="I93">
        <f t="shared" si="26"/>
        <v>0</v>
      </c>
      <c r="J93">
        <f t="shared" si="27"/>
        <v>0</v>
      </c>
      <c r="K93">
        <f t="shared" si="18"/>
        <v>0</v>
      </c>
      <c r="L93">
        <f t="shared" si="18"/>
        <v>0</v>
      </c>
      <c r="M93">
        <f t="shared" si="20"/>
        <v>0</v>
      </c>
      <c r="N93" t="e">
        <f t="shared" si="21"/>
        <v>#REF!</v>
      </c>
    </row>
    <row r="94" spans="1:14" x14ac:dyDescent="0.25">
      <c r="A94">
        <f t="shared" si="14"/>
        <v>10000000</v>
      </c>
      <c r="B94">
        <f t="shared" si="22"/>
        <v>0</v>
      </c>
      <c r="C94">
        <f t="shared" si="23"/>
        <v>0</v>
      </c>
      <c r="D94">
        <f t="shared" si="23"/>
        <v>0</v>
      </c>
      <c r="E94">
        <f t="shared" si="23"/>
        <v>0</v>
      </c>
      <c r="F94">
        <f t="shared" si="23"/>
        <v>0</v>
      </c>
      <c r="G94">
        <f t="shared" si="24"/>
        <v>0</v>
      </c>
      <c r="H94">
        <f t="shared" si="25"/>
        <v>0</v>
      </c>
      <c r="I94">
        <f t="shared" si="26"/>
        <v>0</v>
      </c>
      <c r="J94">
        <f t="shared" si="27"/>
        <v>0</v>
      </c>
      <c r="K94">
        <f t="shared" si="18"/>
        <v>0</v>
      </c>
      <c r="L94">
        <f t="shared" si="18"/>
        <v>0</v>
      </c>
      <c r="M94">
        <f t="shared" si="20"/>
        <v>0</v>
      </c>
      <c r="N94" t="e">
        <f t="shared" si="21"/>
        <v>#REF!</v>
      </c>
    </row>
    <row r="95" spans="1:14" x14ac:dyDescent="0.25">
      <c r="A95">
        <f t="shared" si="14"/>
        <v>12000000</v>
      </c>
      <c r="B95">
        <f t="shared" si="22"/>
        <v>0</v>
      </c>
      <c r="C95">
        <f t="shared" si="23"/>
        <v>0</v>
      </c>
      <c r="D95">
        <f t="shared" si="23"/>
        <v>0</v>
      </c>
      <c r="E95">
        <f t="shared" si="23"/>
        <v>0</v>
      </c>
      <c r="F95">
        <f t="shared" si="23"/>
        <v>0</v>
      </c>
      <c r="G95">
        <f t="shared" si="24"/>
        <v>0</v>
      </c>
      <c r="H95">
        <f t="shared" si="25"/>
        <v>0</v>
      </c>
      <c r="I95">
        <f t="shared" si="26"/>
        <v>0</v>
      </c>
      <c r="J95">
        <f t="shared" si="27"/>
        <v>0</v>
      </c>
      <c r="K95">
        <f t="shared" si="18"/>
        <v>0</v>
      </c>
      <c r="L95">
        <f t="shared" si="18"/>
        <v>0</v>
      </c>
      <c r="M95">
        <f t="shared" si="20"/>
        <v>0</v>
      </c>
      <c r="N95" t="e">
        <f t="shared" si="21"/>
        <v>#REF!</v>
      </c>
    </row>
    <row r="96" spans="1:14" x14ac:dyDescent="0.25">
      <c r="A96">
        <f t="shared" si="14"/>
        <v>15000000</v>
      </c>
      <c r="B96">
        <f t="shared" si="22"/>
        <v>0</v>
      </c>
      <c r="C96">
        <f t="shared" si="23"/>
        <v>0</v>
      </c>
      <c r="D96">
        <f t="shared" si="23"/>
        <v>0</v>
      </c>
      <c r="E96">
        <f t="shared" si="23"/>
        <v>0</v>
      </c>
      <c r="F96">
        <f t="shared" si="23"/>
        <v>0</v>
      </c>
      <c r="G96">
        <f t="shared" si="24"/>
        <v>0</v>
      </c>
      <c r="H96">
        <f t="shared" si="25"/>
        <v>0</v>
      </c>
      <c r="I96">
        <f t="shared" si="26"/>
        <v>0</v>
      </c>
      <c r="J96">
        <f t="shared" si="27"/>
        <v>0</v>
      </c>
      <c r="K96">
        <f t="shared" si="18"/>
        <v>0</v>
      </c>
      <c r="L96">
        <f t="shared" si="18"/>
        <v>0</v>
      </c>
      <c r="M96">
        <f t="shared" si="20"/>
        <v>0</v>
      </c>
      <c r="N96" t="e">
        <f t="shared" si="21"/>
        <v>#REF!</v>
      </c>
    </row>
    <row r="97" spans="1:14" x14ac:dyDescent="0.25">
      <c r="A97">
        <f t="shared" si="14"/>
        <v>18000000</v>
      </c>
      <c r="B97">
        <f t="shared" si="22"/>
        <v>0</v>
      </c>
      <c r="C97">
        <f t="shared" si="23"/>
        <v>0</v>
      </c>
      <c r="D97">
        <f t="shared" si="23"/>
        <v>0</v>
      </c>
      <c r="E97">
        <f t="shared" si="23"/>
        <v>0</v>
      </c>
      <c r="F97">
        <f t="shared" si="23"/>
        <v>0</v>
      </c>
      <c r="G97">
        <f t="shared" si="24"/>
        <v>0</v>
      </c>
      <c r="H97">
        <f t="shared" si="25"/>
        <v>0</v>
      </c>
      <c r="I97">
        <f t="shared" si="26"/>
        <v>0</v>
      </c>
      <c r="J97">
        <f t="shared" si="27"/>
        <v>0</v>
      </c>
      <c r="K97">
        <f t="shared" si="18"/>
        <v>0</v>
      </c>
      <c r="L97">
        <f t="shared" si="18"/>
        <v>0</v>
      </c>
      <c r="M97">
        <f t="shared" si="20"/>
        <v>0</v>
      </c>
      <c r="N97" t="e">
        <f t="shared" si="21"/>
        <v>#REF!</v>
      </c>
    </row>
    <row r="98" spans="1:14" x14ac:dyDescent="0.25">
      <c r="A98">
        <f t="shared" si="14"/>
        <v>22000000</v>
      </c>
      <c r="B98">
        <f t="shared" si="22"/>
        <v>0</v>
      </c>
      <c r="C98">
        <f t="shared" si="23"/>
        <v>0</v>
      </c>
      <c r="D98">
        <f t="shared" si="23"/>
        <v>0</v>
      </c>
      <c r="E98">
        <f t="shared" si="23"/>
        <v>0</v>
      </c>
      <c r="F98">
        <f t="shared" si="23"/>
        <v>0</v>
      </c>
      <c r="G98">
        <f t="shared" si="24"/>
        <v>0</v>
      </c>
      <c r="H98">
        <f t="shared" si="25"/>
        <v>0</v>
      </c>
      <c r="I98">
        <f t="shared" si="26"/>
        <v>0</v>
      </c>
      <c r="J98">
        <f t="shared" si="27"/>
        <v>0</v>
      </c>
      <c r="K98">
        <f t="shared" si="18"/>
        <v>0</v>
      </c>
      <c r="L98">
        <f t="shared" si="18"/>
        <v>0</v>
      </c>
      <c r="M98">
        <f t="shared" si="20"/>
        <v>0</v>
      </c>
      <c r="N98" t="e">
        <f t="shared" si="21"/>
        <v>#REF!</v>
      </c>
    </row>
    <row r="99" spans="1:14" x14ac:dyDescent="0.25">
      <c r="A99">
        <f t="shared" ref="A99:A159" si="28">A87*10</f>
        <v>27000000</v>
      </c>
      <c r="B99">
        <f t="shared" si="22"/>
        <v>0</v>
      </c>
      <c r="C99">
        <f t="shared" si="23"/>
        <v>0</v>
      </c>
      <c r="D99">
        <f t="shared" si="23"/>
        <v>0</v>
      </c>
      <c r="E99">
        <f t="shared" si="23"/>
        <v>0</v>
      </c>
      <c r="F99">
        <f t="shared" si="23"/>
        <v>0</v>
      </c>
      <c r="G99">
        <f t="shared" si="24"/>
        <v>0</v>
      </c>
      <c r="H99">
        <f t="shared" si="25"/>
        <v>0</v>
      </c>
      <c r="I99">
        <f t="shared" si="26"/>
        <v>0</v>
      </c>
      <c r="J99">
        <f t="shared" si="27"/>
        <v>0</v>
      </c>
      <c r="K99">
        <f t="shared" si="18"/>
        <v>0</v>
      </c>
      <c r="L99">
        <f t="shared" si="18"/>
        <v>0</v>
      </c>
      <c r="M99">
        <f t="shared" si="20"/>
        <v>0</v>
      </c>
      <c r="N99" t="e">
        <f t="shared" si="21"/>
        <v>#REF!</v>
      </c>
    </row>
    <row r="100" spans="1:14" x14ac:dyDescent="0.25">
      <c r="A100">
        <f t="shared" si="28"/>
        <v>33000000</v>
      </c>
      <c r="B100">
        <f t="shared" si="22"/>
        <v>0</v>
      </c>
      <c r="C100">
        <f t="shared" si="23"/>
        <v>0</v>
      </c>
      <c r="D100">
        <f t="shared" si="23"/>
        <v>0</v>
      </c>
      <c r="E100">
        <f t="shared" si="23"/>
        <v>0</v>
      </c>
      <c r="F100">
        <f t="shared" si="23"/>
        <v>0</v>
      </c>
      <c r="G100">
        <f t="shared" si="24"/>
        <v>0</v>
      </c>
      <c r="H100">
        <f t="shared" si="25"/>
        <v>0</v>
      </c>
      <c r="I100">
        <f t="shared" si="26"/>
        <v>0</v>
      </c>
      <c r="J100">
        <f t="shared" si="27"/>
        <v>0</v>
      </c>
      <c r="K100">
        <f t="shared" si="18"/>
        <v>0</v>
      </c>
      <c r="L100">
        <f t="shared" si="18"/>
        <v>0</v>
      </c>
      <c r="M100">
        <f t="shared" si="20"/>
        <v>0</v>
      </c>
      <c r="N100" t="e">
        <f t="shared" si="21"/>
        <v>#REF!</v>
      </c>
    </row>
    <row r="101" spans="1:14" x14ac:dyDescent="0.25">
      <c r="A101">
        <f t="shared" si="28"/>
        <v>39000000</v>
      </c>
      <c r="B101">
        <f t="shared" si="22"/>
        <v>0</v>
      </c>
      <c r="C101">
        <f t="shared" si="23"/>
        <v>0</v>
      </c>
      <c r="D101">
        <f t="shared" si="23"/>
        <v>0</v>
      </c>
      <c r="E101">
        <f t="shared" si="23"/>
        <v>0</v>
      </c>
      <c r="F101">
        <f t="shared" si="23"/>
        <v>0</v>
      </c>
      <c r="G101">
        <f t="shared" si="24"/>
        <v>0</v>
      </c>
      <c r="H101">
        <f t="shared" si="25"/>
        <v>0</v>
      </c>
      <c r="I101">
        <f t="shared" si="26"/>
        <v>0</v>
      </c>
      <c r="J101">
        <f t="shared" si="27"/>
        <v>0</v>
      </c>
      <c r="K101">
        <f t="shared" si="18"/>
        <v>0</v>
      </c>
      <c r="L101">
        <f t="shared" si="18"/>
        <v>0</v>
      </c>
      <c r="M101">
        <f t="shared" si="20"/>
        <v>0</v>
      </c>
      <c r="N101" t="e">
        <f t="shared" si="21"/>
        <v>#REF!</v>
      </c>
    </row>
    <row r="102" spans="1:14" x14ac:dyDescent="0.25">
      <c r="A102">
        <f t="shared" si="28"/>
        <v>47000000</v>
      </c>
      <c r="B102">
        <f t="shared" si="22"/>
        <v>0</v>
      </c>
      <c r="C102">
        <f t="shared" si="23"/>
        <v>0</v>
      </c>
      <c r="D102">
        <f t="shared" si="23"/>
        <v>0</v>
      </c>
      <c r="E102">
        <f t="shared" si="23"/>
        <v>0</v>
      </c>
      <c r="F102">
        <f t="shared" si="23"/>
        <v>0</v>
      </c>
      <c r="G102">
        <f t="shared" si="24"/>
        <v>0</v>
      </c>
      <c r="H102">
        <f t="shared" si="25"/>
        <v>0</v>
      </c>
      <c r="I102">
        <f t="shared" si="26"/>
        <v>0</v>
      </c>
      <c r="J102">
        <f t="shared" si="27"/>
        <v>0</v>
      </c>
      <c r="K102">
        <f t="shared" si="18"/>
        <v>0</v>
      </c>
      <c r="L102">
        <f t="shared" si="18"/>
        <v>0</v>
      </c>
      <c r="M102">
        <f t="shared" ref="M102:M133" si="29">IF(IF((M$3*10^12-$A103)*(M$3*10^12-$A102)*-1&lt;0,0,1)*IF(ABS(M$3*10^12-$A103)&gt;(M$3*10^12-$A102),$A102,$A103)=M103,0,IF((M$3*10^12-$A103)*(M$3*10^12-$A102)*-1&lt;0,0,1)*IF(ABS(M$3*10^12-$A103)&gt;(M$3*10^12-$A102),$A102,$A103))</f>
        <v>0</v>
      </c>
      <c r="N102" t="e">
        <f t="shared" ref="N102:N133" si="30">IF(IF((N$3*10^12-$A103)*(N$3*10^12-$A102)*-1&lt;0,0,1)*IF(ABS(N$3*10^12-$A103)&gt;(N$3*10^12-$A102),$A102,$A103)=N103,0,IF((N$3*10^12-$A103)*(N$3*10^12-$A102)*-1&lt;0,0,1)*IF(ABS(N$3*10^12-$A103)&gt;(N$3*10^12-$A102),$A102,$A103))</f>
        <v>#REF!</v>
      </c>
    </row>
    <row r="103" spans="1:14" x14ac:dyDescent="0.25">
      <c r="A103">
        <f t="shared" si="28"/>
        <v>56000000</v>
      </c>
      <c r="B103">
        <f t="shared" si="22"/>
        <v>0</v>
      </c>
      <c r="C103">
        <f t="shared" si="23"/>
        <v>0</v>
      </c>
      <c r="D103">
        <f t="shared" si="23"/>
        <v>0</v>
      </c>
      <c r="E103">
        <f t="shared" si="23"/>
        <v>0</v>
      </c>
      <c r="F103">
        <f t="shared" si="23"/>
        <v>0</v>
      </c>
      <c r="G103">
        <f t="shared" ref="G103:G134" si="31">IF(IF((G$3*10^12-$A104)*(G$3*10^12-$A103)*-1&lt;0,0,1)*IF(ABS(G$3*10^12-$A104)&gt;(G$3*10^12-$A103),$A103,$A104)=G104,0,IF((G$3*10^12-$A104)*(G$3*10^12-$A103)*-1&lt;0,0,1)*IF(ABS(G$3*10^12-$A104)&gt;(G$3*10^12-$A103),$A103,$A104))</f>
        <v>0</v>
      </c>
      <c r="H103">
        <f t="shared" ref="H103:H134" si="32">IF(IF((H$3*10^12-$A104)*(H$3*10^12-$A103)*-1&lt;0,0,1)*IF(ABS(H$3*10^12-$A104)&gt;(H$3*10^12-$A103),$A103,$A104)=H104,0,IF((H$3*10^12-$A104)*(H$3*10^12-$A103)*-1&lt;0,0,1)*IF(ABS(H$3*10^12-$A104)&gt;(H$3*10^12-$A103),$A103,$A104))</f>
        <v>0</v>
      </c>
      <c r="I103">
        <f t="shared" ref="I103:I134" si="33">IF(IF((I$3*10^12-$A104)*(I$3*10^12-$A103)*-1&lt;0,0,1)*IF(ABS(I$3*10^12-$A104)&gt;(I$3*10^12-$A103),$A103,$A104)=I104,0,IF((I$3*10^12-$A104)*(I$3*10^12-$A103)*-1&lt;0,0,1)*IF(ABS(I$3*10^12-$A104)&gt;(I$3*10^12-$A103),$A103,$A104))</f>
        <v>0</v>
      </c>
      <c r="J103">
        <f t="shared" ref="J103:J134" si="34">IF(IF((J$3*10^12-$A104)*(J$3*10^12-$A103)*-1&lt;0,0,1)*IF(ABS(J$3*10^12-$A104)&gt;(J$3*10^12-$A103),$A103,$A104)=J104,0,IF((J$3*10^12-$A104)*(J$3*10^12-$A103)*-1&lt;0,0,1)*IF(ABS(J$3*10^12-$A104)&gt;(J$3*10^12-$A103),$A103,$A104))</f>
        <v>0</v>
      </c>
      <c r="K103">
        <f t="shared" si="18"/>
        <v>0</v>
      </c>
      <c r="L103">
        <f t="shared" si="18"/>
        <v>0</v>
      </c>
      <c r="M103">
        <f t="shared" si="29"/>
        <v>0</v>
      </c>
      <c r="N103" t="e">
        <f t="shared" si="30"/>
        <v>#REF!</v>
      </c>
    </row>
    <row r="104" spans="1:14" x14ac:dyDescent="0.25">
      <c r="A104">
        <f t="shared" si="28"/>
        <v>68000000</v>
      </c>
      <c r="B104">
        <f t="shared" si="22"/>
        <v>0</v>
      </c>
      <c r="C104">
        <f t="shared" si="23"/>
        <v>0</v>
      </c>
      <c r="D104">
        <f t="shared" si="23"/>
        <v>0</v>
      </c>
      <c r="E104">
        <f t="shared" si="23"/>
        <v>0</v>
      </c>
      <c r="F104">
        <f t="shared" si="23"/>
        <v>0</v>
      </c>
      <c r="G104">
        <f t="shared" si="31"/>
        <v>0</v>
      </c>
      <c r="H104">
        <f t="shared" si="32"/>
        <v>0</v>
      </c>
      <c r="I104">
        <f t="shared" si="33"/>
        <v>0</v>
      </c>
      <c r="J104">
        <f t="shared" si="34"/>
        <v>0</v>
      </c>
      <c r="K104">
        <f t="shared" si="18"/>
        <v>0</v>
      </c>
      <c r="L104">
        <f t="shared" si="18"/>
        <v>0</v>
      </c>
      <c r="M104">
        <f t="shared" si="29"/>
        <v>0</v>
      </c>
      <c r="N104" t="e">
        <f t="shared" si="30"/>
        <v>#REF!</v>
      </c>
    </row>
    <row r="105" spans="1:14" x14ac:dyDescent="0.25">
      <c r="A105">
        <f t="shared" si="28"/>
        <v>82000000</v>
      </c>
      <c r="B105">
        <f t="shared" si="22"/>
        <v>0</v>
      </c>
      <c r="C105">
        <f t="shared" si="23"/>
        <v>0</v>
      </c>
      <c r="D105">
        <f t="shared" si="23"/>
        <v>0</v>
      </c>
      <c r="E105">
        <f t="shared" si="23"/>
        <v>0</v>
      </c>
      <c r="F105">
        <f t="shared" si="23"/>
        <v>0</v>
      </c>
      <c r="G105">
        <f t="shared" si="31"/>
        <v>0</v>
      </c>
      <c r="H105">
        <f t="shared" si="32"/>
        <v>0</v>
      </c>
      <c r="I105">
        <f t="shared" si="33"/>
        <v>0</v>
      </c>
      <c r="J105">
        <f t="shared" si="34"/>
        <v>0</v>
      </c>
      <c r="K105">
        <f t="shared" si="18"/>
        <v>0</v>
      </c>
      <c r="L105">
        <f t="shared" si="18"/>
        <v>0</v>
      </c>
      <c r="M105">
        <f t="shared" si="29"/>
        <v>0</v>
      </c>
      <c r="N105" t="e">
        <f t="shared" si="30"/>
        <v>#REF!</v>
      </c>
    </row>
    <row r="106" spans="1:14" x14ac:dyDescent="0.25">
      <c r="A106">
        <f t="shared" si="28"/>
        <v>100000000</v>
      </c>
      <c r="B106">
        <f t="shared" si="22"/>
        <v>0</v>
      </c>
      <c r="C106">
        <f t="shared" si="23"/>
        <v>0</v>
      </c>
      <c r="D106">
        <f t="shared" si="23"/>
        <v>0</v>
      </c>
      <c r="E106">
        <f t="shared" si="23"/>
        <v>0</v>
      </c>
      <c r="F106">
        <f t="shared" si="23"/>
        <v>0</v>
      </c>
      <c r="G106">
        <f t="shared" si="31"/>
        <v>120000000</v>
      </c>
      <c r="H106">
        <f t="shared" si="32"/>
        <v>0</v>
      </c>
      <c r="I106">
        <f t="shared" si="33"/>
        <v>0</v>
      </c>
      <c r="J106">
        <f t="shared" si="34"/>
        <v>0</v>
      </c>
      <c r="K106">
        <f t="shared" si="18"/>
        <v>0</v>
      </c>
      <c r="L106">
        <f t="shared" si="18"/>
        <v>0</v>
      </c>
      <c r="M106">
        <f t="shared" si="29"/>
        <v>0</v>
      </c>
      <c r="N106" t="e">
        <f t="shared" si="30"/>
        <v>#REF!</v>
      </c>
    </row>
    <row r="107" spans="1:14" x14ac:dyDescent="0.25">
      <c r="A107">
        <f t="shared" si="28"/>
        <v>120000000</v>
      </c>
      <c r="B107">
        <f t="shared" si="22"/>
        <v>0</v>
      </c>
      <c r="C107">
        <f t="shared" si="23"/>
        <v>0</v>
      </c>
      <c r="D107">
        <f t="shared" si="23"/>
        <v>0</v>
      </c>
      <c r="E107">
        <f t="shared" si="23"/>
        <v>0</v>
      </c>
      <c r="F107">
        <f t="shared" si="23"/>
        <v>120000000</v>
      </c>
      <c r="G107">
        <f t="shared" si="31"/>
        <v>0</v>
      </c>
      <c r="H107">
        <f t="shared" si="32"/>
        <v>0</v>
      </c>
      <c r="I107">
        <f t="shared" si="33"/>
        <v>0</v>
      </c>
      <c r="J107">
        <f t="shared" si="34"/>
        <v>0</v>
      </c>
      <c r="K107">
        <f t="shared" si="18"/>
        <v>0</v>
      </c>
      <c r="L107">
        <f t="shared" si="18"/>
        <v>0</v>
      </c>
      <c r="M107">
        <f t="shared" si="29"/>
        <v>0</v>
      </c>
      <c r="N107" t="e">
        <f t="shared" si="30"/>
        <v>#REF!</v>
      </c>
    </row>
    <row r="108" spans="1:14" x14ac:dyDescent="0.25">
      <c r="A108">
        <f t="shared" si="28"/>
        <v>150000000</v>
      </c>
      <c r="B108">
        <f t="shared" si="22"/>
        <v>0</v>
      </c>
      <c r="C108">
        <f t="shared" si="23"/>
        <v>0</v>
      </c>
      <c r="D108">
        <f t="shared" si="23"/>
        <v>0</v>
      </c>
      <c r="E108">
        <f t="shared" si="23"/>
        <v>0</v>
      </c>
      <c r="F108">
        <f t="shared" si="23"/>
        <v>0</v>
      </c>
      <c r="G108">
        <f t="shared" si="31"/>
        <v>0</v>
      </c>
      <c r="H108">
        <f t="shared" si="32"/>
        <v>0</v>
      </c>
      <c r="I108">
        <f t="shared" si="33"/>
        <v>0</v>
      </c>
      <c r="J108">
        <f t="shared" si="34"/>
        <v>0</v>
      </c>
      <c r="K108">
        <f t="shared" si="18"/>
        <v>0</v>
      </c>
      <c r="L108">
        <f t="shared" si="18"/>
        <v>0</v>
      </c>
      <c r="M108">
        <f t="shared" si="29"/>
        <v>0</v>
      </c>
      <c r="N108" t="e">
        <f t="shared" si="30"/>
        <v>#REF!</v>
      </c>
    </row>
    <row r="109" spans="1:14" x14ac:dyDescent="0.25">
      <c r="A109">
        <f t="shared" si="28"/>
        <v>180000000</v>
      </c>
      <c r="B109">
        <f t="shared" si="22"/>
        <v>0</v>
      </c>
      <c r="C109">
        <f t="shared" si="23"/>
        <v>0</v>
      </c>
      <c r="D109">
        <f t="shared" si="23"/>
        <v>0</v>
      </c>
      <c r="E109">
        <f t="shared" si="23"/>
        <v>0</v>
      </c>
      <c r="F109">
        <f t="shared" si="23"/>
        <v>0</v>
      </c>
      <c r="G109">
        <f t="shared" si="31"/>
        <v>0</v>
      </c>
      <c r="H109">
        <f t="shared" si="32"/>
        <v>0</v>
      </c>
      <c r="I109">
        <f t="shared" si="33"/>
        <v>0</v>
      </c>
      <c r="J109">
        <f t="shared" si="34"/>
        <v>0</v>
      </c>
      <c r="K109">
        <f t="shared" si="18"/>
        <v>0</v>
      </c>
      <c r="L109">
        <f t="shared" si="18"/>
        <v>0</v>
      </c>
      <c r="M109">
        <f t="shared" si="29"/>
        <v>0</v>
      </c>
      <c r="N109" t="e">
        <f t="shared" si="30"/>
        <v>#REF!</v>
      </c>
    </row>
    <row r="110" spans="1:14" x14ac:dyDescent="0.25">
      <c r="A110">
        <f t="shared" si="28"/>
        <v>220000000</v>
      </c>
      <c r="B110">
        <f t="shared" si="22"/>
        <v>0</v>
      </c>
      <c r="C110">
        <f t="shared" si="23"/>
        <v>0</v>
      </c>
      <c r="D110">
        <f t="shared" si="23"/>
        <v>0</v>
      </c>
      <c r="E110">
        <f t="shared" si="23"/>
        <v>0</v>
      </c>
      <c r="F110">
        <f t="shared" si="23"/>
        <v>0</v>
      </c>
      <c r="G110">
        <f t="shared" si="31"/>
        <v>0</v>
      </c>
      <c r="H110">
        <f t="shared" si="32"/>
        <v>0</v>
      </c>
      <c r="I110">
        <f t="shared" si="33"/>
        <v>0</v>
      </c>
      <c r="J110">
        <f t="shared" si="34"/>
        <v>0</v>
      </c>
      <c r="K110">
        <f t="shared" si="18"/>
        <v>0</v>
      </c>
      <c r="L110">
        <f t="shared" si="18"/>
        <v>0</v>
      </c>
      <c r="M110">
        <f t="shared" si="29"/>
        <v>0</v>
      </c>
      <c r="N110" t="e">
        <f t="shared" si="30"/>
        <v>#REF!</v>
      </c>
    </row>
    <row r="111" spans="1:14" x14ac:dyDescent="0.25">
      <c r="A111">
        <f t="shared" si="28"/>
        <v>270000000</v>
      </c>
      <c r="B111">
        <f t="shared" si="22"/>
        <v>0</v>
      </c>
      <c r="C111">
        <f t="shared" si="23"/>
        <v>0</v>
      </c>
      <c r="D111">
        <f t="shared" si="23"/>
        <v>0</v>
      </c>
      <c r="E111">
        <f t="shared" si="23"/>
        <v>0</v>
      </c>
      <c r="F111">
        <f t="shared" si="23"/>
        <v>0</v>
      </c>
      <c r="G111">
        <f t="shared" si="31"/>
        <v>0</v>
      </c>
      <c r="H111">
        <f t="shared" si="32"/>
        <v>0</v>
      </c>
      <c r="I111">
        <f t="shared" si="33"/>
        <v>0</v>
      </c>
      <c r="J111">
        <f t="shared" si="34"/>
        <v>0</v>
      </c>
      <c r="K111">
        <f t="shared" si="18"/>
        <v>0</v>
      </c>
      <c r="L111">
        <f t="shared" si="18"/>
        <v>0</v>
      </c>
      <c r="M111">
        <f t="shared" si="29"/>
        <v>0</v>
      </c>
      <c r="N111" t="e">
        <f t="shared" si="30"/>
        <v>#REF!</v>
      </c>
    </row>
    <row r="112" spans="1:14" x14ac:dyDescent="0.25">
      <c r="A112">
        <f t="shared" si="28"/>
        <v>330000000</v>
      </c>
      <c r="B112">
        <f t="shared" si="22"/>
        <v>0</v>
      </c>
      <c r="C112">
        <f t="shared" si="23"/>
        <v>0</v>
      </c>
      <c r="D112">
        <f t="shared" si="23"/>
        <v>0</v>
      </c>
      <c r="E112">
        <f t="shared" si="23"/>
        <v>0</v>
      </c>
      <c r="F112">
        <f t="shared" si="23"/>
        <v>0</v>
      </c>
      <c r="G112">
        <f t="shared" si="31"/>
        <v>0</v>
      </c>
      <c r="H112">
        <f t="shared" si="32"/>
        <v>0</v>
      </c>
      <c r="I112">
        <f t="shared" si="33"/>
        <v>0</v>
      </c>
      <c r="J112">
        <f t="shared" si="34"/>
        <v>0</v>
      </c>
      <c r="K112">
        <f t="shared" si="18"/>
        <v>0</v>
      </c>
      <c r="L112">
        <f t="shared" si="18"/>
        <v>0</v>
      </c>
      <c r="M112">
        <f t="shared" si="29"/>
        <v>0</v>
      </c>
      <c r="N112" t="e">
        <f t="shared" si="30"/>
        <v>#REF!</v>
      </c>
    </row>
    <row r="113" spans="1:14" x14ac:dyDescent="0.25">
      <c r="A113">
        <f t="shared" si="28"/>
        <v>390000000</v>
      </c>
      <c r="B113">
        <f t="shared" si="22"/>
        <v>0</v>
      </c>
      <c r="C113">
        <f t="shared" si="23"/>
        <v>0</v>
      </c>
      <c r="D113">
        <f t="shared" si="23"/>
        <v>0</v>
      </c>
      <c r="E113">
        <f t="shared" si="23"/>
        <v>0</v>
      </c>
      <c r="F113">
        <f t="shared" si="23"/>
        <v>0</v>
      </c>
      <c r="G113">
        <f t="shared" si="31"/>
        <v>0</v>
      </c>
      <c r="H113">
        <f t="shared" si="32"/>
        <v>0</v>
      </c>
      <c r="I113">
        <f t="shared" si="33"/>
        <v>0</v>
      </c>
      <c r="J113">
        <f t="shared" si="34"/>
        <v>0</v>
      </c>
      <c r="K113">
        <f t="shared" si="18"/>
        <v>0</v>
      </c>
      <c r="L113">
        <f t="shared" si="18"/>
        <v>0</v>
      </c>
      <c r="M113">
        <f t="shared" si="29"/>
        <v>0</v>
      </c>
      <c r="N113" t="e">
        <f t="shared" si="30"/>
        <v>#REF!</v>
      </c>
    </row>
    <row r="114" spans="1:14" x14ac:dyDescent="0.25">
      <c r="A114">
        <f t="shared" si="28"/>
        <v>470000000</v>
      </c>
      <c r="B114">
        <f t="shared" si="22"/>
        <v>0</v>
      </c>
      <c r="C114">
        <f t="shared" si="23"/>
        <v>0</v>
      </c>
      <c r="D114">
        <f t="shared" si="23"/>
        <v>0</v>
      </c>
      <c r="E114">
        <f t="shared" si="23"/>
        <v>0</v>
      </c>
      <c r="F114">
        <f t="shared" si="23"/>
        <v>0</v>
      </c>
      <c r="G114">
        <f t="shared" si="31"/>
        <v>0</v>
      </c>
      <c r="H114">
        <f t="shared" si="32"/>
        <v>0</v>
      </c>
      <c r="I114">
        <f t="shared" si="33"/>
        <v>0</v>
      </c>
      <c r="J114">
        <f t="shared" si="34"/>
        <v>0</v>
      </c>
      <c r="K114">
        <f t="shared" si="18"/>
        <v>0</v>
      </c>
      <c r="L114">
        <f t="shared" si="18"/>
        <v>0</v>
      </c>
      <c r="M114">
        <f t="shared" si="29"/>
        <v>0</v>
      </c>
      <c r="N114" t="e">
        <f t="shared" si="30"/>
        <v>#REF!</v>
      </c>
    </row>
    <row r="115" spans="1:14" x14ac:dyDescent="0.25">
      <c r="A115">
        <f t="shared" si="28"/>
        <v>560000000</v>
      </c>
      <c r="B115">
        <f t="shared" si="22"/>
        <v>0</v>
      </c>
      <c r="C115">
        <f t="shared" si="23"/>
        <v>0</v>
      </c>
      <c r="D115">
        <f t="shared" si="23"/>
        <v>0</v>
      </c>
      <c r="E115">
        <f t="shared" si="23"/>
        <v>0</v>
      </c>
      <c r="F115">
        <f t="shared" si="23"/>
        <v>0</v>
      </c>
      <c r="G115">
        <f t="shared" si="31"/>
        <v>0</v>
      </c>
      <c r="H115">
        <f t="shared" si="32"/>
        <v>0</v>
      </c>
      <c r="I115">
        <f t="shared" si="33"/>
        <v>0</v>
      </c>
      <c r="J115">
        <f t="shared" si="34"/>
        <v>0</v>
      </c>
      <c r="K115">
        <f t="shared" si="18"/>
        <v>0</v>
      </c>
      <c r="L115">
        <f t="shared" si="18"/>
        <v>0</v>
      </c>
      <c r="M115">
        <f t="shared" si="29"/>
        <v>0</v>
      </c>
      <c r="N115" t="e">
        <f t="shared" si="30"/>
        <v>#REF!</v>
      </c>
    </row>
    <row r="116" spans="1:14" x14ac:dyDescent="0.25">
      <c r="A116">
        <f t="shared" si="28"/>
        <v>680000000</v>
      </c>
      <c r="B116">
        <f t="shared" si="22"/>
        <v>0</v>
      </c>
      <c r="C116">
        <f t="shared" si="23"/>
        <v>0</v>
      </c>
      <c r="D116">
        <f t="shared" si="23"/>
        <v>0</v>
      </c>
      <c r="E116">
        <f t="shared" si="23"/>
        <v>0</v>
      </c>
      <c r="F116">
        <f t="shared" si="23"/>
        <v>0</v>
      </c>
      <c r="G116">
        <f t="shared" si="31"/>
        <v>0</v>
      </c>
      <c r="H116">
        <f t="shared" si="32"/>
        <v>0</v>
      </c>
      <c r="I116">
        <f t="shared" si="33"/>
        <v>0</v>
      </c>
      <c r="J116">
        <f t="shared" si="34"/>
        <v>0</v>
      </c>
      <c r="K116">
        <f t="shared" si="18"/>
        <v>0</v>
      </c>
      <c r="L116">
        <f t="shared" si="18"/>
        <v>0</v>
      </c>
      <c r="M116">
        <f t="shared" si="29"/>
        <v>0</v>
      </c>
      <c r="N116" t="e">
        <f t="shared" si="30"/>
        <v>#REF!</v>
      </c>
    </row>
    <row r="117" spans="1:14" x14ac:dyDescent="0.25">
      <c r="A117">
        <f t="shared" si="28"/>
        <v>820000000</v>
      </c>
      <c r="B117">
        <f t="shared" si="22"/>
        <v>0</v>
      </c>
      <c r="C117">
        <f t="shared" si="23"/>
        <v>0</v>
      </c>
      <c r="D117">
        <f t="shared" si="23"/>
        <v>0</v>
      </c>
      <c r="E117">
        <f t="shared" si="23"/>
        <v>0</v>
      </c>
      <c r="F117">
        <f t="shared" si="23"/>
        <v>0</v>
      </c>
      <c r="G117">
        <f t="shared" si="31"/>
        <v>0</v>
      </c>
      <c r="H117">
        <f t="shared" si="32"/>
        <v>0</v>
      </c>
      <c r="I117">
        <f t="shared" si="33"/>
        <v>0</v>
      </c>
      <c r="J117">
        <f t="shared" si="34"/>
        <v>0</v>
      </c>
      <c r="K117">
        <f t="shared" si="18"/>
        <v>0</v>
      </c>
      <c r="L117">
        <f t="shared" si="18"/>
        <v>0</v>
      </c>
      <c r="M117">
        <f t="shared" si="29"/>
        <v>0</v>
      </c>
      <c r="N117" t="e">
        <f t="shared" si="30"/>
        <v>#REF!</v>
      </c>
    </row>
    <row r="118" spans="1:14" x14ac:dyDescent="0.25">
      <c r="A118">
        <f t="shared" si="28"/>
        <v>1000000000</v>
      </c>
      <c r="B118">
        <f t="shared" si="22"/>
        <v>0</v>
      </c>
      <c r="C118">
        <f t="shared" si="23"/>
        <v>0</v>
      </c>
      <c r="D118">
        <f t="shared" si="23"/>
        <v>0</v>
      </c>
      <c r="E118">
        <f t="shared" si="23"/>
        <v>0</v>
      </c>
      <c r="F118">
        <f t="shared" si="23"/>
        <v>0</v>
      </c>
      <c r="G118">
        <f t="shared" si="31"/>
        <v>0</v>
      </c>
      <c r="H118">
        <f t="shared" si="32"/>
        <v>0</v>
      </c>
      <c r="I118">
        <f t="shared" si="33"/>
        <v>0</v>
      </c>
      <c r="J118">
        <f t="shared" si="34"/>
        <v>0</v>
      </c>
      <c r="K118">
        <f t="shared" si="18"/>
        <v>0</v>
      </c>
      <c r="L118">
        <f t="shared" si="18"/>
        <v>0</v>
      </c>
      <c r="M118">
        <f t="shared" si="29"/>
        <v>0</v>
      </c>
      <c r="N118" t="e">
        <f t="shared" si="30"/>
        <v>#REF!</v>
      </c>
    </row>
    <row r="119" spans="1:14" x14ac:dyDescent="0.25">
      <c r="A119">
        <f t="shared" si="28"/>
        <v>1200000000</v>
      </c>
      <c r="B119">
        <f t="shared" si="22"/>
        <v>0</v>
      </c>
      <c r="C119">
        <f t="shared" si="23"/>
        <v>0</v>
      </c>
      <c r="D119">
        <f t="shared" si="23"/>
        <v>0</v>
      </c>
      <c r="E119">
        <f t="shared" si="23"/>
        <v>0</v>
      </c>
      <c r="F119">
        <f t="shared" si="23"/>
        <v>0</v>
      </c>
      <c r="G119">
        <f t="shared" si="31"/>
        <v>0</v>
      </c>
      <c r="H119">
        <f t="shared" si="32"/>
        <v>0</v>
      </c>
      <c r="I119">
        <f t="shared" si="33"/>
        <v>0</v>
      </c>
      <c r="J119">
        <f t="shared" si="34"/>
        <v>0</v>
      </c>
      <c r="K119">
        <f t="shared" si="18"/>
        <v>0</v>
      </c>
      <c r="L119">
        <f t="shared" si="18"/>
        <v>0</v>
      </c>
      <c r="M119">
        <f t="shared" si="29"/>
        <v>0</v>
      </c>
      <c r="N119" t="e">
        <f t="shared" si="30"/>
        <v>#REF!</v>
      </c>
    </row>
    <row r="120" spans="1:14" x14ac:dyDescent="0.25">
      <c r="A120">
        <f t="shared" si="28"/>
        <v>1500000000</v>
      </c>
      <c r="B120">
        <f t="shared" si="22"/>
        <v>0</v>
      </c>
      <c r="C120">
        <f t="shared" si="23"/>
        <v>0</v>
      </c>
      <c r="D120">
        <f t="shared" si="23"/>
        <v>0</v>
      </c>
      <c r="E120">
        <f t="shared" si="23"/>
        <v>0</v>
      </c>
      <c r="F120">
        <f t="shared" si="23"/>
        <v>0</v>
      </c>
      <c r="G120">
        <f t="shared" si="31"/>
        <v>0</v>
      </c>
      <c r="H120">
        <f t="shared" si="32"/>
        <v>0</v>
      </c>
      <c r="I120">
        <f t="shared" si="33"/>
        <v>0</v>
      </c>
      <c r="J120">
        <f t="shared" si="34"/>
        <v>0</v>
      </c>
      <c r="K120">
        <f t="shared" si="18"/>
        <v>0</v>
      </c>
      <c r="L120">
        <f t="shared" si="18"/>
        <v>0</v>
      </c>
      <c r="M120">
        <f t="shared" si="29"/>
        <v>0</v>
      </c>
      <c r="N120" t="e">
        <f t="shared" si="30"/>
        <v>#REF!</v>
      </c>
    </row>
    <row r="121" spans="1:14" x14ac:dyDescent="0.25">
      <c r="A121">
        <f t="shared" si="28"/>
        <v>1800000000</v>
      </c>
      <c r="B121">
        <f t="shared" si="22"/>
        <v>0</v>
      </c>
      <c r="C121">
        <f t="shared" si="23"/>
        <v>0</v>
      </c>
      <c r="D121">
        <f t="shared" si="23"/>
        <v>0</v>
      </c>
      <c r="E121">
        <f t="shared" si="23"/>
        <v>0</v>
      </c>
      <c r="F121">
        <f t="shared" si="23"/>
        <v>0</v>
      </c>
      <c r="G121">
        <f t="shared" si="31"/>
        <v>0</v>
      </c>
      <c r="H121">
        <f t="shared" si="32"/>
        <v>0</v>
      </c>
      <c r="I121">
        <f t="shared" si="33"/>
        <v>0</v>
      </c>
      <c r="J121">
        <f t="shared" si="34"/>
        <v>0</v>
      </c>
      <c r="K121">
        <f t="shared" si="18"/>
        <v>0</v>
      </c>
      <c r="L121">
        <f t="shared" si="18"/>
        <v>0</v>
      </c>
      <c r="M121">
        <f t="shared" si="29"/>
        <v>0</v>
      </c>
      <c r="N121" t="e">
        <f t="shared" si="30"/>
        <v>#REF!</v>
      </c>
    </row>
    <row r="122" spans="1:14" x14ac:dyDescent="0.25">
      <c r="A122">
        <f t="shared" si="28"/>
        <v>2200000000</v>
      </c>
      <c r="B122">
        <f t="shared" si="22"/>
        <v>0</v>
      </c>
      <c r="C122">
        <f t="shared" si="23"/>
        <v>0</v>
      </c>
      <c r="D122">
        <f t="shared" si="23"/>
        <v>0</v>
      </c>
      <c r="E122">
        <f t="shared" si="23"/>
        <v>0</v>
      </c>
      <c r="F122">
        <f t="shared" si="23"/>
        <v>0</v>
      </c>
      <c r="G122">
        <f t="shared" si="31"/>
        <v>0</v>
      </c>
      <c r="H122">
        <f t="shared" si="32"/>
        <v>0</v>
      </c>
      <c r="I122">
        <f t="shared" si="33"/>
        <v>0</v>
      </c>
      <c r="J122">
        <f t="shared" si="34"/>
        <v>0</v>
      </c>
      <c r="K122">
        <f t="shared" si="18"/>
        <v>0</v>
      </c>
      <c r="L122">
        <f t="shared" si="18"/>
        <v>0</v>
      </c>
      <c r="M122">
        <f t="shared" si="29"/>
        <v>0</v>
      </c>
      <c r="N122" t="e">
        <f t="shared" si="30"/>
        <v>#REF!</v>
      </c>
    </row>
    <row r="123" spans="1:14" x14ac:dyDescent="0.25">
      <c r="A123">
        <f t="shared" si="28"/>
        <v>2700000000</v>
      </c>
      <c r="B123">
        <f t="shared" si="22"/>
        <v>0</v>
      </c>
      <c r="C123">
        <f t="shared" si="23"/>
        <v>0</v>
      </c>
      <c r="D123">
        <f t="shared" si="23"/>
        <v>0</v>
      </c>
      <c r="E123">
        <f t="shared" si="23"/>
        <v>0</v>
      </c>
      <c r="F123">
        <f t="shared" si="23"/>
        <v>0</v>
      </c>
      <c r="G123">
        <f t="shared" si="31"/>
        <v>0</v>
      </c>
      <c r="H123">
        <f t="shared" si="32"/>
        <v>0</v>
      </c>
      <c r="I123">
        <f t="shared" si="33"/>
        <v>0</v>
      </c>
      <c r="J123">
        <f t="shared" si="34"/>
        <v>0</v>
      </c>
      <c r="K123">
        <f t="shared" si="18"/>
        <v>0</v>
      </c>
      <c r="L123">
        <f t="shared" si="18"/>
        <v>0</v>
      </c>
      <c r="M123">
        <f t="shared" si="29"/>
        <v>0</v>
      </c>
      <c r="N123" t="e">
        <f t="shared" si="30"/>
        <v>#REF!</v>
      </c>
    </row>
    <row r="124" spans="1:14" x14ac:dyDescent="0.25">
      <c r="A124">
        <f t="shared" si="28"/>
        <v>3300000000</v>
      </c>
      <c r="B124">
        <f t="shared" si="22"/>
        <v>0</v>
      </c>
      <c r="C124">
        <f t="shared" si="23"/>
        <v>0</v>
      </c>
      <c r="D124">
        <f t="shared" si="23"/>
        <v>0</v>
      </c>
      <c r="E124">
        <f t="shared" si="23"/>
        <v>0</v>
      </c>
      <c r="F124">
        <f t="shared" si="23"/>
        <v>0</v>
      </c>
      <c r="G124">
        <f t="shared" si="31"/>
        <v>0</v>
      </c>
      <c r="H124">
        <f t="shared" si="32"/>
        <v>0</v>
      </c>
      <c r="I124">
        <f t="shared" si="33"/>
        <v>0</v>
      </c>
      <c r="J124">
        <f t="shared" si="34"/>
        <v>0</v>
      </c>
      <c r="K124">
        <f t="shared" si="18"/>
        <v>0</v>
      </c>
      <c r="L124">
        <f t="shared" si="18"/>
        <v>0</v>
      </c>
      <c r="M124">
        <f t="shared" si="29"/>
        <v>0</v>
      </c>
      <c r="N124" t="e">
        <f t="shared" si="30"/>
        <v>#REF!</v>
      </c>
    </row>
    <row r="125" spans="1:14" x14ac:dyDescent="0.25">
      <c r="A125">
        <f t="shared" si="28"/>
        <v>3900000000</v>
      </c>
      <c r="B125">
        <f t="shared" si="22"/>
        <v>0</v>
      </c>
      <c r="C125">
        <f t="shared" si="23"/>
        <v>0</v>
      </c>
      <c r="D125">
        <f t="shared" si="23"/>
        <v>0</v>
      </c>
      <c r="E125">
        <f t="shared" si="23"/>
        <v>0</v>
      </c>
      <c r="F125">
        <f t="shared" si="23"/>
        <v>0</v>
      </c>
      <c r="G125">
        <f t="shared" si="31"/>
        <v>0</v>
      </c>
      <c r="H125">
        <f t="shared" si="32"/>
        <v>0</v>
      </c>
      <c r="I125">
        <f t="shared" si="33"/>
        <v>0</v>
      </c>
      <c r="J125">
        <f t="shared" si="34"/>
        <v>0</v>
      </c>
      <c r="K125">
        <f t="shared" si="18"/>
        <v>0</v>
      </c>
      <c r="L125">
        <f t="shared" si="18"/>
        <v>0</v>
      </c>
      <c r="M125">
        <f t="shared" si="29"/>
        <v>0</v>
      </c>
      <c r="N125" t="e">
        <f t="shared" si="30"/>
        <v>#REF!</v>
      </c>
    </row>
    <row r="126" spans="1:14" x14ac:dyDescent="0.25">
      <c r="A126">
        <f t="shared" si="28"/>
        <v>4700000000</v>
      </c>
      <c r="B126">
        <f t="shared" si="22"/>
        <v>0</v>
      </c>
      <c r="C126">
        <f t="shared" si="23"/>
        <v>0</v>
      </c>
      <c r="D126">
        <f t="shared" si="23"/>
        <v>0</v>
      </c>
      <c r="E126">
        <f t="shared" si="23"/>
        <v>0</v>
      </c>
      <c r="F126">
        <f t="shared" si="23"/>
        <v>0</v>
      </c>
      <c r="G126">
        <f t="shared" si="31"/>
        <v>0</v>
      </c>
      <c r="H126">
        <f t="shared" si="32"/>
        <v>0</v>
      </c>
      <c r="I126">
        <f t="shared" si="33"/>
        <v>0</v>
      </c>
      <c r="J126">
        <f t="shared" si="34"/>
        <v>0</v>
      </c>
      <c r="K126">
        <f t="shared" si="18"/>
        <v>0</v>
      </c>
      <c r="L126">
        <f t="shared" si="18"/>
        <v>0</v>
      </c>
      <c r="M126">
        <f t="shared" si="29"/>
        <v>0</v>
      </c>
      <c r="N126" t="e">
        <f t="shared" si="30"/>
        <v>#REF!</v>
      </c>
    </row>
    <row r="127" spans="1:14" x14ac:dyDescent="0.25">
      <c r="A127">
        <f t="shared" si="28"/>
        <v>5600000000</v>
      </c>
      <c r="B127">
        <f t="shared" si="22"/>
        <v>0</v>
      </c>
      <c r="C127">
        <f t="shared" si="23"/>
        <v>0</v>
      </c>
      <c r="D127">
        <f t="shared" si="23"/>
        <v>0</v>
      </c>
      <c r="E127">
        <f t="shared" si="23"/>
        <v>0</v>
      </c>
      <c r="F127">
        <f t="shared" si="23"/>
        <v>0</v>
      </c>
      <c r="G127">
        <f t="shared" si="31"/>
        <v>0</v>
      </c>
      <c r="H127">
        <f t="shared" si="32"/>
        <v>0</v>
      </c>
      <c r="I127">
        <f t="shared" si="33"/>
        <v>0</v>
      </c>
      <c r="J127">
        <f t="shared" si="34"/>
        <v>0</v>
      </c>
      <c r="K127">
        <f t="shared" si="18"/>
        <v>0</v>
      </c>
      <c r="L127">
        <f t="shared" si="18"/>
        <v>0</v>
      </c>
      <c r="M127">
        <f t="shared" si="29"/>
        <v>0</v>
      </c>
      <c r="N127" t="e">
        <f t="shared" si="30"/>
        <v>#REF!</v>
      </c>
    </row>
    <row r="128" spans="1:14" x14ac:dyDescent="0.25">
      <c r="A128">
        <f t="shared" si="28"/>
        <v>6800000000</v>
      </c>
      <c r="B128">
        <f t="shared" si="22"/>
        <v>0</v>
      </c>
      <c r="C128">
        <f t="shared" si="23"/>
        <v>0</v>
      </c>
      <c r="D128">
        <f t="shared" si="23"/>
        <v>0</v>
      </c>
      <c r="E128">
        <f t="shared" si="23"/>
        <v>0</v>
      </c>
      <c r="F128">
        <f t="shared" si="23"/>
        <v>0</v>
      </c>
      <c r="G128">
        <f t="shared" si="31"/>
        <v>0</v>
      </c>
      <c r="H128">
        <f t="shared" si="32"/>
        <v>0</v>
      </c>
      <c r="I128">
        <f t="shared" si="33"/>
        <v>0</v>
      </c>
      <c r="J128">
        <f t="shared" si="34"/>
        <v>0</v>
      </c>
      <c r="K128">
        <f t="shared" si="18"/>
        <v>0</v>
      </c>
      <c r="L128">
        <f t="shared" si="18"/>
        <v>0</v>
      </c>
      <c r="M128">
        <f t="shared" si="29"/>
        <v>0</v>
      </c>
      <c r="N128" t="e">
        <f t="shared" si="30"/>
        <v>#REF!</v>
      </c>
    </row>
    <row r="129" spans="1:14" x14ac:dyDescent="0.25">
      <c r="A129">
        <f t="shared" si="28"/>
        <v>8200000000</v>
      </c>
      <c r="B129">
        <f t="shared" si="22"/>
        <v>0</v>
      </c>
      <c r="C129">
        <f t="shared" si="23"/>
        <v>0</v>
      </c>
      <c r="D129">
        <f t="shared" si="23"/>
        <v>0</v>
      </c>
      <c r="E129">
        <f t="shared" si="23"/>
        <v>0</v>
      </c>
      <c r="F129">
        <f t="shared" si="23"/>
        <v>0</v>
      </c>
      <c r="G129">
        <f t="shared" si="31"/>
        <v>0</v>
      </c>
      <c r="H129">
        <f t="shared" si="32"/>
        <v>0</v>
      </c>
      <c r="I129">
        <f t="shared" si="33"/>
        <v>0</v>
      </c>
      <c r="J129">
        <f t="shared" si="34"/>
        <v>0</v>
      </c>
      <c r="K129">
        <f t="shared" si="18"/>
        <v>0</v>
      </c>
      <c r="L129">
        <f t="shared" si="18"/>
        <v>0</v>
      </c>
      <c r="M129">
        <f t="shared" si="29"/>
        <v>0</v>
      </c>
      <c r="N129" t="e">
        <f t="shared" si="30"/>
        <v>#REF!</v>
      </c>
    </row>
    <row r="130" spans="1:14" x14ac:dyDescent="0.25">
      <c r="A130">
        <f t="shared" si="28"/>
        <v>10000000000</v>
      </c>
      <c r="B130">
        <f t="shared" si="22"/>
        <v>0</v>
      </c>
      <c r="C130">
        <f t="shared" si="23"/>
        <v>0</v>
      </c>
      <c r="D130">
        <f t="shared" si="23"/>
        <v>0</v>
      </c>
      <c r="E130">
        <f t="shared" si="23"/>
        <v>0</v>
      </c>
      <c r="F130">
        <f t="shared" si="23"/>
        <v>0</v>
      </c>
      <c r="G130">
        <f t="shared" si="31"/>
        <v>0</v>
      </c>
      <c r="H130">
        <f t="shared" si="32"/>
        <v>0</v>
      </c>
      <c r="I130">
        <f t="shared" si="33"/>
        <v>0</v>
      </c>
      <c r="J130">
        <f t="shared" si="34"/>
        <v>0</v>
      </c>
      <c r="K130">
        <f t="shared" si="18"/>
        <v>0</v>
      </c>
      <c r="L130">
        <f t="shared" si="18"/>
        <v>0</v>
      </c>
      <c r="M130">
        <f t="shared" si="29"/>
        <v>0</v>
      </c>
      <c r="N130" t="e">
        <f t="shared" si="30"/>
        <v>#REF!</v>
      </c>
    </row>
    <row r="131" spans="1:14" x14ac:dyDescent="0.25">
      <c r="A131">
        <f t="shared" si="28"/>
        <v>12000000000</v>
      </c>
      <c r="B131">
        <f t="shared" si="22"/>
        <v>0</v>
      </c>
      <c r="C131">
        <f t="shared" si="23"/>
        <v>0</v>
      </c>
      <c r="D131">
        <f t="shared" si="23"/>
        <v>0</v>
      </c>
      <c r="E131">
        <f t="shared" si="23"/>
        <v>0</v>
      </c>
      <c r="F131">
        <f t="shared" si="23"/>
        <v>0</v>
      </c>
      <c r="G131">
        <f t="shared" si="31"/>
        <v>0</v>
      </c>
      <c r="H131">
        <f t="shared" si="32"/>
        <v>0</v>
      </c>
      <c r="I131">
        <f t="shared" si="33"/>
        <v>0</v>
      </c>
      <c r="J131">
        <f t="shared" si="34"/>
        <v>0</v>
      </c>
      <c r="K131">
        <f t="shared" si="18"/>
        <v>0</v>
      </c>
      <c r="L131">
        <f t="shared" si="18"/>
        <v>0</v>
      </c>
      <c r="M131">
        <f t="shared" si="29"/>
        <v>0</v>
      </c>
      <c r="N131" t="e">
        <f t="shared" si="30"/>
        <v>#REF!</v>
      </c>
    </row>
    <row r="132" spans="1:14" x14ac:dyDescent="0.25">
      <c r="A132">
        <f t="shared" si="28"/>
        <v>15000000000</v>
      </c>
      <c r="B132">
        <f t="shared" si="22"/>
        <v>0</v>
      </c>
      <c r="C132">
        <f t="shared" si="23"/>
        <v>0</v>
      </c>
      <c r="D132">
        <f t="shared" si="23"/>
        <v>0</v>
      </c>
      <c r="E132">
        <f t="shared" si="23"/>
        <v>0</v>
      </c>
      <c r="F132">
        <f t="shared" si="23"/>
        <v>0</v>
      </c>
      <c r="G132">
        <f t="shared" si="31"/>
        <v>0</v>
      </c>
      <c r="H132">
        <f t="shared" si="32"/>
        <v>0</v>
      </c>
      <c r="I132">
        <f t="shared" si="33"/>
        <v>0</v>
      </c>
      <c r="J132">
        <f t="shared" si="34"/>
        <v>0</v>
      </c>
      <c r="K132">
        <f t="shared" si="18"/>
        <v>0</v>
      </c>
      <c r="L132">
        <f t="shared" si="18"/>
        <v>0</v>
      </c>
      <c r="M132">
        <f t="shared" si="29"/>
        <v>0</v>
      </c>
      <c r="N132" t="e">
        <f t="shared" si="30"/>
        <v>#REF!</v>
      </c>
    </row>
    <row r="133" spans="1:14" x14ac:dyDescent="0.25">
      <c r="A133">
        <f t="shared" si="28"/>
        <v>18000000000</v>
      </c>
      <c r="B133">
        <f t="shared" si="22"/>
        <v>0</v>
      </c>
      <c r="C133">
        <f t="shared" si="23"/>
        <v>0</v>
      </c>
      <c r="D133">
        <f t="shared" si="23"/>
        <v>0</v>
      </c>
      <c r="E133">
        <f t="shared" si="23"/>
        <v>0</v>
      </c>
      <c r="F133">
        <f t="shared" si="23"/>
        <v>0</v>
      </c>
      <c r="G133">
        <f t="shared" si="31"/>
        <v>0</v>
      </c>
      <c r="H133">
        <f t="shared" si="32"/>
        <v>0</v>
      </c>
      <c r="I133">
        <f t="shared" si="33"/>
        <v>0</v>
      </c>
      <c r="J133">
        <f t="shared" si="34"/>
        <v>0</v>
      </c>
      <c r="K133">
        <f>IF(IF((K$3*10^12-$A134)*(K$3*10^12-$A133)*-1&lt;0,0,1)*IF(ABS(K$3*10^12-$A134)&gt;(K$3*10^12-$A133),$A133,$A134)=K134,0,IF((K$3*10^12-$A134)*(K$3*10^12-$A133)*-1&lt;0,0,1)*IF(ABS(K$3*10^12-$A134)&gt;(K$3*10^12-$A133),$A133,$A134))</f>
        <v>0</v>
      </c>
      <c r="L133">
        <f>IF(IF((L$3*10^12-$A134)*(L$3*10^12-$A133)*-1&lt;0,0,1)*IF(ABS(L$3*10^12-$A134)&gt;(L$3*10^12-$A133),$A133,$A134)=L134,0,IF((L$3*10^12-$A134)*(L$3*10^12-$A133)*-1&lt;0,0,1)*IF(ABS(L$3*10^12-$A134)&gt;(L$3*10^12-$A133),$A133,$A134))</f>
        <v>0</v>
      </c>
      <c r="M133">
        <f t="shared" si="29"/>
        <v>0</v>
      </c>
      <c r="N133" t="e">
        <f t="shared" si="30"/>
        <v>#REF!</v>
      </c>
    </row>
    <row r="134" spans="1:14" x14ac:dyDescent="0.25">
      <c r="A134">
        <f t="shared" si="28"/>
        <v>22000000000</v>
      </c>
      <c r="B134">
        <f t="shared" si="22"/>
        <v>0</v>
      </c>
      <c r="C134">
        <f t="shared" si="23"/>
        <v>0</v>
      </c>
      <c r="D134">
        <f t="shared" si="23"/>
        <v>0</v>
      </c>
      <c r="E134">
        <f t="shared" si="23"/>
        <v>0</v>
      </c>
      <c r="F134">
        <f t="shared" ref="F134:L159" si="35">IF(IF((F$3*10^12-$A135)*(F$3*10^12-$A134)*-1&lt;0,0,1)*IF(ABS(F$3*10^12-$A135)&gt;(F$3*10^12-$A134),$A134,$A135)=F135,0,IF((F$3*10^12-$A135)*(F$3*10^12-$A134)*-1&lt;0,0,1)*IF(ABS(F$3*10^12-$A135)&gt;(F$3*10^12-$A134),$A134,$A135))</f>
        <v>0</v>
      </c>
      <c r="G134">
        <f t="shared" si="31"/>
        <v>0</v>
      </c>
      <c r="H134">
        <f t="shared" si="32"/>
        <v>0</v>
      </c>
      <c r="I134">
        <f t="shared" si="33"/>
        <v>0</v>
      </c>
      <c r="J134">
        <f t="shared" si="34"/>
        <v>0</v>
      </c>
      <c r="K134">
        <f>IF(IF((K$3*10^12-$A135)*(K$3*10^12-$A134)*-1&lt;0,0,1)*IF(ABS(K$3*10^12-$A135)&gt;(K$3*10^12-$A134),$A134,$A135)=K135,0,IF((K$3*10^12-$A135)*(K$3*10^12-$A134)*-1&lt;0,0,1)*IF(ABS(K$3*10^12-$A135)&gt;(K$3*10^12-$A134),$A134,$A135))</f>
        <v>0</v>
      </c>
      <c r="L134">
        <f>IF(IF((L$3*10^12-$A135)*(L$3*10^12-$A134)*-1&lt;0,0,1)*IF(ABS(L$3*10^12-$A135)&gt;(L$3*10^12-$A134),$A134,$A135)=L135,0,IF((L$3*10^12-$A135)*(L$3*10^12-$A134)*-1&lt;0,0,1)*IF(ABS(L$3*10^12-$A135)&gt;(L$3*10^12-$A134),$A134,$A135))</f>
        <v>0</v>
      </c>
      <c r="M134">
        <f t="shared" ref="M134:M159" si="36">IF(IF((M$3*10^12-$A135)*(M$3*10^12-$A134)*-1&lt;0,0,1)*IF(ABS(M$3*10^12-$A135)&gt;(M$3*10^12-$A134),$A134,$A135)=M135,0,IF((M$3*10^12-$A135)*(M$3*10^12-$A134)*-1&lt;0,0,1)*IF(ABS(M$3*10^12-$A135)&gt;(M$3*10^12-$A134),$A134,$A135))</f>
        <v>0</v>
      </c>
      <c r="N134" t="e">
        <f t="shared" ref="N134:N159" si="37">IF(IF((N$3*10^12-$A135)*(N$3*10^12-$A134)*-1&lt;0,0,1)*IF(ABS(N$3*10^12-$A135)&gt;(N$3*10^12-$A134),$A134,$A135)=N135,0,IF((N$3*10^12-$A135)*(N$3*10^12-$A134)*-1&lt;0,0,1)*IF(ABS(N$3*10^12-$A135)&gt;(N$3*10^12-$A134),$A134,$A135))</f>
        <v>#REF!</v>
      </c>
    </row>
    <row r="135" spans="1:14" x14ac:dyDescent="0.25">
      <c r="A135">
        <f t="shared" si="28"/>
        <v>27000000000</v>
      </c>
      <c r="B135">
        <f t="shared" ref="B135:B159" si="38">IF(IF((B$3*10^12-$A136)*(B$3*10^12-$A135)*-1&lt;0,0,1)*IF(ABS(B$3*10^12-$A136)&gt;(B$3*10^12-$A135),$A135,$A136)=B136,0,IF((B$3*10^12-$A136)*(B$3*10^12-$A135)*-1&lt;0,0,1)*IF(ABS(B$3*10^12-$A136)&gt;(B$3*10^12-$A135),$A135,$A136))</f>
        <v>0</v>
      </c>
      <c r="C135">
        <f t="shared" ref="C135:E159" si="39">IF(IF((C$3*10^12-$A136)*(C$3*10^12-$A135)*-1&lt;0,0,1)*IF(ABS(C$3*10^12-$A136)&gt;(C$3*10^12-$A135),$A135,$A136)=C136,0,IF((C$3*10^12-$A136)*(C$3*10^12-$A135)*-1&lt;0,0,1)*IF(ABS(C$3*10^12-$A136)&gt;(C$3*10^12-$A135),$A135,$A136))</f>
        <v>0</v>
      </c>
      <c r="D135">
        <f t="shared" si="39"/>
        <v>0</v>
      </c>
      <c r="E135">
        <f t="shared" si="39"/>
        <v>0</v>
      </c>
      <c r="F135">
        <f t="shared" si="35"/>
        <v>0</v>
      </c>
      <c r="G135">
        <f t="shared" si="35"/>
        <v>0</v>
      </c>
      <c r="H135">
        <f t="shared" si="35"/>
        <v>0</v>
      </c>
      <c r="I135">
        <f t="shared" si="35"/>
        <v>0</v>
      </c>
      <c r="J135">
        <f t="shared" si="35"/>
        <v>0</v>
      </c>
      <c r="K135">
        <f t="shared" si="35"/>
        <v>0</v>
      </c>
      <c r="L135">
        <f t="shared" si="35"/>
        <v>0</v>
      </c>
      <c r="M135">
        <f t="shared" si="36"/>
        <v>0</v>
      </c>
      <c r="N135" t="e">
        <f t="shared" si="37"/>
        <v>#REF!</v>
      </c>
    </row>
    <row r="136" spans="1:14" x14ac:dyDescent="0.25">
      <c r="A136">
        <f t="shared" si="28"/>
        <v>33000000000</v>
      </c>
      <c r="B136">
        <f t="shared" si="38"/>
        <v>0</v>
      </c>
      <c r="C136">
        <f t="shared" si="39"/>
        <v>0</v>
      </c>
      <c r="D136">
        <f t="shared" si="39"/>
        <v>0</v>
      </c>
      <c r="E136">
        <f t="shared" si="39"/>
        <v>0</v>
      </c>
      <c r="F136">
        <f t="shared" si="35"/>
        <v>0</v>
      </c>
      <c r="G136">
        <f t="shared" si="35"/>
        <v>0</v>
      </c>
      <c r="H136">
        <f t="shared" si="35"/>
        <v>0</v>
      </c>
      <c r="I136">
        <f t="shared" si="35"/>
        <v>0</v>
      </c>
      <c r="J136">
        <f t="shared" si="35"/>
        <v>0</v>
      </c>
      <c r="K136">
        <f t="shared" si="35"/>
        <v>0</v>
      </c>
      <c r="L136">
        <f t="shared" si="35"/>
        <v>0</v>
      </c>
      <c r="M136">
        <f t="shared" si="36"/>
        <v>0</v>
      </c>
      <c r="N136" t="e">
        <f t="shared" si="37"/>
        <v>#REF!</v>
      </c>
    </row>
    <row r="137" spans="1:14" x14ac:dyDescent="0.25">
      <c r="A137">
        <f t="shared" si="28"/>
        <v>39000000000</v>
      </c>
      <c r="B137">
        <f t="shared" si="38"/>
        <v>0</v>
      </c>
      <c r="C137">
        <f t="shared" si="39"/>
        <v>0</v>
      </c>
      <c r="D137">
        <f t="shared" si="39"/>
        <v>0</v>
      </c>
      <c r="E137">
        <f t="shared" si="39"/>
        <v>0</v>
      </c>
      <c r="F137">
        <f t="shared" si="35"/>
        <v>0</v>
      </c>
      <c r="G137">
        <f t="shared" si="35"/>
        <v>0</v>
      </c>
      <c r="H137">
        <f t="shared" si="35"/>
        <v>0</v>
      </c>
      <c r="I137">
        <f t="shared" si="35"/>
        <v>0</v>
      </c>
      <c r="J137">
        <f t="shared" si="35"/>
        <v>0</v>
      </c>
      <c r="K137">
        <f t="shared" si="35"/>
        <v>0</v>
      </c>
      <c r="L137">
        <f t="shared" si="35"/>
        <v>0</v>
      </c>
      <c r="M137">
        <f t="shared" si="36"/>
        <v>0</v>
      </c>
      <c r="N137" t="e">
        <f t="shared" si="37"/>
        <v>#REF!</v>
      </c>
    </row>
    <row r="138" spans="1:14" x14ac:dyDescent="0.25">
      <c r="A138">
        <f t="shared" si="28"/>
        <v>47000000000</v>
      </c>
      <c r="B138">
        <f t="shared" si="38"/>
        <v>0</v>
      </c>
      <c r="C138">
        <f t="shared" si="39"/>
        <v>0</v>
      </c>
      <c r="D138">
        <f t="shared" si="39"/>
        <v>0</v>
      </c>
      <c r="E138">
        <f t="shared" si="39"/>
        <v>0</v>
      </c>
      <c r="F138">
        <f t="shared" si="35"/>
        <v>0</v>
      </c>
      <c r="G138">
        <f t="shared" si="35"/>
        <v>0</v>
      </c>
      <c r="H138">
        <f t="shared" si="35"/>
        <v>0</v>
      </c>
      <c r="I138">
        <f t="shared" si="35"/>
        <v>0</v>
      </c>
      <c r="J138">
        <f t="shared" si="35"/>
        <v>0</v>
      </c>
      <c r="K138">
        <f t="shared" si="35"/>
        <v>0</v>
      </c>
      <c r="L138">
        <f t="shared" si="35"/>
        <v>0</v>
      </c>
      <c r="M138">
        <f t="shared" si="36"/>
        <v>0</v>
      </c>
      <c r="N138" t="e">
        <f t="shared" si="37"/>
        <v>#REF!</v>
      </c>
    </row>
    <row r="139" spans="1:14" x14ac:dyDescent="0.25">
      <c r="A139">
        <f t="shared" si="28"/>
        <v>56000000000</v>
      </c>
      <c r="B139">
        <f t="shared" si="38"/>
        <v>0</v>
      </c>
      <c r="C139">
        <f t="shared" si="39"/>
        <v>0</v>
      </c>
      <c r="D139">
        <f t="shared" si="39"/>
        <v>0</v>
      </c>
      <c r="E139">
        <f t="shared" si="39"/>
        <v>0</v>
      </c>
      <c r="F139">
        <f t="shared" si="35"/>
        <v>0</v>
      </c>
      <c r="G139">
        <f t="shared" si="35"/>
        <v>0</v>
      </c>
      <c r="H139">
        <f t="shared" si="35"/>
        <v>0</v>
      </c>
      <c r="I139">
        <f t="shared" si="35"/>
        <v>0</v>
      </c>
      <c r="J139">
        <f t="shared" si="35"/>
        <v>0</v>
      </c>
      <c r="K139">
        <f t="shared" si="35"/>
        <v>0</v>
      </c>
      <c r="L139">
        <f t="shared" si="35"/>
        <v>0</v>
      </c>
      <c r="M139">
        <f t="shared" si="36"/>
        <v>0</v>
      </c>
      <c r="N139" t="e">
        <f t="shared" si="37"/>
        <v>#REF!</v>
      </c>
    </row>
    <row r="140" spans="1:14" x14ac:dyDescent="0.25">
      <c r="A140">
        <f t="shared" si="28"/>
        <v>68000000000</v>
      </c>
      <c r="B140">
        <f t="shared" si="38"/>
        <v>0</v>
      </c>
      <c r="C140">
        <f t="shared" si="39"/>
        <v>0</v>
      </c>
      <c r="D140">
        <f t="shared" si="39"/>
        <v>0</v>
      </c>
      <c r="E140">
        <f t="shared" si="39"/>
        <v>0</v>
      </c>
      <c r="F140">
        <f t="shared" si="35"/>
        <v>0</v>
      </c>
      <c r="G140">
        <f t="shared" si="35"/>
        <v>0</v>
      </c>
      <c r="H140">
        <f t="shared" si="35"/>
        <v>0</v>
      </c>
      <c r="I140">
        <f t="shared" si="35"/>
        <v>0</v>
      </c>
      <c r="J140">
        <f t="shared" si="35"/>
        <v>0</v>
      </c>
      <c r="K140">
        <f t="shared" si="35"/>
        <v>0</v>
      </c>
      <c r="L140">
        <f t="shared" si="35"/>
        <v>0</v>
      </c>
      <c r="M140">
        <f t="shared" si="36"/>
        <v>0</v>
      </c>
      <c r="N140" t="e">
        <f t="shared" si="37"/>
        <v>#REF!</v>
      </c>
    </row>
    <row r="141" spans="1:14" x14ac:dyDescent="0.25">
      <c r="A141">
        <f t="shared" si="28"/>
        <v>82000000000</v>
      </c>
      <c r="B141">
        <f t="shared" si="38"/>
        <v>0</v>
      </c>
      <c r="C141">
        <f t="shared" si="39"/>
        <v>0</v>
      </c>
      <c r="D141">
        <f t="shared" si="39"/>
        <v>0</v>
      </c>
      <c r="E141">
        <f t="shared" si="39"/>
        <v>0</v>
      </c>
      <c r="F141">
        <f t="shared" si="35"/>
        <v>0</v>
      </c>
      <c r="G141">
        <f t="shared" si="35"/>
        <v>0</v>
      </c>
      <c r="H141">
        <f t="shared" si="35"/>
        <v>0</v>
      </c>
      <c r="I141">
        <f t="shared" si="35"/>
        <v>0</v>
      </c>
      <c r="J141">
        <f t="shared" si="35"/>
        <v>0</v>
      </c>
      <c r="K141">
        <f t="shared" si="35"/>
        <v>0</v>
      </c>
      <c r="L141">
        <f t="shared" si="35"/>
        <v>0</v>
      </c>
      <c r="M141">
        <f t="shared" si="36"/>
        <v>0</v>
      </c>
      <c r="N141" t="e">
        <f t="shared" si="37"/>
        <v>#REF!</v>
      </c>
    </row>
    <row r="142" spans="1:14" x14ac:dyDescent="0.25">
      <c r="A142">
        <f t="shared" si="28"/>
        <v>100000000000</v>
      </c>
      <c r="B142">
        <f t="shared" si="38"/>
        <v>0</v>
      </c>
      <c r="C142">
        <f t="shared" si="39"/>
        <v>0</v>
      </c>
      <c r="D142">
        <f t="shared" si="39"/>
        <v>0</v>
      </c>
      <c r="E142">
        <f t="shared" si="39"/>
        <v>0</v>
      </c>
      <c r="F142">
        <f t="shared" si="35"/>
        <v>0</v>
      </c>
      <c r="G142">
        <f t="shared" si="35"/>
        <v>0</v>
      </c>
      <c r="H142">
        <f t="shared" si="35"/>
        <v>0</v>
      </c>
      <c r="I142">
        <f t="shared" si="35"/>
        <v>0</v>
      </c>
      <c r="J142">
        <f t="shared" si="35"/>
        <v>0</v>
      </c>
      <c r="K142">
        <f t="shared" si="35"/>
        <v>0</v>
      </c>
      <c r="L142">
        <f t="shared" si="35"/>
        <v>0</v>
      </c>
      <c r="M142">
        <f t="shared" si="36"/>
        <v>0</v>
      </c>
      <c r="N142" t="e">
        <f t="shared" si="37"/>
        <v>#REF!</v>
      </c>
    </row>
    <row r="143" spans="1:14" x14ac:dyDescent="0.25">
      <c r="A143">
        <f t="shared" si="28"/>
        <v>120000000000</v>
      </c>
      <c r="B143">
        <f t="shared" si="38"/>
        <v>0</v>
      </c>
      <c r="C143">
        <f t="shared" si="39"/>
        <v>0</v>
      </c>
      <c r="D143">
        <f t="shared" si="39"/>
        <v>0</v>
      </c>
      <c r="E143">
        <f t="shared" si="39"/>
        <v>0</v>
      </c>
      <c r="F143">
        <f t="shared" si="35"/>
        <v>0</v>
      </c>
      <c r="G143">
        <f t="shared" si="35"/>
        <v>0</v>
      </c>
      <c r="H143">
        <f t="shared" si="35"/>
        <v>0</v>
      </c>
      <c r="I143">
        <f t="shared" si="35"/>
        <v>0</v>
      </c>
      <c r="J143">
        <f t="shared" si="35"/>
        <v>0</v>
      </c>
      <c r="K143">
        <f t="shared" si="35"/>
        <v>0</v>
      </c>
      <c r="L143">
        <f t="shared" si="35"/>
        <v>0</v>
      </c>
      <c r="M143">
        <f t="shared" si="36"/>
        <v>0</v>
      </c>
      <c r="N143" t="e">
        <f t="shared" si="37"/>
        <v>#REF!</v>
      </c>
    </row>
    <row r="144" spans="1:14" x14ac:dyDescent="0.25">
      <c r="A144">
        <f t="shared" si="28"/>
        <v>150000000000</v>
      </c>
      <c r="B144">
        <f t="shared" si="38"/>
        <v>0</v>
      </c>
      <c r="C144">
        <f t="shared" si="39"/>
        <v>0</v>
      </c>
      <c r="D144">
        <f t="shared" si="39"/>
        <v>0</v>
      </c>
      <c r="E144">
        <f t="shared" si="39"/>
        <v>0</v>
      </c>
      <c r="F144">
        <f t="shared" si="35"/>
        <v>0</v>
      </c>
      <c r="G144">
        <f t="shared" si="35"/>
        <v>0</v>
      </c>
      <c r="H144">
        <f t="shared" si="35"/>
        <v>0</v>
      </c>
      <c r="I144">
        <f t="shared" si="35"/>
        <v>0</v>
      </c>
      <c r="J144">
        <f t="shared" si="35"/>
        <v>0</v>
      </c>
      <c r="K144">
        <f t="shared" si="35"/>
        <v>0</v>
      </c>
      <c r="L144">
        <f t="shared" si="35"/>
        <v>0</v>
      </c>
      <c r="M144">
        <f t="shared" si="36"/>
        <v>0</v>
      </c>
      <c r="N144" t="e">
        <f t="shared" si="37"/>
        <v>#REF!</v>
      </c>
    </row>
    <row r="145" spans="1:14" x14ac:dyDescent="0.25">
      <c r="A145">
        <f t="shared" si="28"/>
        <v>180000000000</v>
      </c>
      <c r="B145">
        <f t="shared" si="38"/>
        <v>0</v>
      </c>
      <c r="C145">
        <f t="shared" si="39"/>
        <v>0</v>
      </c>
      <c r="D145">
        <f t="shared" si="39"/>
        <v>0</v>
      </c>
      <c r="E145">
        <f t="shared" si="39"/>
        <v>0</v>
      </c>
      <c r="F145">
        <f t="shared" si="35"/>
        <v>0</v>
      </c>
      <c r="G145">
        <f t="shared" si="35"/>
        <v>0</v>
      </c>
      <c r="H145">
        <f t="shared" si="35"/>
        <v>0</v>
      </c>
      <c r="I145">
        <f t="shared" si="35"/>
        <v>0</v>
      </c>
      <c r="J145">
        <f t="shared" si="35"/>
        <v>0</v>
      </c>
      <c r="K145">
        <f t="shared" si="35"/>
        <v>0</v>
      </c>
      <c r="L145">
        <f t="shared" si="35"/>
        <v>0</v>
      </c>
      <c r="M145">
        <f t="shared" si="36"/>
        <v>0</v>
      </c>
      <c r="N145" t="e">
        <f t="shared" si="37"/>
        <v>#REF!</v>
      </c>
    </row>
    <row r="146" spans="1:14" x14ac:dyDescent="0.25">
      <c r="A146">
        <f t="shared" si="28"/>
        <v>220000000000</v>
      </c>
      <c r="B146">
        <f t="shared" si="38"/>
        <v>0</v>
      </c>
      <c r="C146">
        <f t="shared" si="39"/>
        <v>0</v>
      </c>
      <c r="D146">
        <f t="shared" si="39"/>
        <v>0</v>
      </c>
      <c r="E146">
        <f t="shared" si="39"/>
        <v>0</v>
      </c>
      <c r="F146">
        <f t="shared" si="35"/>
        <v>0</v>
      </c>
      <c r="G146">
        <f t="shared" si="35"/>
        <v>0</v>
      </c>
      <c r="H146">
        <f t="shared" si="35"/>
        <v>0</v>
      </c>
      <c r="I146">
        <f t="shared" si="35"/>
        <v>0</v>
      </c>
      <c r="J146">
        <f t="shared" si="35"/>
        <v>0</v>
      </c>
      <c r="K146">
        <f t="shared" si="35"/>
        <v>0</v>
      </c>
      <c r="L146">
        <f t="shared" si="35"/>
        <v>0</v>
      </c>
      <c r="M146">
        <f t="shared" si="36"/>
        <v>0</v>
      </c>
      <c r="N146" t="e">
        <f t="shared" si="37"/>
        <v>#REF!</v>
      </c>
    </row>
    <row r="147" spans="1:14" x14ac:dyDescent="0.25">
      <c r="A147">
        <f t="shared" si="28"/>
        <v>270000000000</v>
      </c>
      <c r="B147">
        <f t="shared" si="38"/>
        <v>0</v>
      </c>
      <c r="C147">
        <f t="shared" si="39"/>
        <v>0</v>
      </c>
      <c r="D147">
        <f t="shared" si="39"/>
        <v>0</v>
      </c>
      <c r="E147">
        <f t="shared" si="39"/>
        <v>0</v>
      </c>
      <c r="F147">
        <f t="shared" si="35"/>
        <v>0</v>
      </c>
      <c r="G147">
        <f t="shared" si="35"/>
        <v>0</v>
      </c>
      <c r="H147">
        <f t="shared" si="35"/>
        <v>0</v>
      </c>
      <c r="I147">
        <f t="shared" si="35"/>
        <v>0</v>
      </c>
      <c r="J147">
        <f t="shared" si="35"/>
        <v>0</v>
      </c>
      <c r="K147">
        <f t="shared" si="35"/>
        <v>0</v>
      </c>
      <c r="L147">
        <f t="shared" si="35"/>
        <v>0</v>
      </c>
      <c r="M147">
        <f t="shared" si="36"/>
        <v>0</v>
      </c>
      <c r="N147" t="e">
        <f t="shared" si="37"/>
        <v>#REF!</v>
      </c>
    </row>
    <row r="148" spans="1:14" x14ac:dyDescent="0.25">
      <c r="A148">
        <f t="shared" si="28"/>
        <v>330000000000</v>
      </c>
      <c r="B148">
        <f t="shared" si="38"/>
        <v>0</v>
      </c>
      <c r="C148">
        <f t="shared" si="39"/>
        <v>0</v>
      </c>
      <c r="D148">
        <f t="shared" si="39"/>
        <v>0</v>
      </c>
      <c r="E148">
        <f t="shared" si="39"/>
        <v>0</v>
      </c>
      <c r="F148">
        <f t="shared" si="35"/>
        <v>0</v>
      </c>
      <c r="G148">
        <f t="shared" si="35"/>
        <v>0</v>
      </c>
      <c r="H148">
        <f t="shared" si="35"/>
        <v>0</v>
      </c>
      <c r="I148">
        <f t="shared" si="35"/>
        <v>0</v>
      </c>
      <c r="J148">
        <f t="shared" si="35"/>
        <v>0</v>
      </c>
      <c r="K148">
        <f t="shared" si="35"/>
        <v>0</v>
      </c>
      <c r="L148">
        <f t="shared" si="35"/>
        <v>0</v>
      </c>
      <c r="M148">
        <f t="shared" si="36"/>
        <v>0</v>
      </c>
      <c r="N148" t="e">
        <f t="shared" si="37"/>
        <v>#REF!</v>
      </c>
    </row>
    <row r="149" spans="1:14" x14ac:dyDescent="0.25">
      <c r="A149">
        <f t="shared" si="28"/>
        <v>390000000000</v>
      </c>
      <c r="B149">
        <f t="shared" si="38"/>
        <v>0</v>
      </c>
      <c r="C149">
        <f t="shared" si="39"/>
        <v>0</v>
      </c>
      <c r="D149">
        <f t="shared" si="39"/>
        <v>0</v>
      </c>
      <c r="E149">
        <f t="shared" si="39"/>
        <v>0</v>
      </c>
      <c r="F149">
        <f t="shared" si="35"/>
        <v>0</v>
      </c>
      <c r="G149">
        <f t="shared" si="35"/>
        <v>0</v>
      </c>
      <c r="H149">
        <f t="shared" si="35"/>
        <v>0</v>
      </c>
      <c r="I149">
        <f t="shared" si="35"/>
        <v>0</v>
      </c>
      <c r="J149">
        <f t="shared" si="35"/>
        <v>0</v>
      </c>
      <c r="K149">
        <f t="shared" si="35"/>
        <v>0</v>
      </c>
      <c r="L149">
        <f t="shared" si="35"/>
        <v>0</v>
      </c>
      <c r="M149">
        <f t="shared" si="36"/>
        <v>0</v>
      </c>
      <c r="N149" t="e">
        <f t="shared" si="37"/>
        <v>#REF!</v>
      </c>
    </row>
    <row r="150" spans="1:14" x14ac:dyDescent="0.25">
      <c r="A150">
        <f t="shared" si="28"/>
        <v>470000000000</v>
      </c>
      <c r="B150">
        <f t="shared" si="38"/>
        <v>0</v>
      </c>
      <c r="C150">
        <f t="shared" si="39"/>
        <v>0</v>
      </c>
      <c r="D150">
        <f t="shared" si="39"/>
        <v>0</v>
      </c>
      <c r="E150">
        <f t="shared" si="39"/>
        <v>0</v>
      </c>
      <c r="F150">
        <f t="shared" si="35"/>
        <v>0</v>
      </c>
      <c r="G150">
        <f t="shared" si="35"/>
        <v>0</v>
      </c>
      <c r="H150">
        <f t="shared" si="35"/>
        <v>0</v>
      </c>
      <c r="I150">
        <f t="shared" si="35"/>
        <v>0</v>
      </c>
      <c r="J150">
        <f t="shared" si="35"/>
        <v>0</v>
      </c>
      <c r="K150">
        <f t="shared" si="35"/>
        <v>0</v>
      </c>
      <c r="L150">
        <f t="shared" si="35"/>
        <v>0</v>
      </c>
      <c r="M150">
        <f t="shared" si="36"/>
        <v>0</v>
      </c>
      <c r="N150" t="e">
        <f t="shared" si="37"/>
        <v>#REF!</v>
      </c>
    </row>
    <row r="151" spans="1:14" x14ac:dyDescent="0.25">
      <c r="A151">
        <f t="shared" si="28"/>
        <v>560000000000</v>
      </c>
      <c r="B151">
        <f t="shared" si="38"/>
        <v>0</v>
      </c>
      <c r="C151">
        <f t="shared" si="39"/>
        <v>0</v>
      </c>
      <c r="D151">
        <f t="shared" si="39"/>
        <v>0</v>
      </c>
      <c r="E151">
        <f t="shared" si="39"/>
        <v>0</v>
      </c>
      <c r="F151">
        <f t="shared" si="35"/>
        <v>0</v>
      </c>
      <c r="G151">
        <f t="shared" si="35"/>
        <v>0</v>
      </c>
      <c r="H151">
        <f t="shared" si="35"/>
        <v>0</v>
      </c>
      <c r="I151">
        <f t="shared" si="35"/>
        <v>0</v>
      </c>
      <c r="J151">
        <f t="shared" si="35"/>
        <v>0</v>
      </c>
      <c r="K151">
        <f t="shared" si="35"/>
        <v>0</v>
      </c>
      <c r="L151">
        <f t="shared" si="35"/>
        <v>0</v>
      </c>
      <c r="M151">
        <f t="shared" si="36"/>
        <v>0</v>
      </c>
      <c r="N151" t="e">
        <f t="shared" si="37"/>
        <v>#REF!</v>
      </c>
    </row>
    <row r="152" spans="1:14" x14ac:dyDescent="0.25">
      <c r="A152">
        <f t="shared" si="28"/>
        <v>680000000000</v>
      </c>
      <c r="B152">
        <f t="shared" si="38"/>
        <v>0</v>
      </c>
      <c r="C152">
        <f t="shared" si="39"/>
        <v>0</v>
      </c>
      <c r="D152">
        <f t="shared" si="39"/>
        <v>0</v>
      </c>
      <c r="E152">
        <f t="shared" si="39"/>
        <v>0</v>
      </c>
      <c r="F152">
        <f t="shared" si="35"/>
        <v>0</v>
      </c>
      <c r="G152">
        <f t="shared" si="35"/>
        <v>0</v>
      </c>
      <c r="H152">
        <f t="shared" si="35"/>
        <v>0</v>
      </c>
      <c r="I152">
        <f t="shared" si="35"/>
        <v>0</v>
      </c>
      <c r="J152">
        <f t="shared" si="35"/>
        <v>0</v>
      </c>
      <c r="K152">
        <f t="shared" si="35"/>
        <v>0</v>
      </c>
      <c r="L152">
        <f t="shared" si="35"/>
        <v>0</v>
      </c>
      <c r="M152">
        <f t="shared" si="36"/>
        <v>0</v>
      </c>
      <c r="N152" t="e">
        <f t="shared" si="37"/>
        <v>#REF!</v>
      </c>
    </row>
    <row r="153" spans="1:14" x14ac:dyDescent="0.25">
      <c r="A153">
        <f t="shared" si="28"/>
        <v>820000000000</v>
      </c>
      <c r="B153">
        <f t="shared" si="38"/>
        <v>0</v>
      </c>
      <c r="C153">
        <f t="shared" si="39"/>
        <v>0</v>
      </c>
      <c r="D153">
        <f t="shared" si="39"/>
        <v>0</v>
      </c>
      <c r="E153">
        <f t="shared" si="39"/>
        <v>0</v>
      </c>
      <c r="F153">
        <f t="shared" si="35"/>
        <v>0</v>
      </c>
      <c r="G153">
        <f t="shared" si="35"/>
        <v>0</v>
      </c>
      <c r="H153">
        <f t="shared" si="35"/>
        <v>0</v>
      </c>
      <c r="I153">
        <f t="shared" si="35"/>
        <v>0</v>
      </c>
      <c r="J153">
        <f t="shared" si="35"/>
        <v>0</v>
      </c>
      <c r="K153">
        <f t="shared" si="35"/>
        <v>0</v>
      </c>
      <c r="L153">
        <f t="shared" si="35"/>
        <v>0</v>
      </c>
      <c r="M153">
        <f t="shared" si="36"/>
        <v>0</v>
      </c>
      <c r="N153" t="e">
        <f t="shared" si="37"/>
        <v>#REF!</v>
      </c>
    </row>
    <row r="154" spans="1:14" x14ac:dyDescent="0.25">
      <c r="A154">
        <f t="shared" si="28"/>
        <v>1000000000000</v>
      </c>
      <c r="B154">
        <f t="shared" si="38"/>
        <v>0</v>
      </c>
      <c r="C154">
        <f t="shared" si="39"/>
        <v>0</v>
      </c>
      <c r="D154">
        <f t="shared" si="39"/>
        <v>0</v>
      </c>
      <c r="E154">
        <f t="shared" si="39"/>
        <v>0</v>
      </c>
      <c r="F154">
        <f t="shared" si="35"/>
        <v>0</v>
      </c>
      <c r="G154">
        <f t="shared" si="35"/>
        <v>0</v>
      </c>
      <c r="H154">
        <f t="shared" si="35"/>
        <v>0</v>
      </c>
      <c r="I154">
        <f t="shared" si="35"/>
        <v>0</v>
      </c>
      <c r="J154">
        <f t="shared" si="35"/>
        <v>0</v>
      </c>
      <c r="K154">
        <f t="shared" si="35"/>
        <v>0</v>
      </c>
      <c r="L154">
        <f t="shared" si="35"/>
        <v>0</v>
      </c>
      <c r="M154">
        <f t="shared" si="36"/>
        <v>0</v>
      </c>
      <c r="N154" t="e">
        <f t="shared" si="37"/>
        <v>#REF!</v>
      </c>
    </row>
    <row r="155" spans="1:14" x14ac:dyDescent="0.25">
      <c r="A155">
        <f t="shared" si="28"/>
        <v>1200000000000</v>
      </c>
      <c r="B155">
        <f t="shared" si="38"/>
        <v>0</v>
      </c>
      <c r="C155">
        <f t="shared" si="39"/>
        <v>0</v>
      </c>
      <c r="D155">
        <f t="shared" si="39"/>
        <v>0</v>
      </c>
      <c r="E155">
        <f t="shared" si="39"/>
        <v>0</v>
      </c>
      <c r="F155">
        <f t="shared" si="35"/>
        <v>0</v>
      </c>
      <c r="G155">
        <f t="shared" si="35"/>
        <v>0</v>
      </c>
      <c r="H155">
        <f t="shared" si="35"/>
        <v>0</v>
      </c>
      <c r="I155">
        <f t="shared" si="35"/>
        <v>0</v>
      </c>
      <c r="J155">
        <f t="shared" si="35"/>
        <v>0</v>
      </c>
      <c r="K155">
        <f t="shared" si="35"/>
        <v>0</v>
      </c>
      <c r="L155">
        <f t="shared" si="35"/>
        <v>0</v>
      </c>
      <c r="M155">
        <f t="shared" si="36"/>
        <v>0</v>
      </c>
      <c r="N155" t="e">
        <f t="shared" si="37"/>
        <v>#REF!</v>
      </c>
    </row>
    <row r="156" spans="1:14" x14ac:dyDescent="0.25">
      <c r="A156">
        <f t="shared" si="28"/>
        <v>1500000000000</v>
      </c>
      <c r="B156">
        <f t="shared" si="38"/>
        <v>0</v>
      </c>
      <c r="C156">
        <f t="shared" si="39"/>
        <v>0</v>
      </c>
      <c r="D156">
        <f t="shared" si="39"/>
        <v>0</v>
      </c>
      <c r="E156">
        <f t="shared" si="39"/>
        <v>0</v>
      </c>
      <c r="F156">
        <f t="shared" si="35"/>
        <v>0</v>
      </c>
      <c r="G156">
        <f t="shared" si="35"/>
        <v>0</v>
      </c>
      <c r="H156">
        <f t="shared" si="35"/>
        <v>0</v>
      </c>
      <c r="I156">
        <f t="shared" si="35"/>
        <v>0</v>
      </c>
      <c r="J156">
        <f t="shared" si="35"/>
        <v>0</v>
      </c>
      <c r="K156">
        <f t="shared" si="35"/>
        <v>0</v>
      </c>
      <c r="L156">
        <f t="shared" si="35"/>
        <v>0</v>
      </c>
      <c r="M156">
        <f t="shared" si="36"/>
        <v>0</v>
      </c>
      <c r="N156" t="e">
        <f t="shared" si="37"/>
        <v>#REF!</v>
      </c>
    </row>
    <row r="157" spans="1:14" x14ac:dyDescent="0.25">
      <c r="A157">
        <f t="shared" si="28"/>
        <v>1800000000000</v>
      </c>
      <c r="B157">
        <f t="shared" si="38"/>
        <v>0</v>
      </c>
      <c r="C157">
        <f t="shared" si="39"/>
        <v>0</v>
      </c>
      <c r="D157">
        <f t="shared" si="39"/>
        <v>0</v>
      </c>
      <c r="E157">
        <f t="shared" si="39"/>
        <v>0</v>
      </c>
      <c r="F157">
        <f t="shared" si="35"/>
        <v>0</v>
      </c>
      <c r="G157">
        <f t="shared" si="35"/>
        <v>0</v>
      </c>
      <c r="H157">
        <f t="shared" si="35"/>
        <v>0</v>
      </c>
      <c r="I157">
        <f t="shared" si="35"/>
        <v>0</v>
      </c>
      <c r="J157">
        <f t="shared" si="35"/>
        <v>0</v>
      </c>
      <c r="K157">
        <f t="shared" si="35"/>
        <v>0</v>
      </c>
      <c r="L157">
        <f t="shared" si="35"/>
        <v>0</v>
      </c>
      <c r="M157">
        <f t="shared" si="36"/>
        <v>0</v>
      </c>
      <c r="N157" t="e">
        <f t="shared" si="37"/>
        <v>#REF!</v>
      </c>
    </row>
    <row r="158" spans="1:14" x14ac:dyDescent="0.25">
      <c r="A158">
        <f t="shared" si="28"/>
        <v>2200000000000</v>
      </c>
      <c r="B158">
        <f t="shared" si="38"/>
        <v>0</v>
      </c>
      <c r="C158">
        <f t="shared" si="39"/>
        <v>0</v>
      </c>
      <c r="D158">
        <f t="shared" si="39"/>
        <v>0</v>
      </c>
      <c r="E158">
        <f t="shared" si="39"/>
        <v>0</v>
      </c>
      <c r="F158">
        <f t="shared" si="35"/>
        <v>0</v>
      </c>
      <c r="G158">
        <f t="shared" si="35"/>
        <v>0</v>
      </c>
      <c r="H158">
        <f t="shared" si="35"/>
        <v>0</v>
      </c>
      <c r="I158">
        <f t="shared" si="35"/>
        <v>0</v>
      </c>
      <c r="J158">
        <f t="shared" si="35"/>
        <v>0</v>
      </c>
      <c r="K158">
        <f t="shared" si="35"/>
        <v>0</v>
      </c>
      <c r="L158">
        <f t="shared" si="35"/>
        <v>0</v>
      </c>
      <c r="M158">
        <f t="shared" si="36"/>
        <v>0</v>
      </c>
      <c r="N158" t="e">
        <f t="shared" si="37"/>
        <v>#REF!</v>
      </c>
    </row>
    <row r="159" spans="1:14" x14ac:dyDescent="0.25">
      <c r="A159" s="53">
        <f t="shared" si="28"/>
        <v>2700000000000</v>
      </c>
      <c r="B159">
        <f t="shared" si="38"/>
        <v>2700000000000</v>
      </c>
      <c r="C159">
        <f t="shared" si="39"/>
        <v>2700000000000</v>
      </c>
      <c r="D159">
        <f t="shared" si="39"/>
        <v>2700000000000</v>
      </c>
      <c r="E159">
        <f t="shared" si="39"/>
        <v>2700000000000</v>
      </c>
      <c r="F159">
        <f t="shared" si="35"/>
        <v>2700000000000</v>
      </c>
      <c r="G159">
        <f t="shared" si="35"/>
        <v>2700000000000</v>
      </c>
      <c r="H159">
        <f t="shared" si="35"/>
        <v>2700000000000</v>
      </c>
      <c r="I159">
        <f t="shared" si="35"/>
        <v>2700000000000</v>
      </c>
      <c r="J159">
        <f t="shared" si="35"/>
        <v>2700000000000</v>
      </c>
      <c r="K159">
        <f t="shared" si="35"/>
        <v>0</v>
      </c>
      <c r="L159">
        <f t="shared" si="35"/>
        <v>2700000000000</v>
      </c>
      <c r="M159">
        <f t="shared" si="36"/>
        <v>2700000000000</v>
      </c>
      <c r="N159" t="e">
        <f t="shared" si="37"/>
        <v>#REF!</v>
      </c>
    </row>
  </sheetData>
  <phoneticPr fontId="5" type="noConversion"/>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CC692"/>
  <sheetViews>
    <sheetView topLeftCell="A663" workbookViewId="0">
      <selection activeCell="B691" sqref="B691:B692"/>
    </sheetView>
  </sheetViews>
  <sheetFormatPr defaultRowHeight="13.2" x14ac:dyDescent="0.25"/>
  <cols>
    <col min="1" max="1" width="10.44140625" customWidth="1"/>
    <col min="2" max="2" width="10" bestFit="1" customWidth="1"/>
    <col min="4" max="4" width="12.44140625" bestFit="1" customWidth="1"/>
    <col min="7" max="7" width="11.109375" customWidth="1"/>
    <col min="8" max="8" width="13.109375" bestFit="1" customWidth="1"/>
    <col min="13" max="14" width="12.44140625" bestFit="1" customWidth="1"/>
    <col min="16" max="16" width="12.44140625" bestFit="1" customWidth="1"/>
    <col min="18" max="18" width="13.109375" bestFit="1" customWidth="1"/>
    <col min="20" max="20" width="13.109375" bestFit="1" customWidth="1"/>
    <col min="22" max="22" width="13.109375" bestFit="1" customWidth="1"/>
    <col min="24" max="24" width="13.88671875" bestFit="1" customWidth="1"/>
    <col min="25" max="25" width="12.5546875" bestFit="1" customWidth="1"/>
    <col min="26" max="26" width="12.44140625" bestFit="1" customWidth="1"/>
    <col min="28" max="28" width="3.109375" style="6" customWidth="1"/>
    <col min="29" max="32" width="8.5546875" customWidth="1"/>
    <col min="33" max="33" width="13.109375" bestFit="1" customWidth="1"/>
    <col min="34" max="34" width="9.5546875" bestFit="1" customWidth="1"/>
    <col min="35" max="35" width="10" bestFit="1" customWidth="1"/>
    <col min="36" max="39" width="8.88671875" customWidth="1"/>
    <col min="43" max="43" width="12.44140625" bestFit="1" customWidth="1"/>
    <col min="45" max="46" width="12.44140625" bestFit="1" customWidth="1"/>
    <col min="47" max="47" width="13.109375" bestFit="1" customWidth="1"/>
    <col min="49" max="49" width="13.109375" bestFit="1" customWidth="1"/>
    <col min="50" max="50" width="11" bestFit="1" customWidth="1"/>
    <col min="54" max="54" width="12.44140625" customWidth="1"/>
    <col min="55" max="55" width="10.109375" customWidth="1"/>
    <col min="58" max="58" width="11" customWidth="1"/>
    <col min="59" max="59" width="13" customWidth="1"/>
    <col min="60" max="60" width="16.88671875" customWidth="1"/>
    <col min="62" max="62" width="12.33203125" customWidth="1"/>
    <col min="66" max="66" width="13.109375" bestFit="1" customWidth="1"/>
    <col min="72" max="72" width="10.5546875" customWidth="1"/>
  </cols>
  <sheetData>
    <row r="1" spans="1:81" ht="38.25" customHeight="1" x14ac:dyDescent="0.4">
      <c r="A1" s="564" t="s">
        <v>45</v>
      </c>
      <c r="B1" s="564"/>
      <c r="C1" s="564"/>
      <c r="D1" s="564"/>
      <c r="E1" s="564"/>
      <c r="F1" s="564"/>
      <c r="G1" s="564"/>
      <c r="AC1" s="8" t="s">
        <v>106</v>
      </c>
      <c r="AD1" s="5"/>
      <c r="AE1" s="5"/>
      <c r="AF1" s="5"/>
      <c r="AG1" s="5"/>
    </row>
    <row r="3" spans="1:81" x14ac:dyDescent="0.25">
      <c r="AT3">
        <f>AT9/10000000000000</f>
        <v>-3.9290184239001915E-5</v>
      </c>
      <c r="AU3">
        <f>AU9/10000000000000</f>
        <v>-2.2899913298400982E-2</v>
      </c>
    </row>
    <row r="4" spans="1:81" x14ac:dyDescent="0.25">
      <c r="AT4">
        <f>AT3*1000</f>
        <v>-3.9290184239001914E-2</v>
      </c>
      <c r="AU4">
        <f>AU3*1000</f>
        <v>-22.899913298400982</v>
      </c>
      <c r="BJ4" s="5" t="s">
        <v>111</v>
      </c>
      <c r="BK4" s="5"/>
    </row>
    <row r="5" spans="1:81" x14ac:dyDescent="0.25">
      <c r="AC5" t="s">
        <v>93</v>
      </c>
      <c r="AD5" t="s">
        <v>94</v>
      </c>
      <c r="AE5" t="s">
        <v>95</v>
      </c>
      <c r="AF5" t="s">
        <v>96</v>
      </c>
      <c r="AJ5" t="s">
        <v>93</v>
      </c>
      <c r="AK5" t="s">
        <v>94</v>
      </c>
      <c r="AL5" t="s">
        <v>95</v>
      </c>
      <c r="AM5" t="s">
        <v>96</v>
      </c>
      <c r="BJ5" t="s">
        <v>84</v>
      </c>
      <c r="BK5">
        <f>SUM(BJ9:BJ626)/1000</f>
        <v>37</v>
      </c>
    </row>
    <row r="6" spans="1:81" x14ac:dyDescent="0.25">
      <c r="C6" s="565" t="s">
        <v>46</v>
      </c>
      <c r="D6" s="565"/>
      <c r="E6" s="565"/>
      <c r="F6" s="565"/>
      <c r="G6" s="565"/>
      <c r="H6" s="565"/>
      <c r="J6" s="7" t="s">
        <v>76</v>
      </c>
      <c r="M6" s="7" t="s">
        <v>37</v>
      </c>
      <c r="N6" s="5"/>
      <c r="O6" s="5"/>
      <c r="P6" s="5"/>
      <c r="Q6" s="5"/>
      <c r="R6" s="5"/>
      <c r="S6" s="5"/>
      <c r="T6" s="5"/>
      <c r="U6" s="5"/>
      <c r="V6" s="5"/>
      <c r="X6" s="7" t="s">
        <v>105</v>
      </c>
      <c r="Y6" s="5"/>
      <c r="Z6" s="5"/>
      <c r="AC6" s="5" t="s">
        <v>86</v>
      </c>
      <c r="AD6" s="5"/>
      <c r="AE6" s="5"/>
      <c r="AF6" s="5"/>
      <c r="AG6" s="5"/>
      <c r="AH6" s="5"/>
      <c r="AJ6" s="5" t="s">
        <v>87</v>
      </c>
      <c r="AK6" s="5"/>
      <c r="AL6" s="5"/>
      <c r="AM6" s="5"/>
      <c r="AN6" s="5"/>
      <c r="AO6" s="5"/>
      <c r="AQ6" s="5" t="s">
        <v>107</v>
      </c>
      <c r="AR6" s="5"/>
      <c r="AT6" s="5" t="s">
        <v>108</v>
      </c>
      <c r="AU6" s="5"/>
      <c r="AV6" s="5"/>
      <c r="AW6" s="5"/>
      <c r="AX6" s="5"/>
      <c r="AY6" s="5"/>
      <c r="BA6" s="5" t="s">
        <v>109</v>
      </c>
      <c r="BB6" s="5"/>
      <c r="BC6" s="5"/>
      <c r="BF6" s="5" t="s">
        <v>334</v>
      </c>
      <c r="BG6" s="5"/>
      <c r="BH6" s="5"/>
      <c r="BJ6" t="s">
        <v>85</v>
      </c>
      <c r="BK6" s="4">
        <f>SUM(BK10:BK627)</f>
        <v>67.246047447806632</v>
      </c>
      <c r="BM6" s="5" t="s">
        <v>335</v>
      </c>
      <c r="BN6" s="5"/>
      <c r="BU6" s="2"/>
    </row>
    <row r="7" spans="1:81" x14ac:dyDescent="0.25">
      <c r="A7" s="2"/>
      <c r="B7" s="2"/>
      <c r="C7" s="2" t="s">
        <v>47</v>
      </c>
      <c r="D7" s="2"/>
      <c r="E7" s="2"/>
      <c r="F7" s="2" t="s">
        <v>48</v>
      </c>
      <c r="G7" s="2"/>
      <c r="H7" s="2"/>
      <c r="I7" s="2"/>
      <c r="J7" s="2"/>
      <c r="M7" s="562" t="s">
        <v>50</v>
      </c>
      <c r="N7" s="562"/>
      <c r="O7" s="562" t="s">
        <v>64</v>
      </c>
      <c r="P7" s="562"/>
      <c r="Q7" s="562" t="s">
        <v>65</v>
      </c>
      <c r="R7" s="562"/>
      <c r="S7" s="562" t="s">
        <v>66</v>
      </c>
      <c r="T7" s="562"/>
      <c r="U7" s="562" t="s">
        <v>67</v>
      </c>
      <c r="V7" s="562"/>
      <c r="AC7" t="s">
        <v>90</v>
      </c>
      <c r="AE7" t="s">
        <v>91</v>
      </c>
      <c r="AG7" t="s">
        <v>92</v>
      </c>
      <c r="AJ7" t="s">
        <v>90</v>
      </c>
      <c r="AL7" t="s">
        <v>91</v>
      </c>
      <c r="AN7" t="s">
        <v>92</v>
      </c>
      <c r="AQ7" t="s">
        <v>83</v>
      </c>
      <c r="AT7" t="s">
        <v>90</v>
      </c>
      <c r="AW7" t="s">
        <v>91</v>
      </c>
      <c r="BU7" s="2"/>
    </row>
    <row r="8" spans="1:81" x14ac:dyDescent="0.25">
      <c r="A8" s="2" t="s">
        <v>44</v>
      </c>
      <c r="B8" s="2"/>
      <c r="C8" s="2" t="s">
        <v>68</v>
      </c>
      <c r="D8" s="2" t="s">
        <v>69</v>
      </c>
      <c r="E8" s="2"/>
      <c r="F8" s="2" t="s">
        <v>68</v>
      </c>
      <c r="G8" s="2"/>
      <c r="H8" s="2" t="s">
        <v>69</v>
      </c>
      <c r="I8" s="2"/>
      <c r="J8" s="2" t="s">
        <v>68</v>
      </c>
      <c r="M8" s="2" t="s">
        <v>68</v>
      </c>
      <c r="N8" s="2" t="s">
        <v>69</v>
      </c>
      <c r="O8" s="2" t="s">
        <v>68</v>
      </c>
      <c r="P8" s="2" t="s">
        <v>69</v>
      </c>
      <c r="Q8" s="2" t="s">
        <v>68</v>
      </c>
      <c r="R8" s="2" t="s">
        <v>69</v>
      </c>
      <c r="S8" s="2" t="s">
        <v>68</v>
      </c>
      <c r="T8" s="2" t="s">
        <v>69</v>
      </c>
      <c r="U8" s="2" t="s">
        <v>68</v>
      </c>
      <c r="V8" s="2" t="s">
        <v>69</v>
      </c>
      <c r="X8" s="2" t="s">
        <v>71</v>
      </c>
      <c r="Y8" s="2" t="s">
        <v>72</v>
      </c>
      <c r="Z8" s="2" t="s">
        <v>73</v>
      </c>
      <c r="AC8" t="s">
        <v>88</v>
      </c>
      <c r="AD8" t="s">
        <v>89</v>
      </c>
      <c r="AE8" t="s">
        <v>88</v>
      </c>
      <c r="AF8" t="s">
        <v>89</v>
      </c>
      <c r="AG8" t="s">
        <v>97</v>
      </c>
      <c r="AH8" t="s">
        <v>98</v>
      </c>
      <c r="AJ8" t="s">
        <v>88</v>
      </c>
      <c r="AK8" t="s">
        <v>89</v>
      </c>
      <c r="AL8" t="s">
        <v>88</v>
      </c>
      <c r="AM8" t="s">
        <v>89</v>
      </c>
      <c r="AN8" t="s">
        <v>100</v>
      </c>
      <c r="AO8" t="s">
        <v>99</v>
      </c>
      <c r="AQ8" t="s">
        <v>88</v>
      </c>
      <c r="AR8" t="s">
        <v>89</v>
      </c>
      <c r="AT8" t="s">
        <v>88</v>
      </c>
      <c r="AU8" t="s">
        <v>89</v>
      </c>
      <c r="AV8" t="s">
        <v>69</v>
      </c>
      <c r="AW8" t="s">
        <v>88</v>
      </c>
      <c r="AX8" t="s">
        <v>89</v>
      </c>
      <c r="AY8" t="s">
        <v>69</v>
      </c>
      <c r="BA8" t="s">
        <v>101</v>
      </c>
      <c r="BB8" t="s">
        <v>103</v>
      </c>
      <c r="BC8" t="s">
        <v>102</v>
      </c>
      <c r="BF8" t="s">
        <v>71</v>
      </c>
      <c r="BG8" t="s">
        <v>72</v>
      </c>
      <c r="BH8" t="s">
        <v>104</v>
      </c>
      <c r="BM8" t="s">
        <v>71</v>
      </c>
      <c r="BN8" t="s">
        <v>336</v>
      </c>
      <c r="BQ8" s="2"/>
      <c r="BR8" s="2"/>
      <c r="BS8" s="2"/>
      <c r="BT8" t="s">
        <v>342</v>
      </c>
      <c r="BY8" s="2"/>
      <c r="BZ8" s="2"/>
      <c r="CA8" s="2"/>
      <c r="CB8" s="2"/>
    </row>
    <row r="9" spans="1:81" x14ac:dyDescent="0.25">
      <c r="A9">
        <v>1</v>
      </c>
      <c r="B9">
        <f>A9/1000</f>
        <v>1E-3</v>
      </c>
      <c r="C9">
        <f t="shared" ref="C9:C72" si="0">SQRT((A9/Fesr)^2+1)</f>
        <v>1.0000000000343936</v>
      </c>
      <c r="D9">
        <f t="shared" ref="D9:D72" si="1">ATAN(A9/Fesr)</f>
        <v>8.2938045958098321E-6</v>
      </c>
      <c r="F9">
        <f t="shared" ref="F9:F72" si="2">(Ro/(Ro+Rdcr))/SQRT((A9/(Q*Fo))^2+(1-(A9^2/Fo^2))^2)</f>
        <v>0.99415185165328335</v>
      </c>
      <c r="G9">
        <f t="shared" ref="G9:G72" si="3">-ATAN(A9*Fo/(Q*(Fo^2-A9^2)))</f>
        <v>-6.6799395086388608E-5</v>
      </c>
      <c r="H9">
        <f t="shared" ref="H9:H72" si="4">IF(G9&gt;0,G9-Pi,G9)</f>
        <v>-6.6799395086388608E-5</v>
      </c>
      <c r="J9">
        <f t="shared" ref="J9:J72" si="5">Vin/Vramp</f>
        <v>15</v>
      </c>
      <c r="M9">
        <f t="shared" ref="M9:M72" si="6">1/(2*Pi*_Rfb1*(Cc1ea_u+Cc2ea_u)*A9)</f>
        <v>1272.221768775031</v>
      </c>
      <c r="N9">
        <f t="shared" ref="N9:N72" si="7">-Pi/2</f>
        <v>-1.5707963250000001</v>
      </c>
      <c r="O9">
        <f t="shared" ref="O9:O72" si="8">SQRT(1+(A9/Fz1_u)^2)</f>
        <v>1.0000000422051436</v>
      </c>
      <c r="P9">
        <f t="shared" ref="P9:P72" si="9">ATAN2(Fz1_u,A9)</f>
        <v>2.9053448009730036E-4</v>
      </c>
      <c r="Q9">
        <f t="shared" ref="Q9:Q72" si="10">SQRT(1+(A9/Fz2_u)^2)</f>
        <v>1.0000000329102392</v>
      </c>
      <c r="R9">
        <f t="shared" ref="R9:R72" si="11">ATAN2(Fz2_u,A9)</f>
        <v>2.5655501654074208E-4</v>
      </c>
      <c r="S9">
        <f t="shared" ref="S9:S72" si="12">1/SQRT(1+(A9/Fp1_u)^2)</f>
        <v>0.99999999997003952</v>
      </c>
      <c r="T9">
        <f t="shared" ref="T9:T72" si="13">-ATAN2(Fp1_u,A9)</f>
        <v>-7.7408842894453868E-6</v>
      </c>
      <c r="U9">
        <f t="shared" ref="U9:U72" si="14">1/SQRT(1+(A9/Fp2_u)^2)</f>
        <v>0.99999999998034017</v>
      </c>
      <c r="V9">
        <f t="shared" ref="V9:V72" si="15">-ATAN2(Fp2_u,A9)</f>
        <v>-6.2705285237739312E-6</v>
      </c>
      <c r="X9">
        <f>20*LOG(C9*J9*O9*Q9*F9*M9*S9*U9)</f>
        <v>85.562136797191386</v>
      </c>
      <c r="Y9">
        <f t="shared" ref="Y9:Y72" si="16">(180/Pi)*(D9+H9+N9+P9+R9+T9+V9)</f>
        <v>-89.972808999027862</v>
      </c>
      <c r="Z9">
        <f>Y9+180</f>
        <v>90.027191000972138</v>
      </c>
      <c r="AC9">
        <v>1</v>
      </c>
      <c r="AD9">
        <f t="shared" ref="AD9:AD72" si="17">Rcea1_u*Cc1ea_u*A9*2*Pi</f>
        <v>2.9053448827199999E-4</v>
      </c>
      <c r="AE9">
        <f t="shared" ref="AE9:AE72" si="18">-Rcea1_u*Cc1ea_u*Cc2ea_u*(A9*2*Pi)^2</f>
        <v>-2.7382230387804799E-13</v>
      </c>
      <c r="AF9">
        <f t="shared" ref="AF9:AF72" si="19">(Cc2ea_u+Cc1ea_u)*A9*2*Pi</f>
        <v>4.3668137835000002E-8</v>
      </c>
      <c r="AG9">
        <f>AC9*AE9/(AE9^2+AF9^2)+AD9*AF9/(AE9^2+AF9^2)</f>
        <v>6509.6423578000449</v>
      </c>
      <c r="AH9">
        <f>AD9*AE9/(AE9^2+AF9^2)-AC9*AF9/(AE9^2+AF9^2)</f>
        <v>-22899991.878769457</v>
      </c>
      <c r="AI9">
        <f>SQRT(AG9^2+AH9^2)</f>
        <v>22899992.803997792</v>
      </c>
      <c r="AJ9">
        <f t="shared" ref="AJ9:AJ72" si="20">_Rfb1</f>
        <v>18000</v>
      </c>
      <c r="AK9">
        <f t="shared" ref="AK9:AK72" si="21">_Rfb1*Rcea2_u*Cc3ea_u*A9*2*Pi</f>
        <v>0.1393359172128</v>
      </c>
      <c r="AL9">
        <v>1</v>
      </c>
      <c r="AM9">
        <f t="shared" ref="AM9:AM72" si="22">(_Rfb1+Rcea2_u)*Cc3ea_u*A9*2*Pi</f>
        <v>2.5655502216960003E-4</v>
      </c>
      <c r="AN9">
        <f>AJ9*AL9/(AL9^2+AM9^2)+AK9*AM9/(AL9^2+AM9^2)</f>
        <v>17999.998850978773</v>
      </c>
      <c r="AO9">
        <f>AK9*AL9/(AL9^2+AM9^2)-AJ9*AM9/(AL9^2+AM9^2)</f>
        <v>-4.4786541870528342</v>
      </c>
      <c r="AP9" s="51">
        <f>SQRT(AN9^2+AO9^2)</f>
        <v>17999.999408155003</v>
      </c>
      <c r="AQ9">
        <f t="shared" ref="AQ9:AQ72" si="23">Eadcg/(1+(Eadcg*A9/GBP)^2)</f>
        <v>9999.9600001600011</v>
      </c>
      <c r="AR9">
        <f t="shared" ref="AR9:AR72" si="24">-(A9*Eadcg*Eadcg/GBP)/(1+(Eadcg*A9/GBP)^2)</f>
        <v>-19.99992000032</v>
      </c>
      <c r="AT9">
        <f>-AR9*AH9+AG9*AQ9</f>
        <v>-392901842.39001912</v>
      </c>
      <c r="AU9">
        <f>AQ9*AH9+AG9*AR9</f>
        <v>-228999132984.00983</v>
      </c>
      <c r="AV9">
        <f>ATAN2(AT9,AU9)</f>
        <v>-1.5725120601766627</v>
      </c>
      <c r="AW9">
        <f t="shared" ref="AW9:AW73" si="25">AG9-AH9*AO9/_Rfb2+AG9*AN9/_Rfb2+AN9-AO9*AR9+AQ9*AN9</f>
        <v>180028052.00931731</v>
      </c>
      <c r="AX9">
        <f t="shared" ref="AX9:AX73" si="26">AH9+AH9*AN9/_Rfb2+AG9*AO9/_Rfb2+AO9+AO9*AQ9+AN9*AR9</f>
        <v>-146392238.45417097</v>
      </c>
      <c r="AY9">
        <f>ATAN2(AW9,AX9)</f>
        <v>-0.68271607821413394</v>
      </c>
      <c r="BA9">
        <f t="shared" ref="BA9:BA72" si="27">SQRT(AT9^2+AU9^2)/SQRT(AW9^2+AX9^2)</f>
        <v>986.91279072337591</v>
      </c>
      <c r="BB9" s="51">
        <f>20*LOG(BA9)</f>
        <v>59.885575552258715</v>
      </c>
      <c r="BC9">
        <f>AV9-AY9</f>
        <v>-0.88979598196252874</v>
      </c>
      <c r="BD9">
        <f t="shared" ref="BD9:BD72" si="28">BC9*180/Pi-180</f>
        <v>-230.98155445240653</v>
      </c>
      <c r="BF9">
        <f t="shared" ref="BF9:BF72" si="29">20*LOG(BA9*J9*F9*C9)</f>
        <v>83.356455248542801</v>
      </c>
      <c r="BG9">
        <f t="shared" ref="BG9:BG72" si="30">(180/Pi)*(D9+H9+BC9)</f>
        <v>-50.984906575823402</v>
      </c>
      <c r="BH9">
        <f>IF(BG9&gt;180,BG9-180,BG9+180)</f>
        <v>129.0150934241766</v>
      </c>
      <c r="BI9">
        <f>IF(BH9&gt;180,BH9-360,BH9)</f>
        <v>129.0150934241766</v>
      </c>
      <c r="BJ9">
        <f t="shared" ref="BJ9:BJ72" si="31">SUM((BF10&lt;0)*(BF9&gt;0))*A9</f>
        <v>0</v>
      </c>
      <c r="BK9">
        <f>IF(BJ9&gt;0,BI9,0)</f>
        <v>0</v>
      </c>
      <c r="BM9">
        <f>20*LOG(J9*F9*C9)</f>
        <v>23.470879696284094</v>
      </c>
      <c r="BN9">
        <f t="shared" ref="BN9:BN72" si="32">(H9+D9)*180/Pi</f>
        <v>-3.3521234168612467E-3</v>
      </c>
      <c r="BQ9" s="56">
        <f>20*LOG(BA9*7)</f>
        <v>76.787536352543853</v>
      </c>
      <c r="BR9" s="56"/>
      <c r="BS9" s="56"/>
      <c r="BT9" s="56" t="s">
        <v>44</v>
      </c>
      <c r="BU9" s="56" t="s">
        <v>68</v>
      </c>
      <c r="BV9" s="56" t="s">
        <v>69</v>
      </c>
      <c r="BW9" s="56"/>
      <c r="BY9" s="56"/>
      <c r="BZ9" s="56"/>
      <c r="CA9" s="56"/>
      <c r="CC9" s="56"/>
    </row>
    <row r="10" spans="1:81" x14ac:dyDescent="0.25">
      <c r="A10">
        <v>2</v>
      </c>
      <c r="B10">
        <f t="shared" ref="B10:B73" si="33">A10/1000</f>
        <v>2E-3</v>
      </c>
      <c r="C10">
        <f t="shared" si="0"/>
        <v>1.0000000001375744</v>
      </c>
      <c r="D10">
        <f t="shared" si="1"/>
        <v>1.658760919047865E-5</v>
      </c>
      <c r="F10">
        <f t="shared" si="2"/>
        <v>0.99415196068280498</v>
      </c>
      <c r="G10">
        <f t="shared" si="3"/>
        <v>-1.3359880512274556E-4</v>
      </c>
      <c r="H10">
        <f t="shared" si="4"/>
        <v>-1.3359880512274556E-4</v>
      </c>
      <c r="J10">
        <f t="shared" si="5"/>
        <v>15</v>
      </c>
      <c r="M10">
        <f t="shared" si="6"/>
        <v>636.11088438751551</v>
      </c>
      <c r="N10">
        <f t="shared" si="7"/>
        <v>-1.5707963250000001</v>
      </c>
      <c r="O10">
        <f t="shared" si="8"/>
        <v>1.0000001688205635</v>
      </c>
      <c r="P10">
        <f t="shared" si="9"/>
        <v>5.81068911146413E-4</v>
      </c>
      <c r="Q10">
        <f t="shared" si="10"/>
        <v>1.0000001316409501</v>
      </c>
      <c r="R10">
        <f t="shared" si="11"/>
        <v>5.1310999930834168E-4</v>
      </c>
      <c r="S10">
        <f t="shared" si="12"/>
        <v>0.99999999988015742</v>
      </c>
      <c r="T10">
        <f t="shared" si="13"/>
        <v>-1.5481768577963086E-5</v>
      </c>
      <c r="U10">
        <f t="shared" si="14"/>
        <v>0.9999999999213609</v>
      </c>
      <c r="V10">
        <f t="shared" si="15"/>
        <v>-1.2541057047054755E-5</v>
      </c>
      <c r="X10">
        <f t="shared" ref="X10:X73" si="34">20*LOG(C10*J10*O10*Q10*F10*M10*S10*U10)</f>
        <v>79.541539793435646</v>
      </c>
      <c r="Y10">
        <f t="shared" si="16"/>
        <v>-89.945618003657614</v>
      </c>
      <c r="Z10">
        <f t="shared" ref="Z10:Z73" si="35">Y10+180</f>
        <v>90.054381996342386</v>
      </c>
      <c r="AC10">
        <v>1</v>
      </c>
      <c r="AD10">
        <f t="shared" si="17"/>
        <v>5.8106897654399998E-4</v>
      </c>
      <c r="AE10">
        <f t="shared" si="18"/>
        <v>-1.095289215512192E-12</v>
      </c>
      <c r="AF10">
        <f t="shared" si="19"/>
        <v>8.7336275670000004E-8</v>
      </c>
      <c r="AG10">
        <f t="shared" ref="AG10:AG73" si="36">AC10*AE10/(AE10^2+AF10^2)+AD10*AF10/(AE10^2+AF10^2)</f>
        <v>6509.6423570321758</v>
      </c>
      <c r="AH10">
        <f t="shared" ref="AH10:AH73" si="37">AD10*AE10/(AE10^2+AF10^2)-AC10*AF10/(AE10^2+AF10^2)</f>
        <v>-11449996.000613073</v>
      </c>
      <c r="AJ10">
        <f t="shared" si="20"/>
        <v>18000</v>
      </c>
      <c r="AK10">
        <f t="shared" si="21"/>
        <v>0.27867183442560001</v>
      </c>
      <c r="AL10">
        <v>1</v>
      </c>
      <c r="AM10">
        <f t="shared" si="22"/>
        <v>5.1311004433920006E-4</v>
      </c>
      <c r="AN10">
        <f t="shared" ref="AN10:AN73" si="38">AJ10*AL10/(AL10^2+AM10^2)+AK10*AM10/(AL10^2+AM10^2)</f>
        <v>17999.995403916011</v>
      </c>
      <c r="AO10">
        <f t="shared" ref="AO10:AO73" si="39">AK10*AL10/(AL10^2+AM10^2)-AJ10*AM10/(AL10^2+AM10^2)</f>
        <v>-8.9573066053831418</v>
      </c>
      <c r="AQ10">
        <f t="shared" si="23"/>
        <v>9999.8400025599585</v>
      </c>
      <c r="AR10">
        <f t="shared" si="24"/>
        <v>-39.999360010239833</v>
      </c>
      <c r="AT10">
        <f t="shared" ref="AT10:AT21" si="40">-AR10*AH10+AG10*AQ10</f>
        <v>-392897130.10011953</v>
      </c>
      <c r="AU10">
        <f t="shared" ref="AU10:AU21" si="41">AQ10*AH10+AG10*AR10</f>
        <v>-114498388417.61032</v>
      </c>
      <c r="AV10">
        <f t="shared" ref="AV10:AV73" si="42">ATAN2(AT10,AU10)</f>
        <v>-1.5742277776076685</v>
      </c>
      <c r="AW10">
        <f t="shared" si="25"/>
        <v>180025588.86450329</v>
      </c>
      <c r="AX10">
        <f t="shared" si="26"/>
        <v>-73803295.087688252</v>
      </c>
      <c r="AY10">
        <f>ATAN2(AW10,AX10)</f>
        <v>-0.38906300917157904</v>
      </c>
      <c r="BA10">
        <f t="shared" si="27"/>
        <v>588.48279734560811</v>
      </c>
      <c r="BB10">
        <f t="shared" ref="BB10:BB73" si="43">20*LOG(BA10)</f>
        <v>55.394675439525429</v>
      </c>
      <c r="BC10">
        <f t="shared" ref="BC10:BC73" si="44">AV10-AY10</f>
        <v>-1.1851647684360895</v>
      </c>
      <c r="BD10">
        <f t="shared" si="28"/>
        <v>-247.90493933658016</v>
      </c>
      <c r="BF10">
        <f t="shared" si="29"/>
        <v>78.865556089294969</v>
      </c>
      <c r="BG10">
        <f t="shared" si="30"/>
        <v>-67.911643584270522</v>
      </c>
      <c r="BH10">
        <f t="shared" ref="BH10:BH73" si="45">IF(BG10&gt;180,BG10-180,BG10+180)</f>
        <v>112.08835641572948</v>
      </c>
      <c r="BI10">
        <f t="shared" ref="BI10:BI73" si="46">IF(BH10&gt;180,BH10-360,BH10)</f>
        <v>112.08835641572948</v>
      </c>
      <c r="BJ10">
        <f t="shared" si="31"/>
        <v>0</v>
      </c>
      <c r="BK10">
        <f t="shared" ref="BK10:BK73" si="47">IF(BJ10&gt;0,BI10,0)</f>
        <v>0</v>
      </c>
      <c r="BM10">
        <f t="shared" ref="BM10:BM73" si="48">20*LOG(J10*F10*C10)</f>
        <v>23.470880649769533</v>
      </c>
      <c r="BN10">
        <f t="shared" si="32"/>
        <v>-6.7042476903579609E-3</v>
      </c>
      <c r="BQ10" s="56">
        <f t="shared" ref="BQ10:BQ73" si="49">20*LOG(BA10*7)</f>
        <v>72.296636239810567</v>
      </c>
      <c r="BR10" s="57"/>
      <c r="BS10" s="57"/>
      <c r="BT10" s="57">
        <v>100</v>
      </c>
      <c r="BU10" s="57">
        <v>35.359299999999998</v>
      </c>
      <c r="BV10" s="57">
        <v>-267.66769999999997</v>
      </c>
      <c r="BW10" s="61"/>
      <c r="BY10" s="57"/>
      <c r="BZ10" s="57"/>
      <c r="CA10" s="57"/>
      <c r="CC10" s="57"/>
    </row>
    <row r="11" spans="1:81" x14ac:dyDescent="0.25">
      <c r="A11">
        <v>3</v>
      </c>
      <c r="B11">
        <f t="shared" si="33"/>
        <v>3.0000000000000001E-3</v>
      </c>
      <c r="C11">
        <f t="shared" si="0"/>
        <v>1.0000000003095424</v>
      </c>
      <c r="D11">
        <f t="shared" si="1"/>
        <v>2.4881413782865435E-5</v>
      </c>
      <c r="F11">
        <f t="shared" si="2"/>
        <v>0.99415214239872429</v>
      </c>
      <c r="G11">
        <f t="shared" si="3"/>
        <v>-2.0039824505904989E-4</v>
      </c>
      <c r="H11">
        <f t="shared" si="4"/>
        <v>-2.0039824505904989E-4</v>
      </c>
      <c r="J11">
        <f t="shared" si="5"/>
        <v>15</v>
      </c>
      <c r="M11">
        <f t="shared" si="6"/>
        <v>424.07392292501038</v>
      </c>
      <c r="N11">
        <f t="shared" si="7"/>
        <v>-1.5707963250000001</v>
      </c>
      <c r="O11">
        <f t="shared" si="8"/>
        <v>1.0000003798462278</v>
      </c>
      <c r="P11">
        <f t="shared" si="9"/>
        <v>8.7160324409919971E-4</v>
      </c>
      <c r="Q11">
        <f t="shared" si="10"/>
        <v>1.0000002961921135</v>
      </c>
      <c r="R11">
        <f t="shared" si="11"/>
        <v>7.6966491452968319E-4</v>
      </c>
      <c r="S11">
        <f t="shared" si="12"/>
        <v>0.99999999973035436</v>
      </c>
      <c r="T11">
        <f t="shared" si="13"/>
        <v>-2.3222652864625407E-5</v>
      </c>
      <c r="U11">
        <f t="shared" si="14"/>
        <v>0.99999999982306198</v>
      </c>
      <c r="V11">
        <f t="shared" si="15"/>
        <v>-1.8811585569349361E-5</v>
      </c>
      <c r="X11">
        <f t="shared" si="34"/>
        <v>76.0197194615277</v>
      </c>
      <c r="Y11">
        <f t="shared" si="16"/>
        <v>-89.918427019491091</v>
      </c>
      <c r="Z11">
        <f t="shared" si="35"/>
        <v>90.081572980508909</v>
      </c>
      <c r="AC11">
        <v>1</v>
      </c>
      <c r="AD11">
        <f t="shared" si="17"/>
        <v>8.7160346481600002E-4</v>
      </c>
      <c r="AE11">
        <f t="shared" si="18"/>
        <v>-2.4644007349024314E-12</v>
      </c>
      <c r="AF11">
        <f t="shared" si="19"/>
        <v>1.31004413505E-7</v>
      </c>
      <c r="AG11">
        <f t="shared" si="36"/>
        <v>6509.6423557523976</v>
      </c>
      <c r="AH11">
        <f t="shared" si="37"/>
        <v>-7633330.7351068808</v>
      </c>
      <c r="AJ11">
        <f t="shared" si="20"/>
        <v>18000</v>
      </c>
      <c r="AK11">
        <f t="shared" si="21"/>
        <v>0.41800775163839998</v>
      </c>
      <c r="AL11">
        <v>1</v>
      </c>
      <c r="AM11">
        <f t="shared" si="22"/>
        <v>7.6966506650879998E-4</v>
      </c>
      <c r="AN11">
        <f t="shared" si="38"/>
        <v>17999.989658814426</v>
      </c>
      <c r="AO11">
        <f t="shared" si="39"/>
        <v>-13.435955486270716</v>
      </c>
      <c r="AQ11">
        <f t="shared" si="23"/>
        <v>9999.6400129595349</v>
      </c>
      <c r="AR11">
        <f t="shared" si="24"/>
        <v>-59.997840077757203</v>
      </c>
      <c r="AT11">
        <f t="shared" si="40"/>
        <v>-392889276.53493363</v>
      </c>
      <c r="AU11">
        <f t="shared" si="41"/>
        <v>-76330950015.409607</v>
      </c>
      <c r="AV11">
        <f t="shared" si="42"/>
        <v>-1.5759434631379219</v>
      </c>
      <c r="AW11">
        <f t="shared" si="25"/>
        <v>180021483.75477543</v>
      </c>
      <c r="AX11">
        <f t="shared" si="26"/>
        <v>-49876814.637137026</v>
      </c>
      <c r="AY11">
        <f t="shared" ref="AY11:AY74" si="50">ATAN2(AW11,AX11)</f>
        <v>-0.2702806876854657</v>
      </c>
      <c r="BA11">
        <f t="shared" si="27"/>
        <v>408.62236741453768</v>
      </c>
      <c r="BB11">
        <f t="shared" si="43"/>
        <v>52.226442712342511</v>
      </c>
      <c r="BC11">
        <f t="shared" si="44"/>
        <v>-1.3056627754524561</v>
      </c>
      <c r="BD11">
        <f t="shared" si="28"/>
        <v>-254.80896658624476</v>
      </c>
      <c r="BF11">
        <f t="shared" si="29"/>
        <v>75.697324951254657</v>
      </c>
      <c r="BG11">
        <f t="shared" si="30"/>
        <v>-74.819022959921867</v>
      </c>
      <c r="BH11">
        <f t="shared" si="45"/>
        <v>105.18097704007813</v>
      </c>
      <c r="BI11">
        <f t="shared" si="46"/>
        <v>105.18097704007813</v>
      </c>
      <c r="BJ11">
        <f t="shared" si="31"/>
        <v>0</v>
      </c>
      <c r="BK11">
        <f t="shared" si="47"/>
        <v>0</v>
      </c>
      <c r="BM11">
        <f t="shared" si="48"/>
        <v>23.470882238912139</v>
      </c>
      <c r="BN11">
        <f t="shared" si="32"/>
        <v>-1.0056373677126217E-2</v>
      </c>
      <c r="BQ11" s="56">
        <f t="shared" si="49"/>
        <v>69.128403512627642</v>
      </c>
      <c r="BR11" s="58"/>
      <c r="BS11" s="58"/>
      <c r="BT11" s="58">
        <v>102.32899999999999</v>
      </c>
      <c r="BU11" s="58">
        <v>34.936799999999998</v>
      </c>
      <c r="BV11" s="58">
        <v>-265.91489999999999</v>
      </c>
      <c r="BW11" s="61"/>
      <c r="BY11" s="58"/>
      <c r="BZ11" s="58"/>
      <c r="CA11" s="58"/>
      <c r="CC11" s="58"/>
    </row>
    <row r="12" spans="1:81" x14ac:dyDescent="0.25">
      <c r="A12">
        <v>4</v>
      </c>
      <c r="B12">
        <f t="shared" si="33"/>
        <v>4.0000000000000001E-3</v>
      </c>
      <c r="C12">
        <f t="shared" si="0"/>
        <v>1.0000000005502976</v>
      </c>
      <c r="D12">
        <f t="shared" si="1"/>
        <v>3.3175218371829178E-5</v>
      </c>
      <c r="F12">
        <f t="shared" si="2"/>
        <v>0.994152396801116</v>
      </c>
      <c r="G12">
        <f t="shared" si="3"/>
        <v>-2.6719772984530198E-4</v>
      </c>
      <c r="H12">
        <f t="shared" si="4"/>
        <v>-2.6719772984530198E-4</v>
      </c>
      <c r="J12">
        <f t="shared" si="5"/>
        <v>15</v>
      </c>
      <c r="M12">
        <f t="shared" si="6"/>
        <v>318.05544219375776</v>
      </c>
      <c r="N12">
        <f t="shared" si="7"/>
        <v>-1.5707963250000001</v>
      </c>
      <c r="O12">
        <f t="shared" si="8"/>
        <v>1.0000006752820829</v>
      </c>
      <c r="P12">
        <f t="shared" si="9"/>
        <v>1.162137429907622E-3</v>
      </c>
      <c r="Q12">
        <f t="shared" si="10"/>
        <v>1.0000005265636966</v>
      </c>
      <c r="R12">
        <f t="shared" si="11"/>
        <v>1.0262197284317039E-3</v>
      </c>
      <c r="S12">
        <f t="shared" si="12"/>
        <v>0.99999999952062968</v>
      </c>
      <c r="T12">
        <f t="shared" si="13"/>
        <v>-3.0963537148504666E-5</v>
      </c>
      <c r="U12">
        <f t="shared" si="14"/>
        <v>0.99999999968544362</v>
      </c>
      <c r="V12">
        <f t="shared" si="15"/>
        <v>-2.5082114090164641E-5</v>
      </c>
      <c r="X12">
        <f t="shared" si="34"/>
        <v>73.520951518247998</v>
      </c>
      <c r="Y12">
        <f t="shared" si="16"/>
        <v>-89.891236052130154</v>
      </c>
      <c r="Z12">
        <f t="shared" si="35"/>
        <v>90.108763947869846</v>
      </c>
      <c r="AC12">
        <v>1</v>
      </c>
      <c r="AD12">
        <f t="shared" si="17"/>
        <v>1.162137953088E-3</v>
      </c>
      <c r="AE12">
        <f t="shared" si="18"/>
        <v>-4.3811568620487678E-12</v>
      </c>
      <c r="AF12">
        <f t="shared" si="19"/>
        <v>1.7467255134000001E-7</v>
      </c>
      <c r="AG12">
        <f t="shared" si="36"/>
        <v>6509.6423539607022</v>
      </c>
      <c r="AH12">
        <f t="shared" si="37"/>
        <v>-5724998.1227632305</v>
      </c>
      <c r="AJ12">
        <f t="shared" si="20"/>
        <v>18000</v>
      </c>
      <c r="AK12">
        <f t="shared" si="21"/>
        <v>0.55734366885120001</v>
      </c>
      <c r="AL12">
        <v>1</v>
      </c>
      <c r="AM12">
        <f t="shared" si="22"/>
        <v>1.0262200886784001E-3</v>
      </c>
      <c r="AN12">
        <f t="shared" si="38"/>
        <v>17999.98161567856</v>
      </c>
      <c r="AO12">
        <f t="shared" si="39"/>
        <v>-17.914599061000029</v>
      </c>
      <c r="AQ12">
        <f t="shared" si="23"/>
        <v>9999.3600409573774</v>
      </c>
      <c r="AR12">
        <f t="shared" si="24"/>
        <v>-79.994880327659018</v>
      </c>
      <c r="AT12">
        <f t="shared" si="40"/>
        <v>-392878282.07139879</v>
      </c>
      <c r="AU12">
        <f t="shared" si="41"/>
        <v>-57246838201.375725</v>
      </c>
      <c r="AV12">
        <f t="shared" si="42"/>
        <v>-1.5776591008189658</v>
      </c>
      <c r="AW12">
        <f t="shared" si="25"/>
        <v>180015736.87756032</v>
      </c>
      <c r="AX12">
        <f t="shared" si="26"/>
        <v>-38115925.242901281</v>
      </c>
      <c r="AY12">
        <f t="shared" si="50"/>
        <v>-0.20865489007958332</v>
      </c>
      <c r="BA12">
        <f t="shared" si="27"/>
        <v>311.12000999040441</v>
      </c>
      <c r="BB12">
        <f t="shared" si="43"/>
        <v>49.858558881701505</v>
      </c>
      <c r="BC12">
        <f t="shared" si="44"/>
        <v>-1.3690042107393825</v>
      </c>
      <c r="BD12">
        <f t="shared" si="28"/>
        <v>-258.43816350063361</v>
      </c>
      <c r="BF12">
        <f t="shared" si="29"/>
        <v>73.329443345413722</v>
      </c>
      <c r="BG12">
        <f t="shared" si="30"/>
        <v>-78.451572002867408</v>
      </c>
      <c r="BH12">
        <f t="shared" si="45"/>
        <v>101.54842799713259</v>
      </c>
      <c r="BI12">
        <f t="shared" si="46"/>
        <v>101.54842799713259</v>
      </c>
      <c r="BJ12">
        <f t="shared" si="31"/>
        <v>0</v>
      </c>
      <c r="BK12">
        <f t="shared" si="47"/>
        <v>0</v>
      </c>
      <c r="BM12">
        <f t="shared" si="48"/>
        <v>23.47088446371221</v>
      </c>
      <c r="BN12">
        <f t="shared" si="32"/>
        <v>-1.3408502233803323E-2</v>
      </c>
      <c r="BQ12" s="56">
        <f t="shared" si="49"/>
        <v>66.760519681986636</v>
      </c>
      <c r="BR12" s="57"/>
      <c r="BS12" s="57"/>
      <c r="BT12" s="57">
        <v>104.71299999999999</v>
      </c>
      <c r="BU12" s="57">
        <v>34.190800000000003</v>
      </c>
      <c r="BV12" s="57">
        <v>-264.93219999999997</v>
      </c>
      <c r="BW12" s="61"/>
      <c r="BY12" s="57"/>
      <c r="BZ12" s="57"/>
      <c r="CA12" s="57"/>
      <c r="CC12" s="57"/>
    </row>
    <row r="13" spans="1:81" x14ac:dyDescent="0.25">
      <c r="A13">
        <v>5</v>
      </c>
      <c r="B13">
        <f t="shared" si="33"/>
        <v>5.0000000000000001E-3</v>
      </c>
      <c r="C13">
        <f t="shared" si="0"/>
        <v>1.00000000085984</v>
      </c>
      <c r="D13">
        <f t="shared" si="1"/>
        <v>4.1469022956228856E-5</v>
      </c>
      <c r="F13">
        <f t="shared" si="2"/>
        <v>0.99415272389008458</v>
      </c>
      <c r="G13">
        <f t="shared" si="3"/>
        <v>-3.339972744315344E-4</v>
      </c>
      <c r="H13">
        <f t="shared" si="4"/>
        <v>-3.339972744315344E-4</v>
      </c>
      <c r="J13">
        <f t="shared" si="5"/>
        <v>15</v>
      </c>
      <c r="M13">
        <f t="shared" si="6"/>
        <v>254.44435375500623</v>
      </c>
      <c r="N13">
        <f t="shared" si="7"/>
        <v>-1.5707963250000001</v>
      </c>
      <c r="O13">
        <f t="shared" si="8"/>
        <v>1.0000010551280543</v>
      </c>
      <c r="P13">
        <f t="shared" si="9"/>
        <v>1.4526714195237903E-3</v>
      </c>
      <c r="Q13">
        <f t="shared" si="10"/>
        <v>1.0000008227556541</v>
      </c>
      <c r="R13">
        <f t="shared" si="11"/>
        <v>1.2827744072414218E-3</v>
      </c>
      <c r="S13">
        <f t="shared" si="12"/>
        <v>0.99999999925098404</v>
      </c>
      <c r="T13">
        <f t="shared" si="13"/>
        <v>-3.8704421428673175E-5</v>
      </c>
      <c r="U13">
        <f t="shared" si="14"/>
        <v>0.99999999950850604</v>
      </c>
      <c r="V13">
        <f t="shared" si="15"/>
        <v>-3.135264260900749E-5</v>
      </c>
      <c r="X13">
        <f t="shared" si="34"/>
        <v>71.582759986652121</v>
      </c>
      <c r="Y13">
        <f t="shared" si="16"/>
        <v>-89.864045107176651</v>
      </c>
      <c r="Z13">
        <f t="shared" si="35"/>
        <v>90.135954892823349</v>
      </c>
      <c r="AC13">
        <v>1</v>
      </c>
      <c r="AD13">
        <f t="shared" si="17"/>
        <v>1.4526724413599999E-3</v>
      </c>
      <c r="AE13">
        <f t="shared" si="18"/>
        <v>-6.8455575969511985E-12</v>
      </c>
      <c r="AF13">
        <f t="shared" si="19"/>
        <v>2.1834068917499999E-7</v>
      </c>
      <c r="AG13">
        <f t="shared" si="36"/>
        <v>6509.6423516571003</v>
      </c>
      <c r="AH13">
        <f t="shared" si="37"/>
        <v>-4579998.5716846026</v>
      </c>
      <c r="AJ13">
        <f t="shared" si="20"/>
        <v>18000</v>
      </c>
      <c r="AK13">
        <f t="shared" si="21"/>
        <v>0.69667958606400004</v>
      </c>
      <c r="AL13">
        <v>1</v>
      </c>
      <c r="AM13">
        <f t="shared" si="22"/>
        <v>1.2827751108480002E-3</v>
      </c>
      <c r="AN13">
        <f t="shared" si="38"/>
        <v>17999.971274514766</v>
      </c>
      <c r="AO13">
        <f t="shared" si="39"/>
        <v>-22.3932355608625</v>
      </c>
      <c r="AQ13">
        <f t="shared" si="23"/>
        <v>9999.0000999900003</v>
      </c>
      <c r="AR13">
        <f t="shared" si="24"/>
        <v>-99.990000999900005</v>
      </c>
      <c r="AT13">
        <f t="shared" si="40"/>
        <v>-392864147.23716557</v>
      </c>
      <c r="AU13">
        <f t="shared" si="41"/>
        <v>-45796057075.37365</v>
      </c>
      <c r="AV13">
        <f t="shared" si="42"/>
        <v>-1.5793746747046469</v>
      </c>
      <c r="AW13">
        <f t="shared" si="25"/>
        <v>180008348.5092223</v>
      </c>
      <c r="AX13">
        <f t="shared" si="26"/>
        <v>-31221244.641120844</v>
      </c>
      <c r="AY13">
        <f t="shared" si="50"/>
        <v>-0.17173483983386806</v>
      </c>
      <c r="BA13">
        <f t="shared" si="27"/>
        <v>250.67752492002012</v>
      </c>
      <c r="BB13">
        <f t="shared" si="43"/>
        <v>47.982307960315794</v>
      </c>
      <c r="BC13">
        <f t="shared" si="44"/>
        <v>-1.4076398348707788</v>
      </c>
      <c r="BD13">
        <f t="shared" si="28"/>
        <v>-260.65182170474588</v>
      </c>
      <c r="BF13">
        <f t="shared" si="29"/>
        <v>71.453195284485972</v>
      </c>
      <c r="BG13">
        <f t="shared" si="30"/>
        <v>-80.668582338962921</v>
      </c>
      <c r="BH13">
        <f t="shared" si="45"/>
        <v>99.331417661037079</v>
      </c>
      <c r="BI13">
        <f t="shared" si="46"/>
        <v>99.331417661037079</v>
      </c>
      <c r="BJ13">
        <f t="shared" si="31"/>
        <v>0</v>
      </c>
      <c r="BK13">
        <f t="shared" si="47"/>
        <v>0</v>
      </c>
      <c r="BM13">
        <f t="shared" si="48"/>
        <v>23.470887324170178</v>
      </c>
      <c r="BN13">
        <f t="shared" si="32"/>
        <v>-1.6760634217028423E-2</v>
      </c>
      <c r="BQ13" s="56">
        <f t="shared" si="49"/>
        <v>64.884268760600932</v>
      </c>
      <c r="BR13" s="58"/>
      <c r="BS13" s="58"/>
      <c r="BT13" s="58">
        <v>107.152</v>
      </c>
      <c r="BU13" s="58">
        <v>34.477699999999999</v>
      </c>
      <c r="BV13" s="58">
        <v>-262.3057</v>
      </c>
      <c r="BW13" s="61"/>
      <c r="BY13" s="58"/>
      <c r="BZ13" s="58"/>
      <c r="CA13" s="58"/>
      <c r="CC13" s="58"/>
    </row>
    <row r="14" spans="1:81" x14ac:dyDescent="0.25">
      <c r="A14">
        <v>6</v>
      </c>
      <c r="B14">
        <f t="shared" si="33"/>
        <v>6.0000000000000001E-3</v>
      </c>
      <c r="C14">
        <f t="shared" si="0"/>
        <v>1.0000000012381693</v>
      </c>
      <c r="D14">
        <f t="shared" si="1"/>
        <v>4.9762827534923462E-5</v>
      </c>
      <c r="F14">
        <f t="shared" si="2"/>
        <v>0.99415312366576447</v>
      </c>
      <c r="G14">
        <f t="shared" si="3"/>
        <v>-4.0079689376782264E-4</v>
      </c>
      <c r="H14">
        <f t="shared" si="4"/>
        <v>-4.0079689376782264E-4</v>
      </c>
      <c r="J14">
        <f t="shared" si="5"/>
        <v>15</v>
      </c>
      <c r="M14">
        <f t="shared" si="6"/>
        <v>212.03696146250519</v>
      </c>
      <c r="N14">
        <f t="shared" si="7"/>
        <v>-1.5707963250000001</v>
      </c>
      <c r="O14">
        <f t="shared" si="8"/>
        <v>1.0000015193840455</v>
      </c>
      <c r="P14">
        <f t="shared" si="9"/>
        <v>1.7432051639000132E-3</v>
      </c>
      <c r="Q14">
        <f t="shared" si="10"/>
        <v>1.0000011847679273</v>
      </c>
      <c r="R14">
        <f t="shared" si="11"/>
        <v>1.539328917185961E-3</v>
      </c>
      <c r="S14">
        <f t="shared" si="12"/>
        <v>0.99999999892141678</v>
      </c>
      <c r="T14">
        <f t="shared" si="13"/>
        <v>-4.6445305704203251E-5</v>
      </c>
      <c r="U14">
        <f t="shared" si="14"/>
        <v>0.99999999929224859</v>
      </c>
      <c r="V14">
        <f t="shared" si="15"/>
        <v>-3.7623171125384793E-5</v>
      </c>
      <c r="X14">
        <f t="shared" si="34"/>
        <v>69.99914573394166</v>
      </c>
      <c r="Y14">
        <f t="shared" si="16"/>
        <v>-89.836854190232401</v>
      </c>
      <c r="Z14">
        <f t="shared" si="35"/>
        <v>90.163145809767599</v>
      </c>
      <c r="AC14">
        <v>1</v>
      </c>
      <c r="AD14">
        <f t="shared" si="17"/>
        <v>1.743206929632E-3</v>
      </c>
      <c r="AE14">
        <f t="shared" si="18"/>
        <v>-9.8576029396097258E-12</v>
      </c>
      <c r="AF14">
        <f t="shared" si="19"/>
        <v>2.6200882701E-7</v>
      </c>
      <c r="AG14">
        <f t="shared" si="36"/>
        <v>6509.6423488415821</v>
      </c>
      <c r="AH14">
        <f t="shared" si="37"/>
        <v>-3816665.5512384805</v>
      </c>
      <c r="AJ14">
        <f t="shared" si="20"/>
        <v>18000</v>
      </c>
      <c r="AK14">
        <f t="shared" si="21"/>
        <v>0.83601550327679996</v>
      </c>
      <c r="AL14">
        <v>1</v>
      </c>
      <c r="AM14">
        <f t="shared" si="22"/>
        <v>1.5393301330176E-3</v>
      </c>
      <c r="AN14">
        <f t="shared" si="38"/>
        <v>17999.958635331219</v>
      </c>
      <c r="AO14">
        <f t="shared" si="39"/>
        <v>-26.871863217158904</v>
      </c>
      <c r="AQ14">
        <f t="shared" si="23"/>
        <v>9998.5602073301452</v>
      </c>
      <c r="AR14">
        <f t="shared" si="24"/>
        <v>-119.98272248796174</v>
      </c>
      <c r="AT14">
        <f t="shared" si="40"/>
        <v>-392846872.71053153</v>
      </c>
      <c r="AU14">
        <f t="shared" si="41"/>
        <v>-38161941349.912277</v>
      </c>
      <c r="AV14">
        <f t="shared" si="42"/>
        <v>-1.5810901688518832</v>
      </c>
      <c r="AW14">
        <f t="shared" si="25"/>
        <v>179999319.00502989</v>
      </c>
      <c r="AX14">
        <f t="shared" si="26"/>
        <v>-26759638.836657792</v>
      </c>
      <c r="AY14">
        <f t="shared" si="50"/>
        <v>-0.14758428696709308</v>
      </c>
      <c r="BA14">
        <f t="shared" si="27"/>
        <v>209.71796124895855</v>
      </c>
      <c r="BB14">
        <f t="shared" si="43"/>
        <v>46.432712542284122</v>
      </c>
      <c r="BC14">
        <f t="shared" si="44"/>
        <v>-1.4335058818847901</v>
      </c>
      <c r="BD14">
        <f t="shared" si="28"/>
        <v>-262.13383703302918</v>
      </c>
      <c r="BF14">
        <f t="shared" si="29"/>
        <v>69.903603362570706</v>
      </c>
      <c r="BG14">
        <f t="shared" si="30"/>
        <v>-82.153949803512603</v>
      </c>
      <c r="BH14">
        <f t="shared" si="45"/>
        <v>97.846050196487397</v>
      </c>
      <c r="BI14">
        <f t="shared" si="46"/>
        <v>97.846050196487397</v>
      </c>
      <c r="BJ14">
        <f t="shared" si="31"/>
        <v>0</v>
      </c>
      <c r="BK14">
        <f t="shared" si="47"/>
        <v>0</v>
      </c>
      <c r="BM14">
        <f t="shared" si="48"/>
        <v>23.470890820286584</v>
      </c>
      <c r="BN14">
        <f t="shared" si="32"/>
        <v>-2.0112770483443117E-2</v>
      </c>
      <c r="BQ14" s="56">
        <f t="shared" si="49"/>
        <v>63.334673342569261</v>
      </c>
      <c r="BR14" s="58"/>
      <c r="BS14" s="58"/>
      <c r="BT14" s="58">
        <v>109.648</v>
      </c>
      <c r="BU14" s="58">
        <v>34.114400000000003</v>
      </c>
      <c r="BV14" s="58">
        <v>-262.76620000000003</v>
      </c>
      <c r="BW14" s="61"/>
      <c r="BY14" s="58"/>
      <c r="BZ14" s="58"/>
      <c r="CA14" s="58"/>
      <c r="CC14" s="58"/>
    </row>
    <row r="15" spans="1:81" x14ac:dyDescent="0.25">
      <c r="A15">
        <v>7</v>
      </c>
      <c r="B15">
        <f t="shared" si="33"/>
        <v>7.0000000000000001E-3</v>
      </c>
      <c r="C15">
        <f t="shared" si="0"/>
        <v>1.0000000016852861</v>
      </c>
      <c r="D15">
        <f t="shared" si="1"/>
        <v>5.8056632106771976E-5</v>
      </c>
      <c r="F15">
        <f t="shared" si="2"/>
        <v>0.99415359612832011</v>
      </c>
      <c r="G15">
        <f t="shared" si="3"/>
        <v>-4.6759660280429549E-4</v>
      </c>
      <c r="H15">
        <f t="shared" si="4"/>
        <v>-4.6759660280429549E-4</v>
      </c>
      <c r="J15">
        <f t="shared" si="5"/>
        <v>15</v>
      </c>
      <c r="M15">
        <f t="shared" si="6"/>
        <v>181.74596696786159</v>
      </c>
      <c r="N15">
        <f t="shared" si="7"/>
        <v>-1.5707963250000001</v>
      </c>
      <c r="O15">
        <f t="shared" si="8"/>
        <v>1.0000020680499391</v>
      </c>
      <c r="P15">
        <f t="shared" si="9"/>
        <v>2.0337386139888487E-3</v>
      </c>
      <c r="Q15">
        <f t="shared" si="10"/>
        <v>1.0000016126004452</v>
      </c>
      <c r="R15">
        <f t="shared" si="11"/>
        <v>1.7958832244925793E-3</v>
      </c>
      <c r="S15">
        <f t="shared" si="12"/>
        <v>0.99999999853192856</v>
      </c>
      <c r="T15">
        <f t="shared" si="13"/>
        <v>-5.4186189974167195E-5</v>
      </c>
      <c r="U15">
        <f t="shared" si="14"/>
        <v>0.99999999903667169</v>
      </c>
      <c r="V15">
        <f t="shared" si="15"/>
        <v>-4.389369963880345E-5</v>
      </c>
      <c r="X15">
        <f t="shared" si="34"/>
        <v>68.660222549245645</v>
      </c>
      <c r="Y15">
        <f t="shared" si="16"/>
        <v>-89.809663306899196</v>
      </c>
      <c r="Z15">
        <f t="shared" si="35"/>
        <v>90.190336693100804</v>
      </c>
      <c r="AC15">
        <v>1</v>
      </c>
      <c r="AD15">
        <f t="shared" si="17"/>
        <v>2.033741417904E-3</v>
      </c>
      <c r="AE15">
        <f t="shared" si="18"/>
        <v>-1.3417292890024351E-11</v>
      </c>
      <c r="AF15">
        <f t="shared" si="19"/>
        <v>3.0567696484499998E-7</v>
      </c>
      <c r="AG15">
        <f t="shared" si="36"/>
        <v>6509.6423455141539</v>
      </c>
      <c r="AH15">
        <f t="shared" si="37"/>
        <v>-3271427.691153795</v>
      </c>
      <c r="AJ15">
        <f t="shared" si="20"/>
        <v>18000</v>
      </c>
      <c r="AK15">
        <f t="shared" si="21"/>
        <v>0.9753514204896</v>
      </c>
      <c r="AL15">
        <v>1</v>
      </c>
      <c r="AM15">
        <f t="shared" si="22"/>
        <v>1.7958851551872002E-3</v>
      </c>
      <c r="AN15">
        <f t="shared" si="38"/>
        <v>17999.943698137889</v>
      </c>
      <c r="AO15">
        <f t="shared" si="39"/>
        <v>-31.350480261201628</v>
      </c>
      <c r="AQ15">
        <f t="shared" si="23"/>
        <v>9998.0403840847193</v>
      </c>
      <c r="AR15">
        <f t="shared" si="24"/>
        <v>-139.97256537718607</v>
      </c>
      <c r="AT15">
        <f t="shared" si="40"/>
        <v>-392826459.32036293</v>
      </c>
      <c r="AU15">
        <f t="shared" si="41"/>
        <v>-32708777341.107468</v>
      </c>
      <c r="AV15">
        <f t="shared" si="42"/>
        <v>-1.5828055673214296</v>
      </c>
      <c r="AW15">
        <f t="shared" si="25"/>
        <v>179988648.79911315</v>
      </c>
      <c r="AX15">
        <f t="shared" si="26"/>
        <v>-23688330.485624764</v>
      </c>
      <c r="AY15">
        <f t="shared" si="50"/>
        <v>-0.13085805346729196</v>
      </c>
      <c r="BA15">
        <f t="shared" si="27"/>
        <v>180.18617183697805</v>
      </c>
      <c r="BB15">
        <f t="shared" si="43"/>
        <v>45.114429170670931</v>
      </c>
      <c r="BC15">
        <f t="shared" si="44"/>
        <v>-1.4519475138541376</v>
      </c>
      <c r="BD15">
        <f t="shared" si="28"/>
        <v>-263.19046471341369</v>
      </c>
      <c r="BF15">
        <f t="shared" si="29"/>
        <v>68.585324122733041</v>
      </c>
      <c r="BG15">
        <f t="shared" si="30"/>
        <v>-83.213929625303365</v>
      </c>
      <c r="BH15">
        <f t="shared" si="45"/>
        <v>96.786070374696635</v>
      </c>
      <c r="BI15">
        <f t="shared" si="46"/>
        <v>96.786070374696635</v>
      </c>
      <c r="BJ15">
        <f t="shared" si="31"/>
        <v>0</v>
      </c>
      <c r="BK15">
        <f t="shared" si="47"/>
        <v>0</v>
      </c>
      <c r="BM15">
        <f t="shared" si="48"/>
        <v>23.470894952062107</v>
      </c>
      <c r="BN15">
        <f t="shared" si="32"/>
        <v>-2.3464911889692072E-2</v>
      </c>
      <c r="BQ15" s="56">
        <f t="shared" si="49"/>
        <v>62.016389970956062</v>
      </c>
      <c r="BR15" s="58"/>
      <c r="BS15" s="58"/>
      <c r="BT15" s="58">
        <v>112.202</v>
      </c>
      <c r="BU15" s="58">
        <v>34.297699999999999</v>
      </c>
      <c r="BV15" s="58">
        <v>-267.01279999999997</v>
      </c>
      <c r="BW15" s="61"/>
      <c r="BY15" s="58"/>
      <c r="BZ15" s="58"/>
      <c r="CA15" s="58"/>
      <c r="CC15" s="58"/>
    </row>
    <row r="16" spans="1:81" x14ac:dyDescent="0.25">
      <c r="A16">
        <v>8</v>
      </c>
      <c r="B16">
        <f t="shared" si="33"/>
        <v>8.0000000000000002E-3</v>
      </c>
      <c r="C16">
        <f t="shared" si="0"/>
        <v>1.0000000022011901</v>
      </c>
      <c r="D16">
        <f t="shared" si="1"/>
        <v>6.6350436670633382E-5</v>
      </c>
      <c r="F16">
        <f t="shared" si="2"/>
        <v>0.99415414127794555</v>
      </c>
      <c r="G16">
        <f t="shared" si="3"/>
        <v>-5.3439641649114596E-4</v>
      </c>
      <c r="H16">
        <f t="shared" si="4"/>
        <v>-5.3439641649114596E-4</v>
      </c>
      <c r="J16">
        <f t="shared" si="5"/>
        <v>15</v>
      </c>
      <c r="M16">
        <f t="shared" si="6"/>
        <v>159.02772109687888</v>
      </c>
      <c r="N16">
        <f t="shared" si="7"/>
        <v>-1.5707963250000001</v>
      </c>
      <c r="O16">
        <f t="shared" si="8"/>
        <v>1.0000027011255961</v>
      </c>
      <c r="P16">
        <f t="shared" si="9"/>
        <v>2.3242717207431519E-3</v>
      </c>
      <c r="Q16">
        <f t="shared" si="10"/>
        <v>1.0000021062531226</v>
      </c>
      <c r="R16">
        <f t="shared" si="11"/>
        <v>2.0524372953886942E-3</v>
      </c>
      <c r="S16">
        <f t="shared" si="12"/>
        <v>0.99999999808251872</v>
      </c>
      <c r="T16">
        <f t="shared" si="13"/>
        <v>-6.1927074237637337E-5</v>
      </c>
      <c r="U16">
        <f t="shared" si="14"/>
        <v>0.99999999874177514</v>
      </c>
      <c r="V16">
        <f t="shared" si="15"/>
        <v>-5.0164228148770346E-5</v>
      </c>
      <c r="X16">
        <f t="shared" si="34"/>
        <v>67.50039815727925</v>
      </c>
      <c r="Y16">
        <f t="shared" si="16"/>
        <v>-89.78247246277887</v>
      </c>
      <c r="Z16">
        <f t="shared" si="35"/>
        <v>90.21752753722113</v>
      </c>
      <c r="AC16">
        <v>1</v>
      </c>
      <c r="AD16">
        <f t="shared" si="17"/>
        <v>2.3242759061759999E-3</v>
      </c>
      <c r="AE16">
        <f t="shared" si="18"/>
        <v>-1.7524627448195071E-11</v>
      </c>
      <c r="AF16">
        <f t="shared" si="19"/>
        <v>3.4934510268000002E-7</v>
      </c>
      <c r="AG16">
        <f t="shared" si="36"/>
        <v>6509.6423416748121</v>
      </c>
      <c r="AH16">
        <f t="shared" si="37"/>
        <v>-2862499.3062950037</v>
      </c>
      <c r="AJ16">
        <f t="shared" si="20"/>
        <v>18000</v>
      </c>
      <c r="AK16">
        <f t="shared" si="21"/>
        <v>1.1146873377024</v>
      </c>
      <c r="AL16">
        <v>1</v>
      </c>
      <c r="AM16">
        <f t="shared" si="22"/>
        <v>2.0524401773568002E-3</v>
      </c>
      <c r="AN16">
        <f t="shared" si="38"/>
        <v>17999.926462946583</v>
      </c>
      <c r="AO16">
        <f t="shared" si="39"/>
        <v>-35.829084924317051</v>
      </c>
      <c r="AQ16">
        <f t="shared" si="23"/>
        <v>9997.4406551922712</v>
      </c>
      <c r="AR16">
        <f t="shared" si="24"/>
        <v>-159.95905048307634</v>
      </c>
      <c r="AT16">
        <f t="shared" si="40"/>
        <v>-392802908.04599273</v>
      </c>
      <c r="AU16">
        <f t="shared" si="41"/>
        <v>-28618708216.421303</v>
      </c>
      <c r="AV16">
        <f t="shared" si="42"/>
        <v>-1.5845208541786457</v>
      </c>
      <c r="AW16">
        <f t="shared" si="25"/>
        <v>179976338.4044123</v>
      </c>
      <c r="AX16">
        <f t="shared" si="26"/>
        <v>-21485925.991607521</v>
      </c>
      <c r="AY16">
        <f t="shared" si="50"/>
        <v>-0.11881960380470984</v>
      </c>
      <c r="BA16">
        <f t="shared" si="27"/>
        <v>157.90743228983501</v>
      </c>
      <c r="BB16">
        <f t="shared" si="43"/>
        <v>43.968051431894821</v>
      </c>
      <c r="BC16">
        <f t="shared" si="44"/>
        <v>-1.4657012503739359</v>
      </c>
      <c r="BD16">
        <f t="shared" si="28"/>
        <v>-263.97849576943349</v>
      </c>
      <c r="BF16">
        <f t="shared" si="29"/>
        <v>67.438951151392359</v>
      </c>
      <c r="BG16">
        <f t="shared" si="30"/>
        <v>-84.005312828725948</v>
      </c>
      <c r="BH16">
        <f t="shared" si="45"/>
        <v>95.994687171274052</v>
      </c>
      <c r="BI16">
        <f t="shared" si="46"/>
        <v>95.994687171274052</v>
      </c>
      <c r="BJ16">
        <f t="shared" si="31"/>
        <v>0</v>
      </c>
      <c r="BK16">
        <f t="shared" si="47"/>
        <v>0</v>
      </c>
      <c r="BM16">
        <f t="shared" si="48"/>
        <v>23.470899719497531</v>
      </c>
      <c r="BN16">
        <f t="shared" si="32"/>
        <v>-2.6817059292423624E-2</v>
      </c>
      <c r="BQ16" s="56">
        <f t="shared" si="49"/>
        <v>60.87001223217996</v>
      </c>
      <c r="BR16" s="59"/>
      <c r="BS16" s="59"/>
      <c r="BT16" s="59">
        <v>114.815</v>
      </c>
      <c r="BU16" s="59">
        <v>33.346499999999999</v>
      </c>
      <c r="BV16" s="59">
        <v>-266.20479999999998</v>
      </c>
      <c r="BW16" s="61"/>
      <c r="BY16" s="59"/>
      <c r="BZ16" s="59"/>
      <c r="CA16" s="59"/>
      <c r="CC16" s="59"/>
    </row>
    <row r="17" spans="1:81" x14ac:dyDescent="0.25">
      <c r="A17">
        <v>9</v>
      </c>
      <c r="B17">
        <f t="shared" si="33"/>
        <v>8.9999999999999993E-3</v>
      </c>
      <c r="C17">
        <f t="shared" si="0"/>
        <v>1.0000000027858813</v>
      </c>
      <c r="D17">
        <f t="shared" si="1"/>
        <v>7.4644241225366666E-5</v>
      </c>
      <c r="F17">
        <f t="shared" si="2"/>
        <v>0.99415475911486517</v>
      </c>
      <c r="G17">
        <f t="shared" si="3"/>
        <v>-6.0119634977864238E-4</v>
      </c>
      <c r="H17">
        <f t="shared" si="4"/>
        <v>-6.0119634977864238E-4</v>
      </c>
      <c r="J17">
        <f t="shared" si="5"/>
        <v>15</v>
      </c>
      <c r="M17">
        <f t="shared" si="6"/>
        <v>141.35797430833679</v>
      </c>
      <c r="N17">
        <f t="shared" si="7"/>
        <v>-1.5707963250000001</v>
      </c>
      <c r="O17">
        <f t="shared" si="8"/>
        <v>1.000003418610856</v>
      </c>
      <c r="P17">
        <f t="shared" si="9"/>
        <v>2.6148044351161268E-3</v>
      </c>
      <c r="Q17">
        <f t="shared" si="10"/>
        <v>1.0000026657258627</v>
      </c>
      <c r="R17">
        <f t="shared" si="11"/>
        <v>2.3089910961019105E-3</v>
      </c>
      <c r="S17">
        <f t="shared" si="12"/>
        <v>0.99999999757318792</v>
      </c>
      <c r="T17">
        <f t="shared" si="13"/>
        <v>-6.9667958493685973E-5</v>
      </c>
      <c r="U17">
        <f t="shared" si="14"/>
        <v>0.99999999840755915</v>
      </c>
      <c r="V17">
        <f t="shared" si="15"/>
        <v>-5.6434756654792372E-5</v>
      </c>
      <c r="X17">
        <f t="shared" si="34"/>
        <v>66.477364195586517</v>
      </c>
      <c r="Y17">
        <f t="shared" si="16"/>
        <v>-89.75528166347317</v>
      </c>
      <c r="Z17">
        <f t="shared" si="35"/>
        <v>90.24471833652683</v>
      </c>
      <c r="AC17">
        <v>1</v>
      </c>
      <c r="AD17">
        <f t="shared" si="17"/>
        <v>2.6148103944480003E-3</v>
      </c>
      <c r="AE17">
        <f t="shared" si="18"/>
        <v>-2.2179606614121886E-11</v>
      </c>
      <c r="AF17">
        <f t="shared" si="19"/>
        <v>3.9301324051499995E-7</v>
      </c>
      <c r="AG17">
        <f t="shared" si="36"/>
        <v>6509.6423373235612</v>
      </c>
      <c r="AH17">
        <f t="shared" si="37"/>
        <v>-2544443.904920144</v>
      </c>
      <c r="AJ17">
        <f t="shared" si="20"/>
        <v>18000</v>
      </c>
      <c r="AK17">
        <f t="shared" si="21"/>
        <v>1.2540232549151999</v>
      </c>
      <c r="AL17">
        <v>1</v>
      </c>
      <c r="AM17">
        <f t="shared" si="22"/>
        <v>2.3089951995264001E-3</v>
      </c>
      <c r="AN17">
        <f t="shared" si="38"/>
        <v>17999.90692977091</v>
      </c>
      <c r="AO17">
        <f t="shared" si="39"/>
        <v>-40.307675437847813</v>
      </c>
      <c r="AQ17">
        <f t="shared" si="23"/>
        <v>9996.7610494199889</v>
      </c>
      <c r="AR17">
        <f t="shared" si="24"/>
        <v>-179.94169888955977</v>
      </c>
      <c r="AT17">
        <f t="shared" si="40"/>
        <v>-392776220.01710474</v>
      </c>
      <c r="AU17">
        <f t="shared" si="41"/>
        <v>-25437369077.241135</v>
      </c>
      <c r="AV17">
        <f t="shared" si="42"/>
        <v>-1.5862360134942612</v>
      </c>
      <c r="AW17">
        <f t="shared" si="25"/>
        <v>179962388.41261521</v>
      </c>
      <c r="AX17">
        <f t="shared" si="26"/>
        <v>-19862757.871597037</v>
      </c>
      <c r="AY17">
        <f t="shared" si="50"/>
        <v>-0.10992678528516688</v>
      </c>
      <c r="BA17">
        <f t="shared" si="27"/>
        <v>140.51184052701819</v>
      </c>
      <c r="BB17">
        <f t="shared" si="43"/>
        <v>42.954258450498614</v>
      </c>
      <c r="BC17">
        <f t="shared" si="44"/>
        <v>-1.4763092282090944</v>
      </c>
      <c r="BD17">
        <f t="shared" si="28"/>
        <v>-264.58628812925093</v>
      </c>
      <c r="BF17">
        <f t="shared" si="29"/>
        <v>66.425163573092391</v>
      </c>
      <c r="BG17">
        <f t="shared" si="30"/>
        <v>-84.616457342799222</v>
      </c>
      <c r="BH17">
        <f t="shared" si="45"/>
        <v>95.383542657200778</v>
      </c>
      <c r="BI17">
        <f t="shared" si="46"/>
        <v>95.383542657200778</v>
      </c>
      <c r="BJ17">
        <f t="shared" si="31"/>
        <v>0</v>
      </c>
      <c r="BK17">
        <f t="shared" si="47"/>
        <v>0</v>
      </c>
      <c r="BM17">
        <f t="shared" si="48"/>
        <v>23.470905122593777</v>
      </c>
      <c r="BN17">
        <f t="shared" si="32"/>
        <v>-3.0169213548290427E-2</v>
      </c>
      <c r="BQ17" s="56">
        <f t="shared" si="49"/>
        <v>59.856219250783752</v>
      </c>
      <c r="BR17" s="59"/>
      <c r="BS17" s="59"/>
      <c r="BT17" s="59">
        <v>117.49</v>
      </c>
      <c r="BU17" s="59">
        <v>33.0246</v>
      </c>
      <c r="BV17" s="59">
        <v>-264.9049</v>
      </c>
      <c r="BW17" s="61"/>
      <c r="BY17" s="59"/>
      <c r="BZ17" s="59"/>
      <c r="CA17" s="59"/>
      <c r="CC17" s="59"/>
    </row>
    <row r="18" spans="1:81" x14ac:dyDescent="0.25">
      <c r="A18">
        <v>10</v>
      </c>
      <c r="B18">
        <f t="shared" si="33"/>
        <v>0.01</v>
      </c>
      <c r="C18">
        <f t="shared" si="0"/>
        <v>1.0000000034393597</v>
      </c>
      <c r="D18">
        <f t="shared" si="1"/>
        <v>8.2938045769830821E-5</v>
      </c>
      <c r="F18">
        <f t="shared" si="2"/>
        <v>0.99415544963933289</v>
      </c>
      <c r="G18">
        <f t="shared" si="3"/>
        <v>-6.6799641761713826E-4</v>
      </c>
      <c r="H18">
        <f t="shared" si="4"/>
        <v>-6.6799641761713826E-4</v>
      </c>
      <c r="J18">
        <f t="shared" si="5"/>
        <v>15</v>
      </c>
      <c r="M18">
        <f t="shared" si="6"/>
        <v>127.22217687750312</v>
      </c>
      <c r="N18">
        <f t="shared" si="7"/>
        <v>-1.5707963250000001</v>
      </c>
      <c r="O18">
        <f t="shared" si="8"/>
        <v>1.0000042205055375</v>
      </c>
      <c r="P18">
        <f t="shared" si="9"/>
        <v>2.9053367080613735E-3</v>
      </c>
      <c r="Q18">
        <f t="shared" si="10"/>
        <v>1.0000032910185546</v>
      </c>
      <c r="R18">
        <f t="shared" si="11"/>
        <v>2.5655445928600461E-3</v>
      </c>
      <c r="S18">
        <f t="shared" si="12"/>
        <v>0.99999999700393549</v>
      </c>
      <c r="T18">
        <f t="shared" si="13"/>
        <v>-7.7408842741385413E-5</v>
      </c>
      <c r="U18">
        <f t="shared" si="14"/>
        <v>0.99999999803402373</v>
      </c>
      <c r="V18">
        <f t="shared" si="15"/>
        <v>-6.2705285156376434E-5</v>
      </c>
      <c r="X18">
        <f t="shared" si="34"/>
        <v>65.562232811291381</v>
      </c>
      <c r="Y18">
        <f t="shared" si="16"/>
        <v>-89.728090914583788</v>
      </c>
      <c r="Z18">
        <f t="shared" si="35"/>
        <v>90.271909085416212</v>
      </c>
      <c r="AC18">
        <v>1</v>
      </c>
      <c r="AD18">
        <f t="shared" si="17"/>
        <v>2.9053448827199998E-3</v>
      </c>
      <c r="AE18">
        <f t="shared" si="18"/>
        <v>-2.7382230387804794E-11</v>
      </c>
      <c r="AF18">
        <f t="shared" si="19"/>
        <v>4.3668137834999998E-7</v>
      </c>
      <c r="AG18">
        <f t="shared" si="36"/>
        <v>6509.6423324603948</v>
      </c>
      <c r="AH18">
        <f t="shared" si="37"/>
        <v>-2289999.5919840354</v>
      </c>
      <c r="AJ18">
        <f t="shared" si="20"/>
        <v>18000</v>
      </c>
      <c r="AK18">
        <f t="shared" si="21"/>
        <v>1.3933591721280001</v>
      </c>
      <c r="AL18">
        <v>1</v>
      </c>
      <c r="AM18">
        <f t="shared" si="22"/>
        <v>2.5655502216960003E-3</v>
      </c>
      <c r="AN18">
        <f t="shared" si="38"/>
        <v>17999.885098626299</v>
      </c>
      <c r="AO18">
        <f t="shared" si="39"/>
        <v>-44.786250033155234</v>
      </c>
      <c r="AQ18">
        <f t="shared" si="23"/>
        <v>9996.0015993602556</v>
      </c>
      <c r="AR18">
        <f t="shared" si="24"/>
        <v>-199.92003198720514</v>
      </c>
      <c r="AT18">
        <f t="shared" si="40"/>
        <v>-392746396.51359773</v>
      </c>
      <c r="AU18">
        <f t="shared" si="41"/>
        <v>-22892140991.910084</v>
      </c>
      <c r="AV18">
        <f t="shared" si="42"/>
        <v>-1.587951029345142</v>
      </c>
      <c r="AW18">
        <f t="shared" si="25"/>
        <v>179946799.49408719</v>
      </c>
      <c r="AX18">
        <f t="shared" si="26"/>
        <v>-18645021.702833526</v>
      </c>
      <c r="AY18">
        <f t="shared" si="50"/>
        <v>-0.10324565223637697</v>
      </c>
      <c r="BA18">
        <f t="shared" si="27"/>
        <v>126.55734358272674</v>
      </c>
      <c r="BB18">
        <f t="shared" si="43"/>
        <v>42.04574700962845</v>
      </c>
      <c r="BC18">
        <f t="shared" si="44"/>
        <v>-1.484705377108765</v>
      </c>
      <c r="BD18">
        <f t="shared" si="28"/>
        <v>-265.06735202591517</v>
      </c>
      <c r="BF18">
        <f t="shared" si="29"/>
        <v>65.516658170980321</v>
      </c>
      <c r="BG18">
        <f t="shared" si="30"/>
        <v>-85.100873401429112</v>
      </c>
      <c r="BH18">
        <f t="shared" si="45"/>
        <v>94.899126598570888</v>
      </c>
      <c r="BI18">
        <f t="shared" si="46"/>
        <v>94.899126598570888</v>
      </c>
      <c r="BJ18">
        <f t="shared" si="31"/>
        <v>0</v>
      </c>
      <c r="BK18">
        <f t="shared" si="47"/>
        <v>0</v>
      </c>
      <c r="BM18">
        <f t="shared" si="48"/>
        <v>23.470911161351871</v>
      </c>
      <c r="BN18">
        <f t="shared" si="32"/>
        <v>-3.3521375513950014E-2</v>
      </c>
      <c r="BQ18" s="56">
        <f t="shared" si="49"/>
        <v>58.947707809913581</v>
      </c>
      <c r="BR18" s="59"/>
      <c r="BS18" s="59"/>
      <c r="BT18" s="59">
        <v>120.226</v>
      </c>
      <c r="BU18" s="59">
        <v>33.735999999999997</v>
      </c>
      <c r="BV18" s="59">
        <v>-269.98079999999999</v>
      </c>
      <c r="BW18" s="61"/>
      <c r="BY18" s="59"/>
      <c r="BZ18" s="59"/>
      <c r="CA18" s="59"/>
      <c r="CC18" s="59"/>
    </row>
    <row r="19" spans="1:81" x14ac:dyDescent="0.25">
      <c r="A19">
        <f>A10*10</f>
        <v>20</v>
      </c>
      <c r="B19">
        <f t="shared" si="33"/>
        <v>0.02</v>
      </c>
      <c r="C19">
        <f t="shared" si="0"/>
        <v>1.000000013757439</v>
      </c>
      <c r="D19">
        <f t="shared" si="1"/>
        <v>1.6587609039864657E-4</v>
      </c>
      <c r="F19">
        <f t="shared" si="2"/>
        <v>0.99416635277639498</v>
      </c>
      <c r="G19">
        <f t="shared" si="3"/>
        <v>-1.3360077854675469E-3</v>
      </c>
      <c r="H19">
        <f t="shared" si="4"/>
        <v>-1.3360077854675469E-3</v>
      </c>
      <c r="J19">
        <f t="shared" si="5"/>
        <v>15</v>
      </c>
      <c r="M19">
        <f t="shared" si="6"/>
        <v>63.611088438751558</v>
      </c>
      <c r="N19">
        <f t="shared" si="7"/>
        <v>-1.5707963250000001</v>
      </c>
      <c r="O19">
        <f t="shared" si="8"/>
        <v>1.0000168819152755</v>
      </c>
      <c r="P19">
        <f t="shared" si="9"/>
        <v>5.8106243691646003E-3</v>
      </c>
      <c r="Q19">
        <f t="shared" si="10"/>
        <v>1.0000131640092345</v>
      </c>
      <c r="R19">
        <f t="shared" si="11"/>
        <v>5.1310554132378648E-3</v>
      </c>
      <c r="S19">
        <f t="shared" si="12"/>
        <v>0.9999999880157423</v>
      </c>
      <c r="T19">
        <f t="shared" si="13"/>
        <v>-1.5481768455508329E-4</v>
      </c>
      <c r="U19">
        <f t="shared" si="14"/>
        <v>0.99999999213609458</v>
      </c>
      <c r="V19">
        <f t="shared" si="15"/>
        <v>-1.2541056981964441E-4</v>
      </c>
      <c r="X19">
        <f t="shared" si="34"/>
        <v>59.541923847459309</v>
      </c>
      <c r="Y19">
        <f t="shared" si="16"/>
        <v>-89.456187430941256</v>
      </c>
      <c r="Z19">
        <f t="shared" si="35"/>
        <v>90.543812569058744</v>
      </c>
      <c r="AC19">
        <v>1</v>
      </c>
      <c r="AD19">
        <f t="shared" si="17"/>
        <v>5.8106897654399995E-3</v>
      </c>
      <c r="AE19">
        <f t="shared" si="18"/>
        <v>-1.0952892155121918E-10</v>
      </c>
      <c r="AF19">
        <f t="shared" si="19"/>
        <v>8.7336275669999996E-7</v>
      </c>
      <c r="AG19">
        <f t="shared" si="36"/>
        <v>6509.6422556735779</v>
      </c>
      <c r="AH19">
        <f t="shared" si="37"/>
        <v>-1145000.4082754771</v>
      </c>
      <c r="AJ19">
        <f t="shared" si="20"/>
        <v>18000</v>
      </c>
      <c r="AK19">
        <f t="shared" si="21"/>
        <v>2.7867183442560002</v>
      </c>
      <c r="AL19">
        <v>1</v>
      </c>
      <c r="AM19">
        <f t="shared" si="22"/>
        <v>5.1311004433920006E-3</v>
      </c>
      <c r="AN19">
        <f t="shared" si="38"/>
        <v>17999.540403580395</v>
      </c>
      <c r="AO19">
        <f t="shared" si="39"/>
        <v>-89.570731401407585</v>
      </c>
      <c r="AQ19">
        <f t="shared" si="23"/>
        <v>9984.0255591054301</v>
      </c>
      <c r="AR19">
        <f t="shared" si="24"/>
        <v>-399.36102236421721</v>
      </c>
      <c r="AT19">
        <f t="shared" si="40"/>
        <v>-392276098.99506295</v>
      </c>
      <c r="AU19">
        <f t="shared" si="41"/>
        <v>-11434313038.794968</v>
      </c>
      <c r="AV19">
        <f t="shared" si="42"/>
        <v>-1.6050898001188416</v>
      </c>
      <c r="AW19">
        <f t="shared" si="25"/>
        <v>179700972.8842147</v>
      </c>
      <c r="AX19">
        <f t="shared" si="26"/>
        <v>-15382075.474467907</v>
      </c>
      <c r="AY19">
        <f t="shared" si="50"/>
        <v>-8.5390029490136063E-2</v>
      </c>
      <c r="BA19">
        <f t="shared" si="27"/>
        <v>63.435128826316628</v>
      </c>
      <c r="BB19">
        <f t="shared" si="43"/>
        <v>36.046596523683263</v>
      </c>
      <c r="BC19">
        <f t="shared" si="44"/>
        <v>-1.5196997706287056</v>
      </c>
      <c r="BD19">
        <f t="shared" si="28"/>
        <v>-267.07238308351879</v>
      </c>
      <c r="BF19">
        <f t="shared" si="29"/>
        <v>59.517603034332723</v>
      </c>
      <c r="BG19">
        <f t="shared" si="30"/>
        <v>-87.139426691197343</v>
      </c>
      <c r="BH19">
        <f t="shared" si="45"/>
        <v>92.860573308802657</v>
      </c>
      <c r="BI19">
        <f t="shared" si="46"/>
        <v>92.860573308802657</v>
      </c>
      <c r="BJ19">
        <f t="shared" si="31"/>
        <v>0</v>
      </c>
      <c r="BK19">
        <f t="shared" si="47"/>
        <v>0</v>
      </c>
      <c r="BM19">
        <f t="shared" si="48"/>
        <v>23.471006510649456</v>
      </c>
      <c r="BN19">
        <f t="shared" si="32"/>
        <v>-6.7043607678545475E-2</v>
      </c>
      <c r="BQ19" s="56">
        <f t="shared" si="49"/>
        <v>52.948557323968402</v>
      </c>
      <c r="BR19" s="59"/>
      <c r="BS19" s="59"/>
      <c r="BT19" s="59">
        <v>123.027</v>
      </c>
      <c r="BU19" s="59">
        <v>32.764899999999997</v>
      </c>
      <c r="BV19" s="59">
        <v>-265.73410000000001</v>
      </c>
      <c r="BW19" s="61"/>
      <c r="BY19" s="59"/>
      <c r="BZ19" s="59"/>
      <c r="CA19" s="59"/>
      <c r="CC19" s="59"/>
    </row>
    <row r="20" spans="1:81" x14ac:dyDescent="0.25">
      <c r="A20">
        <f t="shared" ref="A20:A36" si="51">A11*10</f>
        <v>30</v>
      </c>
      <c r="B20">
        <f t="shared" si="33"/>
        <v>0.03</v>
      </c>
      <c r="C20">
        <f t="shared" si="0"/>
        <v>1.0000000309542372</v>
      </c>
      <c r="D20">
        <f t="shared" si="1"/>
        <v>2.4881413274543225E-4</v>
      </c>
      <c r="F20">
        <f t="shared" si="2"/>
        <v>0.99418452516953504</v>
      </c>
      <c r="G20">
        <f t="shared" si="3"/>
        <v>-2.0040490548550072E-3</v>
      </c>
      <c r="H20">
        <f t="shared" si="4"/>
        <v>-2.0040490548550072E-3</v>
      </c>
      <c r="J20">
        <f t="shared" si="5"/>
        <v>15</v>
      </c>
      <c r="M20">
        <f t="shared" si="6"/>
        <v>42.407392292501029</v>
      </c>
      <c r="N20">
        <f t="shared" si="7"/>
        <v>-1.5707963250000001</v>
      </c>
      <c r="O20">
        <f t="shared" si="8"/>
        <v>1.0000379839086053</v>
      </c>
      <c r="P20">
        <f t="shared" si="9"/>
        <v>8.7158139413193222E-3</v>
      </c>
      <c r="Q20">
        <f t="shared" si="10"/>
        <v>1.0000296187770943</v>
      </c>
      <c r="R20">
        <f t="shared" si="11"/>
        <v>7.6964986913186113E-3</v>
      </c>
      <c r="S20">
        <f t="shared" si="12"/>
        <v>0.99999997303542087</v>
      </c>
      <c r="T20">
        <f t="shared" si="13"/>
        <v>-2.3222652451340624E-4</v>
      </c>
      <c r="U20">
        <f t="shared" si="14"/>
        <v>0.99999998230621301</v>
      </c>
      <c r="V20">
        <f t="shared" si="15"/>
        <v>-1.8811585349669553E-4</v>
      </c>
      <c r="X20">
        <f t="shared" si="34"/>
        <v>56.020583574170132</v>
      </c>
      <c r="Y20">
        <f t="shared" si="16"/>
        <v>-89.184295150469836</v>
      </c>
      <c r="Z20">
        <f t="shared" si="35"/>
        <v>90.815704849530164</v>
      </c>
      <c r="AC20">
        <v>1</v>
      </c>
      <c r="AD20">
        <f t="shared" si="17"/>
        <v>8.7160346481600006E-3</v>
      </c>
      <c r="AE20">
        <f t="shared" si="18"/>
        <v>-2.4644007349024318E-10</v>
      </c>
      <c r="AF20">
        <f t="shared" si="19"/>
        <v>1.31004413505E-6</v>
      </c>
      <c r="AG20">
        <f t="shared" si="36"/>
        <v>6509.6421276955516</v>
      </c>
      <c r="AH20">
        <f t="shared" si="37"/>
        <v>-763334.28583191789</v>
      </c>
      <c r="AJ20">
        <f t="shared" si="20"/>
        <v>18000</v>
      </c>
      <c r="AK20">
        <f t="shared" si="21"/>
        <v>4.1800775163840003</v>
      </c>
      <c r="AL20">
        <v>1</v>
      </c>
      <c r="AM20">
        <f t="shared" si="22"/>
        <v>7.6966506650880005E-3</v>
      </c>
      <c r="AN20">
        <f t="shared" si="38"/>
        <v>17998.965942086077</v>
      </c>
      <c r="AO20">
        <f t="shared" si="39"/>
        <v>-134.3516756726691</v>
      </c>
      <c r="AQ20">
        <f t="shared" si="23"/>
        <v>9964.1291351135915</v>
      </c>
      <c r="AR20">
        <f t="shared" si="24"/>
        <v>-597.8477481068154</v>
      </c>
      <c r="AT20">
        <f t="shared" si="40"/>
        <v>-391494769.05360222</v>
      </c>
      <c r="AU20">
        <f t="shared" si="41"/>
        <v>-7609853172.1759634</v>
      </c>
      <c r="AV20">
        <f t="shared" si="42"/>
        <v>-1.6221967838282818</v>
      </c>
      <c r="AW20">
        <f t="shared" si="25"/>
        <v>179292570.8888669</v>
      </c>
      <c r="AX20">
        <f t="shared" si="26"/>
        <v>-16965754.582941506</v>
      </c>
      <c r="AY20">
        <f t="shared" si="50"/>
        <v>-9.4345165289623861E-2</v>
      </c>
      <c r="BA20">
        <f t="shared" si="27"/>
        <v>42.310897342242626</v>
      </c>
      <c r="BB20">
        <f t="shared" si="43"/>
        <v>32.529044721540458</v>
      </c>
      <c r="BC20">
        <f t="shared" si="44"/>
        <v>-1.5278516185386579</v>
      </c>
      <c r="BD20">
        <f t="shared" si="28"/>
        <v>-267.53944956452528</v>
      </c>
      <c r="BF20">
        <f t="shared" si="29"/>
        <v>56.0002101497155</v>
      </c>
      <c r="BG20">
        <f t="shared" si="30"/>
        <v>-87.640017117731063</v>
      </c>
      <c r="BH20">
        <f t="shared" si="45"/>
        <v>92.359982882268937</v>
      </c>
      <c r="BI20">
        <f t="shared" si="46"/>
        <v>92.359982882268937</v>
      </c>
      <c r="BJ20">
        <f t="shared" si="31"/>
        <v>0</v>
      </c>
      <c r="BK20">
        <f t="shared" si="47"/>
        <v>0</v>
      </c>
      <c r="BM20">
        <f t="shared" si="48"/>
        <v>23.471165428175034</v>
      </c>
      <c r="BN20">
        <f t="shared" si="32"/>
        <v>-0.10056755320576762</v>
      </c>
      <c r="BQ20" s="56">
        <f t="shared" si="49"/>
        <v>49.431005521825597</v>
      </c>
      <c r="BR20" s="59"/>
      <c r="BS20" s="59"/>
      <c r="BT20" s="59">
        <v>125.893</v>
      </c>
      <c r="BU20" s="59">
        <v>32.247199999999999</v>
      </c>
      <c r="BV20" s="59">
        <v>-266.37110000000001</v>
      </c>
      <c r="BW20" s="61"/>
      <c r="BY20" s="59"/>
      <c r="BZ20" s="59"/>
      <c r="CA20" s="59"/>
      <c r="CC20" s="59"/>
    </row>
    <row r="21" spans="1:81" x14ac:dyDescent="0.25">
      <c r="A21">
        <f t="shared" si="51"/>
        <v>40</v>
      </c>
      <c r="B21">
        <f t="shared" si="33"/>
        <v>0.04</v>
      </c>
      <c r="C21">
        <f t="shared" si="0"/>
        <v>1.0000000550297543</v>
      </c>
      <c r="D21">
        <f t="shared" si="1"/>
        <v>3.3175217166917306E-4</v>
      </c>
      <c r="F21">
        <f t="shared" si="2"/>
        <v>0.99420996756585833</v>
      </c>
      <c r="G21">
        <f t="shared" si="3"/>
        <v>-2.6721351792244755E-3</v>
      </c>
      <c r="H21">
        <f t="shared" si="4"/>
        <v>-2.6721351792244755E-3</v>
      </c>
      <c r="J21">
        <f t="shared" si="5"/>
        <v>15</v>
      </c>
      <c r="M21">
        <f t="shared" si="6"/>
        <v>31.805544219375779</v>
      </c>
      <c r="N21">
        <f t="shared" si="7"/>
        <v>-1.5707963250000001</v>
      </c>
      <c r="O21">
        <f t="shared" si="8"/>
        <v>1.0000675259512233</v>
      </c>
      <c r="P21">
        <f t="shared" si="9"/>
        <v>1.16208563924695E-2</v>
      </c>
      <c r="Q21">
        <f t="shared" si="10"/>
        <v>1.0000526549972459</v>
      </c>
      <c r="R21">
        <f t="shared" si="11"/>
        <v>1.0261840662621678E-2</v>
      </c>
      <c r="S21">
        <f t="shared" si="12"/>
        <v>0.99999995206297176</v>
      </c>
      <c r="T21">
        <f t="shared" si="13"/>
        <v>-3.0963536168866681E-4</v>
      </c>
      <c r="U21">
        <f t="shared" si="14"/>
        <v>0.99999996854437911</v>
      </c>
      <c r="V21">
        <f t="shared" si="15"/>
        <v>-2.508211356944215E-4</v>
      </c>
      <c r="X21">
        <f t="shared" si="34"/>
        <v>53.522487696324994</v>
      </c>
      <c r="Y21">
        <f t="shared" si="16"/>
        <v>-88.912419673814966</v>
      </c>
      <c r="Z21">
        <f t="shared" si="35"/>
        <v>91.087580326185034</v>
      </c>
      <c r="AC21">
        <v>1</v>
      </c>
      <c r="AD21">
        <f t="shared" si="17"/>
        <v>1.1621379530879999E-2</v>
      </c>
      <c r="AE21">
        <f t="shared" si="18"/>
        <v>-4.381156862048767E-10</v>
      </c>
      <c r="AF21">
        <f t="shared" si="19"/>
        <v>1.7467255133999999E-6</v>
      </c>
      <c r="AG21">
        <f t="shared" si="36"/>
        <v>6509.6419485263241</v>
      </c>
      <c r="AH21">
        <f t="shared" si="37"/>
        <v>-572501.42870458483</v>
      </c>
      <c r="AJ21">
        <f t="shared" si="20"/>
        <v>18000</v>
      </c>
      <c r="AK21">
        <f t="shared" si="21"/>
        <v>5.5734366885120004</v>
      </c>
      <c r="AL21">
        <v>1</v>
      </c>
      <c r="AM21">
        <f t="shared" si="22"/>
        <v>1.0262200886784001E-2</v>
      </c>
      <c r="AN21">
        <f t="shared" si="38"/>
        <v>17998.161759510389</v>
      </c>
      <c r="AO21">
        <f t="shared" si="39"/>
        <v>-179.12731488041737</v>
      </c>
      <c r="AQ21">
        <f t="shared" si="23"/>
        <v>9936.4069952305254</v>
      </c>
      <c r="AR21">
        <f t="shared" si="24"/>
        <v>-794.91255961844195</v>
      </c>
      <c r="AT21">
        <f t="shared" si="40"/>
        <v>-390406124.2829935</v>
      </c>
      <c r="AU21">
        <f t="shared" si="41"/>
        <v>-5693781797.1032085</v>
      </c>
      <c r="AV21">
        <f t="shared" si="42"/>
        <v>-1.6392562772503587</v>
      </c>
      <c r="AW21">
        <f t="shared" si="25"/>
        <v>178723540.65037823</v>
      </c>
      <c r="AX21">
        <f t="shared" si="26"/>
        <v>-19736756.412553109</v>
      </c>
      <c r="AY21">
        <f t="shared" si="50"/>
        <v>-0.10998611188603494</v>
      </c>
      <c r="BA21">
        <f t="shared" si="27"/>
        <v>31.739891855424968</v>
      </c>
      <c r="BB21">
        <f t="shared" si="43"/>
        <v>30.032108853750124</v>
      </c>
      <c r="BC21">
        <f t="shared" si="44"/>
        <v>-1.5292701653643237</v>
      </c>
      <c r="BD21">
        <f t="shared" si="28"/>
        <v>-267.62072631077052</v>
      </c>
      <c r="BF21">
        <f t="shared" si="29"/>
        <v>53.503496770723267</v>
      </c>
      <c r="BG21">
        <f t="shared" si="30"/>
        <v>-87.754820379700774</v>
      </c>
      <c r="BH21">
        <f t="shared" si="45"/>
        <v>92.245179620299226</v>
      </c>
      <c r="BI21">
        <f t="shared" si="46"/>
        <v>92.245179620299226</v>
      </c>
      <c r="BJ21">
        <f t="shared" si="31"/>
        <v>0</v>
      </c>
      <c r="BK21">
        <f t="shared" si="47"/>
        <v>0</v>
      </c>
      <c r="BM21">
        <f t="shared" si="48"/>
        <v>23.471387916973143</v>
      </c>
      <c r="BN21">
        <f t="shared" si="32"/>
        <v>-0.13409406893027789</v>
      </c>
      <c r="BQ21" s="56">
        <f t="shared" si="49"/>
        <v>46.934069654035262</v>
      </c>
      <c r="BR21" s="59"/>
      <c r="BS21" s="59"/>
      <c r="BT21" s="59">
        <v>128.82499999999999</v>
      </c>
      <c r="BU21" s="59">
        <v>32.3142</v>
      </c>
      <c r="BV21" s="59">
        <v>-268.05959999999999</v>
      </c>
      <c r="BW21" s="61"/>
      <c r="BY21" s="59"/>
      <c r="BZ21" s="59"/>
      <c r="CA21" s="59"/>
      <c r="CC21" s="59"/>
    </row>
    <row r="22" spans="1:81" x14ac:dyDescent="0.25">
      <c r="A22">
        <f t="shared" si="51"/>
        <v>50</v>
      </c>
      <c r="B22">
        <f t="shared" si="33"/>
        <v>0.05</v>
      </c>
      <c r="C22">
        <f t="shared" si="0"/>
        <v>1.0000000859839897</v>
      </c>
      <c r="D22">
        <f t="shared" si="1"/>
        <v>4.1469020602885452E-4</v>
      </c>
      <c r="F22">
        <f t="shared" si="2"/>
        <v>0.99424268101141078</v>
      </c>
      <c r="G22">
        <f t="shared" si="3"/>
        <v>-3.3402811152330558E-3</v>
      </c>
      <c r="H22">
        <f t="shared" si="4"/>
        <v>-3.3402811152330558E-3</v>
      </c>
      <c r="J22">
        <f t="shared" si="5"/>
        <v>15</v>
      </c>
      <c r="M22">
        <f t="shared" si="6"/>
        <v>25.444435375500625</v>
      </c>
      <c r="N22">
        <f t="shared" si="7"/>
        <v>-1.5707963250000001</v>
      </c>
      <c r="O22">
        <f t="shared" si="8"/>
        <v>1.0001055072951996</v>
      </c>
      <c r="P22">
        <f t="shared" si="9"/>
        <v>1.4525702705457427E-2</v>
      </c>
      <c r="Q22">
        <f t="shared" si="10"/>
        <v>1.0000822722148919</v>
      </c>
      <c r="R22">
        <f t="shared" si="11"/>
        <v>1.2827047570666498E-2</v>
      </c>
      <c r="S22">
        <f t="shared" si="12"/>
        <v>0.99999992509839652</v>
      </c>
      <c r="T22">
        <f t="shared" si="13"/>
        <v>-3.8704419515317803E-4</v>
      </c>
      <c r="U22">
        <f t="shared" si="14"/>
        <v>0.99999995085059368</v>
      </c>
      <c r="V22">
        <f t="shared" si="15"/>
        <v>-3.1352641591971388E-4</v>
      </c>
      <c r="X22">
        <f t="shared" si="34"/>
        <v>51.585160220351952</v>
      </c>
      <c r="Y22">
        <f t="shared" si="16"/>
        <v>-88.640566600494054</v>
      </c>
      <c r="Z22">
        <f t="shared" si="35"/>
        <v>91.359433399505946</v>
      </c>
      <c r="AC22">
        <v>1</v>
      </c>
      <c r="AD22">
        <f t="shared" si="17"/>
        <v>1.4526724413599999E-2</v>
      </c>
      <c r="AE22">
        <f t="shared" si="18"/>
        <v>-6.8455575969511983E-10</v>
      </c>
      <c r="AF22">
        <f t="shared" si="19"/>
        <v>2.1834068917500001E-6</v>
      </c>
      <c r="AG22">
        <f t="shared" si="36"/>
        <v>6509.6417181659017</v>
      </c>
      <c r="AH22">
        <f t="shared" si="37"/>
        <v>-458001.87770371482</v>
      </c>
      <c r="AJ22">
        <f t="shared" si="20"/>
        <v>18000</v>
      </c>
      <c r="AK22">
        <f t="shared" si="21"/>
        <v>6.9667958606399996</v>
      </c>
      <c r="AL22">
        <v>1</v>
      </c>
      <c r="AM22">
        <f t="shared" si="22"/>
        <v>1.2827751108479999E-2</v>
      </c>
      <c r="AN22">
        <f t="shared" si="38"/>
        <v>17997.127919354614</v>
      </c>
      <c r="AO22">
        <f t="shared" si="39"/>
        <v>-223.89588175631752</v>
      </c>
      <c r="AQ22">
        <f t="shared" si="23"/>
        <v>9900.9900990099013</v>
      </c>
      <c r="AR22">
        <f t="shared" si="24"/>
        <v>-990.09900990099004</v>
      </c>
      <c r="AT22">
        <f t="shared" ref="AT22:AT85" si="52">-AR22*AH22+AG22*AQ22</f>
        <v>-389015307.44757998</v>
      </c>
      <c r="AU22">
        <f t="shared" ref="AU22:AU85" si="53">AQ22*AH22+AG22*AR22</f>
        <v>-4541117246.2923908</v>
      </c>
      <c r="AV22">
        <f t="shared" si="42"/>
        <v>-1.6562528029965209</v>
      </c>
      <c r="AW22">
        <f t="shared" si="25"/>
        <v>177996575.76323736</v>
      </c>
      <c r="AX22">
        <f t="shared" si="26"/>
        <v>-22955757.730518349</v>
      </c>
      <c r="AY22">
        <f t="shared" si="50"/>
        <v>-0.12825944311090873</v>
      </c>
      <c r="BA22">
        <f t="shared" si="27"/>
        <v>25.395500221131321</v>
      </c>
      <c r="BB22">
        <f t="shared" si="43"/>
        <v>28.095135432985185</v>
      </c>
      <c r="BC22">
        <f t="shared" si="44"/>
        <v>-1.5279933598856121</v>
      </c>
      <c r="BD22">
        <f t="shared" si="28"/>
        <v>-267.54757074549752</v>
      </c>
      <c r="BF22">
        <f t="shared" si="29"/>
        <v>51.566809414291512</v>
      </c>
      <c r="BG22">
        <f t="shared" si="30"/>
        <v>-87.715194757368351</v>
      </c>
      <c r="BH22">
        <f t="shared" si="45"/>
        <v>92.284805242631649</v>
      </c>
      <c r="BI22">
        <f t="shared" si="46"/>
        <v>92.284805242631649</v>
      </c>
      <c r="BJ22">
        <f t="shared" si="31"/>
        <v>0</v>
      </c>
      <c r="BK22">
        <f t="shared" si="47"/>
        <v>0</v>
      </c>
      <c r="BM22">
        <f t="shared" si="48"/>
        <v>23.471673981306324</v>
      </c>
      <c r="BN22">
        <f t="shared" si="32"/>
        <v>-0.1676240118707803</v>
      </c>
      <c r="BQ22" s="56">
        <f t="shared" si="49"/>
        <v>44.997096233270319</v>
      </c>
      <c r="BR22" s="59"/>
      <c r="BS22" s="59"/>
      <c r="BT22" s="59">
        <v>131.82599999999999</v>
      </c>
      <c r="BU22" s="59">
        <v>32.155799999999999</v>
      </c>
      <c r="BV22" s="59">
        <v>-263.3605</v>
      </c>
      <c r="BW22" s="61"/>
      <c r="BY22" s="59"/>
      <c r="BZ22" s="59"/>
      <c r="CA22" s="59"/>
      <c r="CC22" s="59"/>
    </row>
    <row r="23" spans="1:81" x14ac:dyDescent="0.25">
      <c r="A23">
        <f t="shared" si="51"/>
        <v>60</v>
      </c>
      <c r="B23">
        <f t="shared" si="33"/>
        <v>0.06</v>
      </c>
      <c r="C23">
        <f t="shared" si="0"/>
        <v>1.0000001238169427</v>
      </c>
      <c r="D23">
        <f t="shared" si="1"/>
        <v>4.9762823468346251E-4</v>
      </c>
      <c r="F23">
        <f t="shared" si="2"/>
        <v>0.99428266685127942</v>
      </c>
      <c r="G23">
        <f t="shared" si="3"/>
        <v>-4.0085018238214349E-3</v>
      </c>
      <c r="H23">
        <f t="shared" si="4"/>
        <v>-4.0085018238214349E-3</v>
      </c>
      <c r="J23">
        <f t="shared" si="5"/>
        <v>15</v>
      </c>
      <c r="M23">
        <f t="shared" si="6"/>
        <v>21.203696146250515</v>
      </c>
      <c r="N23">
        <f t="shared" si="7"/>
        <v>-1.5707963250000001</v>
      </c>
      <c r="O23">
        <f t="shared" si="8"/>
        <v>1.0001519269790724</v>
      </c>
      <c r="P23">
        <f t="shared" si="9"/>
        <v>1.7430303882983968E-2</v>
      </c>
      <c r="Q23">
        <f t="shared" si="10"/>
        <v>1.0001184698453687</v>
      </c>
      <c r="R23">
        <f t="shared" si="11"/>
        <v>1.5392085669636769E-2</v>
      </c>
      <c r="S23">
        <f t="shared" si="12"/>
        <v>0.99999989214169627</v>
      </c>
      <c r="T23">
        <f t="shared" si="13"/>
        <v>-4.6445302397925297E-4</v>
      </c>
      <c r="U23">
        <f t="shared" si="14"/>
        <v>0.99999992922485725</v>
      </c>
      <c r="V23">
        <f t="shared" si="15"/>
        <v>-3.7623169367946455E-4</v>
      </c>
      <c r="X23">
        <f t="shared" si="34"/>
        <v>50.002601992080272</v>
      </c>
      <c r="Y23">
        <f t="shared" si="16"/>
        <v>-88.368741528521113</v>
      </c>
      <c r="Z23">
        <f t="shared" si="35"/>
        <v>91.631258471478887</v>
      </c>
      <c r="AC23">
        <v>1</v>
      </c>
      <c r="AD23">
        <f t="shared" si="17"/>
        <v>1.7432069296320001E-2</v>
      </c>
      <c r="AE23">
        <f t="shared" si="18"/>
        <v>-9.8576029396097273E-10</v>
      </c>
      <c r="AF23">
        <f t="shared" si="19"/>
        <v>2.6200882701E-6</v>
      </c>
      <c r="AG23">
        <f t="shared" si="36"/>
        <v>6509.641436614299</v>
      </c>
      <c r="AH23">
        <f t="shared" si="37"/>
        <v>-381668.97976604785</v>
      </c>
      <c r="AJ23">
        <f t="shared" si="20"/>
        <v>18000</v>
      </c>
      <c r="AK23">
        <f t="shared" si="21"/>
        <v>8.3601550327680005</v>
      </c>
      <c r="AL23">
        <v>1</v>
      </c>
      <c r="AM23">
        <f t="shared" si="22"/>
        <v>1.5393301330176001E-2</v>
      </c>
      <c r="AN23">
        <f t="shared" si="38"/>
        <v>17995.864503241803</v>
      </c>
      <c r="AO23">
        <f t="shared" si="39"/>
        <v>-268.65560996265117</v>
      </c>
      <c r="AQ23">
        <f t="shared" si="23"/>
        <v>9858.0441640378558</v>
      </c>
      <c r="AR23">
        <f t="shared" si="24"/>
        <v>-1182.9652996845425</v>
      </c>
      <c r="AT23">
        <f t="shared" si="52"/>
        <v>-387328826.25504178</v>
      </c>
      <c r="AU23">
        <f t="shared" si="53"/>
        <v>-3770210338.5098739</v>
      </c>
      <c r="AV23">
        <f t="shared" si="42"/>
        <v>-1.6731711806239304</v>
      </c>
      <c r="AW23">
        <f t="shared" si="25"/>
        <v>177115084.72816154</v>
      </c>
      <c r="AX23">
        <f t="shared" si="26"/>
        <v>-26370361.416214205</v>
      </c>
      <c r="AY23">
        <f t="shared" si="50"/>
        <v>-0.14780251998152732</v>
      </c>
      <c r="BA23">
        <f t="shared" si="27"/>
        <v>21.165511562781067</v>
      </c>
      <c r="BB23">
        <f t="shared" si="43"/>
        <v>26.512575393557608</v>
      </c>
      <c r="BC23">
        <f t="shared" si="44"/>
        <v>-1.5253686606424031</v>
      </c>
      <c r="BD23">
        <f t="shared" si="28"/>
        <v>-267.39718655619868</v>
      </c>
      <c r="BF23">
        <f t="shared" si="29"/>
        <v>49.984599020212997</v>
      </c>
      <c r="BG23">
        <f t="shared" si="30"/>
        <v>-87.598344795490078</v>
      </c>
      <c r="BH23">
        <f t="shared" si="45"/>
        <v>92.401655204509922</v>
      </c>
      <c r="BI23">
        <f t="shared" si="46"/>
        <v>92.401655204509922</v>
      </c>
      <c r="BJ23">
        <f t="shared" si="31"/>
        <v>0</v>
      </c>
      <c r="BK23">
        <f t="shared" si="47"/>
        <v>0</v>
      </c>
      <c r="BM23">
        <f t="shared" si="48"/>
        <v>23.472023626655393</v>
      </c>
      <c r="BN23">
        <f t="shared" si="32"/>
        <v>-0.20115823929141005</v>
      </c>
      <c r="BQ23" s="56">
        <f t="shared" si="49"/>
        <v>43.414536193842743</v>
      </c>
      <c r="BR23" s="58"/>
      <c r="BS23" s="58"/>
      <c r="BT23" s="58">
        <v>134.89599999999999</v>
      </c>
      <c r="BU23" s="58">
        <v>32.875300000000003</v>
      </c>
      <c r="BV23" s="58">
        <v>-269.46539999999999</v>
      </c>
      <c r="BW23" s="61"/>
      <c r="BY23" s="58"/>
      <c r="BZ23" s="58"/>
      <c r="CA23" s="58"/>
      <c r="CC23" s="58"/>
    </row>
    <row r="24" spans="1:81" x14ac:dyDescent="0.25">
      <c r="A24">
        <f t="shared" si="51"/>
        <v>70</v>
      </c>
      <c r="B24">
        <f t="shared" si="33"/>
        <v>7.0000000000000007E-2</v>
      </c>
      <c r="C24">
        <f t="shared" si="0"/>
        <v>1.0000001685286128</v>
      </c>
      <c r="D24">
        <f t="shared" si="1"/>
        <v>5.8056625649198317E-4</v>
      </c>
      <c r="F24">
        <f t="shared" si="2"/>
        <v>0.9943299267297192</v>
      </c>
      <c r="G24">
        <f t="shared" si="3"/>
        <v>-4.6768122712859302E-3</v>
      </c>
      <c r="H24">
        <f t="shared" si="4"/>
        <v>-4.6768122712859302E-3</v>
      </c>
      <c r="J24">
        <f t="shared" si="5"/>
        <v>15</v>
      </c>
      <c r="M24">
        <f t="shared" si="6"/>
        <v>18.174596696786157</v>
      </c>
      <c r="N24">
        <f t="shared" si="7"/>
        <v>-1.5707963250000001</v>
      </c>
      <c r="O24">
        <f t="shared" si="8"/>
        <v>1.0002067838279691</v>
      </c>
      <c r="P24">
        <f t="shared" si="9"/>
        <v>2.0334610952563795E-2</v>
      </c>
      <c r="Q24">
        <f t="shared" si="10"/>
        <v>1.0001612471742054</v>
      </c>
      <c r="R24">
        <f t="shared" si="11"/>
        <v>1.7956921227042569E-2</v>
      </c>
      <c r="S24">
        <f t="shared" si="12"/>
        <v>0.99999985319287288</v>
      </c>
      <c r="T24">
        <f t="shared" si="13"/>
        <v>-5.4186184723920515E-4</v>
      </c>
      <c r="U24">
        <f t="shared" si="14"/>
        <v>0.99999990366717051</v>
      </c>
      <c r="V24">
        <f t="shared" si="15"/>
        <v>-4.389369684805654E-4</v>
      </c>
      <c r="X24">
        <f t="shared" si="34"/>
        <v>48.664926774526208</v>
      </c>
      <c r="Y24">
        <f t="shared" si="16"/>
        <v>-88.09695005403178</v>
      </c>
      <c r="Z24">
        <f t="shared" si="35"/>
        <v>91.90304994596822</v>
      </c>
      <c r="AC24">
        <v>1</v>
      </c>
      <c r="AD24">
        <f t="shared" si="17"/>
        <v>2.033741417904E-2</v>
      </c>
      <c r="AE24">
        <f t="shared" si="18"/>
        <v>-1.3417292890024351E-9</v>
      </c>
      <c r="AF24">
        <f t="shared" si="19"/>
        <v>3.0567696484499995E-6</v>
      </c>
      <c r="AG24">
        <f t="shared" si="36"/>
        <v>6509.6411038715269</v>
      </c>
      <c r="AH24">
        <f t="shared" si="37"/>
        <v>-327145.59786446649</v>
      </c>
      <c r="AJ24">
        <f t="shared" si="20"/>
        <v>18000</v>
      </c>
      <c r="AK24">
        <f t="shared" si="21"/>
        <v>9.7535142048959997</v>
      </c>
      <c r="AL24">
        <v>1</v>
      </c>
      <c r="AM24">
        <f t="shared" si="22"/>
        <v>1.7958851551872001E-2</v>
      </c>
      <c r="AN24">
        <f t="shared" si="38"/>
        <v>17994.371610900613</v>
      </c>
      <c r="AO24">
        <f t="shared" si="39"/>
        <v>-313.40473432448795</v>
      </c>
      <c r="AQ24">
        <f t="shared" si="23"/>
        <v>9807.7677520596299</v>
      </c>
      <c r="AR24">
        <f t="shared" si="24"/>
        <v>-1373.0874852883483</v>
      </c>
      <c r="AT24">
        <f t="shared" si="52"/>
        <v>-385354478.1988405</v>
      </c>
      <c r="AU24">
        <f t="shared" si="53"/>
        <v>-3217506351.6968269</v>
      </c>
      <c r="AV24">
        <f t="shared" si="42"/>
        <v>-1.6899965942928845</v>
      </c>
      <c r="AW24">
        <f t="shared" si="25"/>
        <v>176083151.58593938</v>
      </c>
      <c r="AX24">
        <f t="shared" si="26"/>
        <v>-29867573.281033494</v>
      </c>
      <c r="AY24">
        <f t="shared" si="50"/>
        <v>-0.16802273469896567</v>
      </c>
      <c r="BA24">
        <f t="shared" si="27"/>
        <v>18.144075250345921</v>
      </c>
      <c r="BB24">
        <f t="shared" si="43"/>
        <v>25.174696768002089</v>
      </c>
      <c r="BC24">
        <f t="shared" si="44"/>
        <v>-1.5219738595939187</v>
      </c>
      <c r="BD24">
        <f t="shared" si="28"/>
        <v>-267.20267878361165</v>
      </c>
      <c r="BF24">
        <f t="shared" si="29"/>
        <v>48.647133627721786</v>
      </c>
      <c r="BG24">
        <f t="shared" si="30"/>
        <v>-87.437376392374816</v>
      </c>
      <c r="BH24">
        <f t="shared" si="45"/>
        <v>92.562623607625184</v>
      </c>
      <c r="BI24">
        <f t="shared" si="46"/>
        <v>92.562623607625184</v>
      </c>
      <c r="BJ24">
        <f t="shared" si="31"/>
        <v>0</v>
      </c>
      <c r="BK24">
        <f t="shared" si="47"/>
        <v>0</v>
      </c>
      <c r="BM24">
        <f t="shared" si="48"/>
        <v>23.472436859719696</v>
      </c>
      <c r="BN24">
        <f t="shared" si="32"/>
        <v>-0.23469760876315723</v>
      </c>
      <c r="BQ24" s="56">
        <f t="shared" si="49"/>
        <v>42.076657568287231</v>
      </c>
      <c r="BR24" s="58"/>
      <c r="BS24" s="58"/>
      <c r="BT24" s="58">
        <v>138.03800000000001</v>
      </c>
      <c r="BU24" s="58">
        <v>32.538699999999999</v>
      </c>
      <c r="BV24" s="58">
        <v>-267.95069999999998</v>
      </c>
      <c r="BW24" s="61"/>
      <c r="BY24" s="58"/>
      <c r="BZ24" s="58"/>
      <c r="CA24" s="58"/>
      <c r="CC24" s="58"/>
    </row>
    <row r="25" spans="1:81" x14ac:dyDescent="0.25">
      <c r="A25">
        <f t="shared" si="51"/>
        <v>80</v>
      </c>
      <c r="B25">
        <f t="shared" si="33"/>
        <v>0.08</v>
      </c>
      <c r="C25">
        <f t="shared" si="0"/>
        <v>1.0000002201189988</v>
      </c>
      <c r="D25">
        <f t="shared" si="1"/>
        <v>6.635042703134037E-4</v>
      </c>
      <c r="F25">
        <f t="shared" si="2"/>
        <v>0.99438446259030999</v>
      </c>
      <c r="G25">
        <f t="shared" si="3"/>
        <v>-5.3452274303513111E-3</v>
      </c>
      <c r="H25">
        <f t="shared" si="4"/>
        <v>-5.3452274303513111E-3</v>
      </c>
      <c r="J25">
        <f t="shared" si="5"/>
        <v>15</v>
      </c>
      <c r="M25">
        <f t="shared" si="6"/>
        <v>15.90277210968789</v>
      </c>
      <c r="N25">
        <f t="shared" si="7"/>
        <v>-1.5707963250000001</v>
      </c>
      <c r="O25">
        <f t="shared" si="8"/>
        <v>1.000270076453756</v>
      </c>
      <c r="P25">
        <f t="shared" si="9"/>
        <v>2.3238574971474302E-2</v>
      </c>
      <c r="Q25">
        <f t="shared" si="10"/>
        <v>1.0002106033571945</v>
      </c>
      <c r="R25">
        <f t="shared" si="11"/>
        <v>2.0521520526379851E-2</v>
      </c>
      <c r="S25">
        <f t="shared" si="12"/>
        <v>0.99999980825192847</v>
      </c>
      <c r="T25">
        <f t="shared" si="13"/>
        <v>-6.1927066400534832E-4</v>
      </c>
      <c r="U25">
        <f t="shared" si="14"/>
        <v>0.99999987417753433</v>
      </c>
      <c r="V25">
        <f t="shared" si="15"/>
        <v>-5.0164223982990849E-4</v>
      </c>
      <c r="X25">
        <f t="shared" si="34"/>
        <v>47.506542261557342</v>
      </c>
      <c r="Y25">
        <f t="shared" si="16"/>
        <v>-87.825197770908787</v>
      </c>
      <c r="Z25">
        <f t="shared" si="35"/>
        <v>92.174802229091213</v>
      </c>
      <c r="AC25">
        <v>1</v>
      </c>
      <c r="AD25">
        <f t="shared" si="17"/>
        <v>2.3242759061759998E-2</v>
      </c>
      <c r="AE25">
        <f t="shared" si="18"/>
        <v>-1.7524627448195068E-9</v>
      </c>
      <c r="AF25">
        <f t="shared" si="19"/>
        <v>3.4934510267999999E-6</v>
      </c>
      <c r="AG25">
        <f t="shared" si="36"/>
        <v>6509.640719937599</v>
      </c>
      <c r="AH25">
        <f t="shared" si="37"/>
        <v>-286253.16348540713</v>
      </c>
      <c r="AJ25">
        <f t="shared" si="20"/>
        <v>18000</v>
      </c>
      <c r="AK25">
        <f t="shared" si="21"/>
        <v>11.146873377024001</v>
      </c>
      <c r="AL25">
        <v>1</v>
      </c>
      <c r="AM25">
        <f t="shared" si="22"/>
        <v>2.0524401773568002E-2</v>
      </c>
      <c r="AN25">
        <f t="shared" si="38"/>
        <v>17992.649360145668</v>
      </c>
      <c r="AO25">
        <f t="shared" si="39"/>
        <v>-358.1414910615369</v>
      </c>
      <c r="AQ25">
        <f t="shared" si="23"/>
        <v>9750.3900156006239</v>
      </c>
      <c r="AR25">
        <f t="shared" si="24"/>
        <v>-1560.0624024960998</v>
      </c>
      <c r="AT25">
        <f t="shared" si="52"/>
        <v>-383101262.06832623</v>
      </c>
      <c r="AU25">
        <f t="shared" si="53"/>
        <v>-2801235432.9231391</v>
      </c>
      <c r="AV25">
        <f t="shared" si="42"/>
        <v>-1.7067146562496536</v>
      </c>
      <c r="AW25">
        <f t="shared" si="25"/>
        <v>174905489.56803873</v>
      </c>
      <c r="AX25">
        <f t="shared" si="26"/>
        <v>-33386964.918349389</v>
      </c>
      <c r="AY25">
        <f t="shared" si="50"/>
        <v>-0.1886166924800014</v>
      </c>
      <c r="BA25">
        <f t="shared" si="27"/>
        <v>15.878101903595391</v>
      </c>
      <c r="BB25">
        <f t="shared" si="43"/>
        <v>24.015971697257594</v>
      </c>
      <c r="BC25">
        <f t="shared" si="44"/>
        <v>-1.5180979637696521</v>
      </c>
      <c r="BD25">
        <f t="shared" si="28"/>
        <v>-266.98060631079505</v>
      </c>
      <c r="BF25">
        <f t="shared" si="29"/>
        <v>47.488885385675061</v>
      </c>
      <c r="BG25">
        <f t="shared" si="30"/>
        <v>-87.248849289020399</v>
      </c>
      <c r="BH25">
        <f t="shared" si="45"/>
        <v>92.751150710979601</v>
      </c>
      <c r="BI25">
        <f t="shared" si="46"/>
        <v>92.751150710979601</v>
      </c>
      <c r="BJ25">
        <f t="shared" si="31"/>
        <v>0</v>
      </c>
      <c r="BK25">
        <f t="shared" si="47"/>
        <v>0</v>
      </c>
      <c r="BM25">
        <f t="shared" si="48"/>
        <v>23.472913688417471</v>
      </c>
      <c r="BN25">
        <f t="shared" si="32"/>
        <v>-0.26824297822533522</v>
      </c>
      <c r="BQ25" s="56">
        <f t="shared" si="49"/>
        <v>40.917932497542736</v>
      </c>
      <c r="BR25" s="58"/>
      <c r="BS25" s="58"/>
      <c r="BT25" s="58">
        <v>141.25399999999999</v>
      </c>
      <c r="BU25" s="58">
        <v>32.377000000000002</v>
      </c>
      <c r="BV25" s="58">
        <v>-263.11430000000001</v>
      </c>
      <c r="BW25" s="61"/>
      <c r="BY25" s="58"/>
      <c r="BZ25" s="58"/>
      <c r="CA25" s="58"/>
      <c r="CC25" s="58"/>
    </row>
    <row r="26" spans="1:81" x14ac:dyDescent="0.25">
      <c r="A26">
        <f t="shared" si="51"/>
        <v>90</v>
      </c>
      <c r="B26">
        <f t="shared" si="33"/>
        <v>0.09</v>
      </c>
      <c r="C26">
        <f t="shared" si="0"/>
        <v>1.0000002785880997</v>
      </c>
      <c r="D26">
        <f t="shared" si="1"/>
        <v>7.4644227500671146E-4</v>
      </c>
      <c r="F26">
        <f t="shared" si="2"/>
        <v>0.99444627667614049</v>
      </c>
      <c r="G26">
        <f t="shared" si="3"/>
        <v>-6.0137622812445413E-3</v>
      </c>
      <c r="H26">
        <f t="shared" si="4"/>
        <v>-6.0137622812445413E-3</v>
      </c>
      <c r="J26">
        <f t="shared" si="5"/>
        <v>15</v>
      </c>
      <c r="M26">
        <f t="shared" si="6"/>
        <v>14.13579743083368</v>
      </c>
      <c r="N26">
        <f t="shared" si="7"/>
        <v>-1.5707963250000001</v>
      </c>
      <c r="O26">
        <f t="shared" si="8"/>
        <v>1.0003418032552129</v>
      </c>
      <c r="P26">
        <f t="shared" si="9"/>
        <v>2.6142147031697045E-2</v>
      </c>
      <c r="Q26">
        <f t="shared" si="10"/>
        <v>1.0002665374204736</v>
      </c>
      <c r="R26">
        <f t="shared" si="11"/>
        <v>2.3085849869786772E-2</v>
      </c>
      <c r="S26">
        <f t="shared" si="12"/>
        <v>0.99999975731886548</v>
      </c>
      <c r="T26">
        <f t="shared" si="13"/>
        <v>-6.9667947334999696E-4</v>
      </c>
      <c r="U26">
        <f t="shared" si="14"/>
        <v>0.99999984075594983</v>
      </c>
      <c r="V26">
        <f t="shared" si="15"/>
        <v>-5.6434750723438599E-4</v>
      </c>
      <c r="X26">
        <f t="shared" si="34"/>
        <v>46.485140055141457</v>
      </c>
      <c r="Y26">
        <f t="shared" si="16"/>
        <v>-87.55349027040819</v>
      </c>
      <c r="Z26">
        <f t="shared" si="35"/>
        <v>92.44650972959181</v>
      </c>
      <c r="AC26">
        <v>1</v>
      </c>
      <c r="AD26">
        <f t="shared" si="17"/>
        <v>2.614810394448E-2</v>
      </c>
      <c r="AE26">
        <f t="shared" si="18"/>
        <v>-2.2179606614121881E-9</v>
      </c>
      <c r="AF26">
        <f t="shared" si="19"/>
        <v>3.9301324051499998E-6</v>
      </c>
      <c r="AG26">
        <f t="shared" si="36"/>
        <v>6509.6402848125381</v>
      </c>
      <c r="AH26">
        <f t="shared" si="37"/>
        <v>-254448.02745466397</v>
      </c>
      <c r="AJ26">
        <f t="shared" si="20"/>
        <v>18000</v>
      </c>
      <c r="AK26">
        <f t="shared" si="21"/>
        <v>12.540232549152</v>
      </c>
      <c r="AL26">
        <v>1</v>
      </c>
      <c r="AM26">
        <f t="shared" si="22"/>
        <v>2.3089951995264001E-2</v>
      </c>
      <c r="AN26">
        <f t="shared" si="38"/>
        <v>17990.697886854308</v>
      </c>
      <c r="AO26">
        <f t="shared" si="39"/>
        <v>-402.86411801961157</v>
      </c>
      <c r="AQ26">
        <f t="shared" si="23"/>
        <v>9686.1681518791174</v>
      </c>
      <c r="AR26">
        <f t="shared" si="24"/>
        <v>-1743.510267338241</v>
      </c>
      <c r="AT26">
        <f t="shared" si="52"/>
        <v>-380579277.96422875</v>
      </c>
      <c r="AU26">
        <f t="shared" si="53"/>
        <v>-2475976004.5130787</v>
      </c>
      <c r="AV26">
        <f t="shared" si="42"/>
        <v>-1.7233114655016313</v>
      </c>
      <c r="AW26">
        <f t="shared" si="25"/>
        <v>173587388.7265451</v>
      </c>
      <c r="AX26">
        <f t="shared" si="26"/>
        <v>-36891761.434799433</v>
      </c>
      <c r="AY26">
        <f t="shared" si="50"/>
        <v>-0.20940987295453561</v>
      </c>
      <c r="BA26">
        <f t="shared" si="27"/>
        <v>14.115820543705629</v>
      </c>
      <c r="BB26">
        <f t="shared" si="43"/>
        <v>22.994122569596268</v>
      </c>
      <c r="BC26">
        <f t="shared" si="44"/>
        <v>-1.5139015925470956</v>
      </c>
      <c r="BD26">
        <f t="shared" si="28"/>
        <v>-266.74017195019769</v>
      </c>
      <c r="BF26">
        <f t="shared" si="29"/>
        <v>46.467576691482513</v>
      </c>
      <c r="BG26">
        <f t="shared" si="30"/>
        <v>-87.04196715624478</v>
      </c>
      <c r="BH26">
        <f t="shared" si="45"/>
        <v>92.95803284375522</v>
      </c>
      <c r="BI26">
        <f t="shared" si="46"/>
        <v>92.95803284375522</v>
      </c>
      <c r="BJ26">
        <f t="shared" si="31"/>
        <v>0</v>
      </c>
      <c r="BK26">
        <f t="shared" si="47"/>
        <v>0</v>
      </c>
      <c r="BM26">
        <f t="shared" si="48"/>
        <v>23.473454121886249</v>
      </c>
      <c r="BN26">
        <f t="shared" si="32"/>
        <v>-0.30179520604710136</v>
      </c>
      <c r="BQ26" s="56">
        <f t="shared" si="49"/>
        <v>39.896083369881403</v>
      </c>
      <c r="BR26" s="58"/>
      <c r="BS26" s="58"/>
      <c r="BT26" s="58">
        <v>144.54400000000001</v>
      </c>
      <c r="BU26" s="58">
        <v>31.499099999999999</v>
      </c>
      <c r="BV26" s="58">
        <v>-266.2885</v>
      </c>
      <c r="BW26" s="61"/>
      <c r="BY26" s="58"/>
      <c r="BZ26" s="58"/>
      <c r="CA26" s="58"/>
      <c r="CC26" s="58"/>
    </row>
    <row r="27" spans="1:81" x14ac:dyDescent="0.25">
      <c r="A27">
        <f t="shared" si="51"/>
        <v>100</v>
      </c>
      <c r="B27">
        <f t="shared" si="33"/>
        <v>0.1</v>
      </c>
      <c r="C27">
        <f t="shared" si="0"/>
        <v>1.0000003439359142</v>
      </c>
      <c r="D27">
        <f t="shared" si="1"/>
        <v>8.2938026943089481E-4</v>
      </c>
      <c r="F27">
        <f t="shared" si="2"/>
        <v>0.99451537153002212</v>
      </c>
      <c r="G27">
        <f t="shared" si="3"/>
        <v>-6.6824318127696033E-3</v>
      </c>
      <c r="H27">
        <f t="shared" si="4"/>
        <v>-6.6824318127696033E-3</v>
      </c>
      <c r="J27">
        <f t="shared" si="5"/>
        <v>15</v>
      </c>
      <c r="M27">
        <f t="shared" si="6"/>
        <v>12.722217687750312</v>
      </c>
      <c r="N27">
        <f t="shared" si="7"/>
        <v>-1.5707963250000001</v>
      </c>
      <c r="O27">
        <f t="shared" si="8"/>
        <v>1.0004219624182362</v>
      </c>
      <c r="P27">
        <f t="shared" si="9"/>
        <v>2.9045278264850368E-2</v>
      </c>
      <c r="Q27">
        <f t="shared" si="10"/>
        <v>1.0003290482606233</v>
      </c>
      <c r="R27">
        <f t="shared" si="11"/>
        <v>2.5649875580696351E-2</v>
      </c>
      <c r="S27">
        <f t="shared" si="12"/>
        <v>0.9999997003936868</v>
      </c>
      <c r="T27">
        <f t="shared" si="13"/>
        <v>-7.7408827434546587E-4</v>
      </c>
      <c r="U27">
        <f t="shared" si="14"/>
        <v>0.99999980340241823</v>
      </c>
      <c r="V27">
        <f t="shared" si="15"/>
        <v>-6.2705277020089049E-4</v>
      </c>
      <c r="X27">
        <f t="shared" si="34"/>
        <v>45.571832262105204</v>
      </c>
      <c r="Y27">
        <f t="shared" si="16"/>
        <v>-87.281833140786375</v>
      </c>
      <c r="Z27">
        <f t="shared" si="35"/>
        <v>92.718166859213625</v>
      </c>
      <c r="AC27">
        <v>1</v>
      </c>
      <c r="AD27">
        <f t="shared" si="17"/>
        <v>2.9053448827199999E-2</v>
      </c>
      <c r="AE27">
        <f t="shared" si="18"/>
        <v>-2.7382230387804793E-9</v>
      </c>
      <c r="AF27">
        <f t="shared" si="19"/>
        <v>4.3668137835000001E-6</v>
      </c>
      <c r="AG27">
        <f t="shared" si="36"/>
        <v>6509.6397984963596</v>
      </c>
      <c r="AH27">
        <f t="shared" si="37"/>
        <v>-229004.0002677092</v>
      </c>
      <c r="AJ27">
        <f t="shared" si="20"/>
        <v>18000</v>
      </c>
      <c r="AK27">
        <f t="shared" si="21"/>
        <v>13.933591721279999</v>
      </c>
      <c r="AL27">
        <v>1</v>
      </c>
      <c r="AM27">
        <f t="shared" si="22"/>
        <v>2.5655502216959999E-2</v>
      </c>
      <c r="AN27">
        <f t="shared" si="38"/>
        <v>17988.517344939824</v>
      </c>
      <c r="AO27">
        <f t="shared" si="39"/>
        <v>-447.57085490164707</v>
      </c>
      <c r="AQ27">
        <f t="shared" si="23"/>
        <v>9615.3846153846152</v>
      </c>
      <c r="AR27">
        <f t="shared" si="24"/>
        <v>-1923.0769230769231</v>
      </c>
      <c r="AT27">
        <f t="shared" si="52"/>
        <v>-377799617.83697575</v>
      </c>
      <c r="AU27">
        <f t="shared" si="53"/>
        <v>-2214480079.1096969</v>
      </c>
      <c r="AV27">
        <f t="shared" si="42"/>
        <v>-1.7397736611501278</v>
      </c>
      <c r="AW27">
        <f t="shared" si="25"/>
        <v>172134658.60013384</v>
      </c>
      <c r="AX27">
        <f t="shared" si="26"/>
        <v>-40357301.362455763</v>
      </c>
      <c r="AY27">
        <f t="shared" si="50"/>
        <v>-0.23029250156197315</v>
      </c>
      <c r="BA27">
        <f t="shared" si="27"/>
        <v>12.706147282239382</v>
      </c>
      <c r="BB27">
        <f t="shared" si="43"/>
        <v>22.080277702328836</v>
      </c>
      <c r="BC27">
        <f t="shared" si="44"/>
        <v>-1.5094811595881545</v>
      </c>
      <c r="BD27">
        <f t="shared" si="28"/>
        <v>-266.48689979774042</v>
      </c>
      <c r="BF27">
        <f t="shared" si="29"/>
        <v>45.554335872812182</v>
      </c>
      <c r="BG27">
        <f t="shared" si="30"/>
        <v>-86.822254948829467</v>
      </c>
      <c r="BH27">
        <f t="shared" si="45"/>
        <v>93.177745051170533</v>
      </c>
      <c r="BI27">
        <f t="shared" si="46"/>
        <v>93.177745051170533</v>
      </c>
      <c r="BJ27">
        <f t="shared" si="31"/>
        <v>0</v>
      </c>
      <c r="BK27">
        <f t="shared" si="47"/>
        <v>0</v>
      </c>
      <c r="BM27">
        <f t="shared" si="48"/>
        <v>23.474058170483346</v>
      </c>
      <c r="BN27">
        <f t="shared" si="32"/>
        <v>-0.33535515108904002</v>
      </c>
      <c r="BQ27" s="56">
        <f t="shared" si="49"/>
        <v>38.982238502613974</v>
      </c>
      <c r="BR27" s="58"/>
      <c r="BS27" s="58"/>
      <c r="BT27" s="58">
        <v>147.911</v>
      </c>
      <c r="BU27" s="58">
        <v>31.4819</v>
      </c>
      <c r="BV27" s="58">
        <v>-266.34629999999999</v>
      </c>
      <c r="BW27" s="61"/>
      <c r="BY27" s="58"/>
      <c r="BZ27" s="58"/>
      <c r="CA27" s="58"/>
      <c r="CC27" s="58"/>
    </row>
    <row r="28" spans="1:81" x14ac:dyDescent="0.25">
      <c r="A28">
        <f t="shared" si="51"/>
        <v>200</v>
      </c>
      <c r="B28">
        <f t="shared" si="33"/>
        <v>0.2</v>
      </c>
      <c r="C28">
        <f t="shared" si="0"/>
        <v>1.0000013757429473</v>
      </c>
      <c r="D28">
        <f t="shared" si="1"/>
        <v>1.6587593978490416E-3</v>
      </c>
      <c r="F28">
        <f t="shared" si="2"/>
        <v>0.99560753660118406</v>
      </c>
      <c r="G28">
        <f t="shared" si="3"/>
        <v>-1.3379840391185539E-2</v>
      </c>
      <c r="H28">
        <f t="shared" si="4"/>
        <v>-1.3379840391185539E-2</v>
      </c>
      <c r="J28">
        <f t="shared" si="5"/>
        <v>15</v>
      </c>
      <c r="M28">
        <f t="shared" si="6"/>
        <v>6.3611088438751562</v>
      </c>
      <c r="N28">
        <f t="shared" si="7"/>
        <v>-1.5707963250000001</v>
      </c>
      <c r="O28">
        <f t="shared" si="8"/>
        <v>1.001686783158797</v>
      </c>
      <c r="P28">
        <f t="shared" si="9"/>
        <v>5.804163222102407E-2</v>
      </c>
      <c r="Q28">
        <f t="shared" si="10"/>
        <v>1.0013155442596593</v>
      </c>
      <c r="R28">
        <f t="shared" si="11"/>
        <v>5.1266044569822387E-2</v>
      </c>
      <c r="S28">
        <f t="shared" si="12"/>
        <v>0.99999880157636256</v>
      </c>
      <c r="T28">
        <f t="shared" si="13"/>
        <v>-1.5481756210050611E-3</v>
      </c>
      <c r="U28">
        <f t="shared" si="14"/>
        <v>0.99999921361036836</v>
      </c>
      <c r="V28">
        <f t="shared" si="15"/>
        <v>-1.2541050472939194E-3</v>
      </c>
      <c r="X28">
        <f t="shared" si="34"/>
        <v>39.580297968489738</v>
      </c>
      <c r="Y28">
        <f t="shared" si="16"/>
        <v>-84.569258772852692</v>
      </c>
      <c r="Z28">
        <f t="shared" si="35"/>
        <v>95.430741227147308</v>
      </c>
      <c r="AC28">
        <v>1</v>
      </c>
      <c r="AD28">
        <f t="shared" si="17"/>
        <v>5.8106897654399997E-2</v>
      </c>
      <c r="AE28">
        <f t="shared" si="18"/>
        <v>-1.0952892155121917E-8</v>
      </c>
      <c r="AF28">
        <f t="shared" si="19"/>
        <v>8.7336275670000003E-6</v>
      </c>
      <c r="AG28">
        <f t="shared" si="36"/>
        <v>6509.6321198295127</v>
      </c>
      <c r="AH28">
        <f t="shared" si="37"/>
        <v>-114508.12295653023</v>
      </c>
      <c r="AJ28">
        <f t="shared" si="20"/>
        <v>18000</v>
      </c>
      <c r="AK28">
        <f t="shared" si="21"/>
        <v>27.867183442559998</v>
      </c>
      <c r="AL28">
        <v>1</v>
      </c>
      <c r="AM28">
        <f t="shared" si="22"/>
        <v>5.1311004433919997E-2</v>
      </c>
      <c r="AN28">
        <f t="shared" si="38"/>
        <v>17954.159836865398</v>
      </c>
      <c r="AO28">
        <f t="shared" si="39"/>
        <v>-893.37879155414873</v>
      </c>
      <c r="AQ28">
        <f t="shared" si="23"/>
        <v>8620.689655172413</v>
      </c>
      <c r="AR28">
        <f t="shared" si="24"/>
        <v>-3448.2758620689651</v>
      </c>
      <c r="AT28">
        <f t="shared" si="52"/>
        <v>-338738078.12743598</v>
      </c>
      <c r="AU28">
        <f t="shared" si="53"/>
        <v>-1009585998.314328</v>
      </c>
      <c r="AV28">
        <f t="shared" si="42"/>
        <v>-1.8945151767335311</v>
      </c>
      <c r="AW28">
        <f t="shared" si="25"/>
        <v>151725439.75221628</v>
      </c>
      <c r="AX28">
        <f t="shared" si="26"/>
        <v>-70343489.120403439</v>
      </c>
      <c r="AY28">
        <f t="shared" si="50"/>
        <v>-0.43412534932157237</v>
      </c>
      <c r="BA28">
        <f t="shared" si="27"/>
        <v>6.3675285657986613</v>
      </c>
      <c r="BB28">
        <f t="shared" si="43"/>
        <v>16.079418039154834</v>
      </c>
      <c r="BC28">
        <f t="shared" si="44"/>
        <v>-1.4603898274119587</v>
      </c>
      <c r="BD28">
        <f t="shared" si="28"/>
        <v>-263.67417365015558</v>
      </c>
      <c r="BF28">
        <f t="shared" si="29"/>
        <v>39.563018679686152</v>
      </c>
      <c r="BG28">
        <f t="shared" si="30"/>
        <v>-84.345742123172172</v>
      </c>
      <c r="BH28">
        <f t="shared" si="45"/>
        <v>95.654257876827828</v>
      </c>
      <c r="BI28">
        <f t="shared" si="46"/>
        <v>95.654257876827828</v>
      </c>
      <c r="BJ28">
        <f t="shared" si="31"/>
        <v>0</v>
      </c>
      <c r="BK28">
        <f t="shared" si="47"/>
        <v>0</v>
      </c>
      <c r="BM28">
        <f t="shared" si="48"/>
        <v>23.483600640531321</v>
      </c>
      <c r="BN28">
        <f t="shared" si="32"/>
        <v>-0.67156847301656675</v>
      </c>
      <c r="BQ28" s="56">
        <f t="shared" si="49"/>
        <v>32.981378839439969</v>
      </c>
      <c r="BR28" s="58"/>
      <c r="BS28" s="58"/>
      <c r="BT28" s="58">
        <v>151.35599999999999</v>
      </c>
      <c r="BU28" s="58">
        <v>31.0519</v>
      </c>
      <c r="BV28" s="58">
        <v>-267.0283</v>
      </c>
      <c r="BW28" s="61"/>
      <c r="BY28" s="58"/>
      <c r="BZ28" s="58"/>
      <c r="CA28" s="58"/>
      <c r="CC28" s="58"/>
    </row>
    <row r="29" spans="1:81" x14ac:dyDescent="0.25">
      <c r="A29">
        <f t="shared" si="51"/>
        <v>300</v>
      </c>
      <c r="B29">
        <f t="shared" si="33"/>
        <v>0.3</v>
      </c>
      <c r="C29">
        <f t="shared" si="0"/>
        <v>1.0000030954189696</v>
      </c>
      <c r="D29">
        <f t="shared" si="1"/>
        <v>2.4881362442511104E-3</v>
      </c>
      <c r="F29">
        <f t="shared" si="2"/>
        <v>0.99743281400026906</v>
      </c>
      <c r="G29">
        <f t="shared" si="3"/>
        <v>-2.0107310061344558E-2</v>
      </c>
      <c r="H29">
        <f t="shared" si="4"/>
        <v>-2.0107310061344558E-2</v>
      </c>
      <c r="J29">
        <f t="shared" si="5"/>
        <v>15</v>
      </c>
      <c r="M29">
        <f t="shared" si="6"/>
        <v>4.2407392292501029</v>
      </c>
      <c r="N29">
        <f t="shared" si="7"/>
        <v>-1.5707963250000001</v>
      </c>
      <c r="O29">
        <f t="shared" si="8"/>
        <v>1.003791276112117</v>
      </c>
      <c r="P29">
        <f t="shared" si="9"/>
        <v>8.6940630215614864E-2</v>
      </c>
      <c r="Q29">
        <f t="shared" si="10"/>
        <v>1.0029575480278514</v>
      </c>
      <c r="R29">
        <f t="shared" si="11"/>
        <v>7.6815065385181805E-2</v>
      </c>
      <c r="S29">
        <f t="shared" si="12"/>
        <v>0.99999730355287508</v>
      </c>
      <c r="T29">
        <f t="shared" si="13"/>
        <v>-2.3222611122995858E-3</v>
      </c>
      <c r="U29">
        <f t="shared" si="14"/>
        <v>0.99999823062593751</v>
      </c>
      <c r="V29">
        <f t="shared" si="15"/>
        <v>-1.8811563381735514E-3</v>
      </c>
      <c r="X29">
        <f t="shared" si="34"/>
        <v>36.106837028170546</v>
      </c>
      <c r="Y29">
        <f t="shared" si="16"/>
        <v>-81.86783213922358</v>
      </c>
      <c r="Z29">
        <f t="shared" si="35"/>
        <v>98.13216786077642</v>
      </c>
      <c r="AC29">
        <v>1</v>
      </c>
      <c r="AD29">
        <f t="shared" si="17"/>
        <v>8.7160346481599996E-2</v>
      </c>
      <c r="AE29">
        <f t="shared" si="18"/>
        <v>-2.4644007349024314E-8</v>
      </c>
      <c r="AF29">
        <f t="shared" si="19"/>
        <v>1.31004413505E-5</v>
      </c>
      <c r="AG29">
        <f t="shared" si="36"/>
        <v>6509.6193220916903</v>
      </c>
      <c r="AH29">
        <f t="shared" si="37"/>
        <v>-76345.551752593441</v>
      </c>
      <c r="AJ29">
        <f t="shared" si="20"/>
        <v>18000</v>
      </c>
      <c r="AK29">
        <f t="shared" si="21"/>
        <v>41.800775163840001</v>
      </c>
      <c r="AL29">
        <v>1</v>
      </c>
      <c r="AM29">
        <f t="shared" si="22"/>
        <v>7.6966506650880007E-2</v>
      </c>
      <c r="AN29">
        <f t="shared" si="38"/>
        <v>17897.197071434712</v>
      </c>
      <c r="AO29">
        <f t="shared" si="39"/>
        <v>-1335.6839622668499</v>
      </c>
      <c r="AQ29">
        <f t="shared" si="23"/>
        <v>7352.9411764705892</v>
      </c>
      <c r="AR29">
        <f t="shared" si="24"/>
        <v>-4411.7647058823532</v>
      </c>
      <c r="AT29">
        <f t="shared" si="52"/>
        <v>-288953762.71664983</v>
      </c>
      <c r="AU29">
        <f t="shared" si="53"/>
        <v>-590083259.8959446</v>
      </c>
      <c r="AV29">
        <f t="shared" si="42"/>
        <v>-2.0261563531880391</v>
      </c>
      <c r="AW29">
        <f t="shared" si="25"/>
        <v>125733059.68552691</v>
      </c>
      <c r="AX29">
        <f t="shared" si="26"/>
        <v>-89267719.254268602</v>
      </c>
      <c r="AY29">
        <f t="shared" si="50"/>
        <v>-0.61739133368093768</v>
      </c>
      <c r="BA29">
        <f t="shared" si="27"/>
        <v>4.2609252588220761</v>
      </c>
      <c r="BB29">
        <f t="shared" si="43"/>
        <v>12.590078325568182</v>
      </c>
      <c r="BC29">
        <f t="shared" si="44"/>
        <v>-1.4087650195071015</v>
      </c>
      <c r="BD29">
        <f t="shared" si="28"/>
        <v>-260.7162900356538</v>
      </c>
      <c r="BF29">
        <f t="shared" si="29"/>
        <v>36.089603427819526</v>
      </c>
      <c r="BG29">
        <f t="shared" si="30"/>
        <v>-81.725794335034195</v>
      </c>
      <c r="BH29">
        <f t="shared" si="45"/>
        <v>98.274205664965805</v>
      </c>
      <c r="BI29">
        <f t="shared" si="46"/>
        <v>98.274205664965805</v>
      </c>
      <c r="BJ29">
        <f t="shared" si="31"/>
        <v>0</v>
      </c>
      <c r="BK29">
        <f t="shared" si="47"/>
        <v>0</v>
      </c>
      <c r="BM29">
        <f t="shared" si="48"/>
        <v>23.499525102251347</v>
      </c>
      <c r="BN29">
        <f t="shared" si="32"/>
        <v>-1.009504299380386</v>
      </c>
      <c r="BQ29" s="56">
        <f t="shared" si="49"/>
        <v>29.492039125853317</v>
      </c>
      <c r="BR29" s="58"/>
      <c r="BS29" s="58"/>
      <c r="BT29" s="58">
        <v>154.88200000000001</v>
      </c>
      <c r="BU29" s="58">
        <v>31.248699999999999</v>
      </c>
      <c r="BV29" s="58">
        <v>-260.69729999999998</v>
      </c>
      <c r="BW29" s="61"/>
      <c r="BY29" s="58"/>
      <c r="BZ29" s="58"/>
      <c r="CA29" s="58"/>
      <c r="CC29" s="58"/>
    </row>
    <row r="30" spans="1:81" x14ac:dyDescent="0.25">
      <c r="A30">
        <f t="shared" si="51"/>
        <v>400</v>
      </c>
      <c r="B30">
        <f t="shared" si="33"/>
        <v>0.4</v>
      </c>
      <c r="C30">
        <f t="shared" si="0"/>
        <v>1.0000055029604329</v>
      </c>
      <c r="D30">
        <f t="shared" si="1"/>
        <v>3.3175096676526083E-3</v>
      </c>
      <c r="F30">
        <f t="shared" si="2"/>
        <v>0.99999875722280507</v>
      </c>
      <c r="G30">
        <f t="shared" si="3"/>
        <v>-2.6880141823546384E-2</v>
      </c>
      <c r="H30">
        <f t="shared" si="4"/>
        <v>-2.6880141823546384E-2</v>
      </c>
      <c r="J30">
        <f t="shared" si="5"/>
        <v>15</v>
      </c>
      <c r="M30">
        <f t="shared" si="6"/>
        <v>3.1805544219375781</v>
      </c>
      <c r="N30">
        <f t="shared" si="7"/>
        <v>-1.5707963250000001</v>
      </c>
      <c r="O30">
        <f t="shared" si="8"/>
        <v>1.0067301754790485</v>
      </c>
      <c r="P30">
        <f t="shared" si="9"/>
        <v>0.11569481357048503</v>
      </c>
      <c r="Q30">
        <f t="shared" si="10"/>
        <v>1.0052518474014713</v>
      </c>
      <c r="R30">
        <f t="shared" si="11"/>
        <v>0.10226402127592417</v>
      </c>
      <c r="S30">
        <f t="shared" si="12"/>
        <v>0.99999520633130246</v>
      </c>
      <c r="T30">
        <f t="shared" si="13"/>
        <v>-3.09634382056318E-3</v>
      </c>
      <c r="U30">
        <f t="shared" si="14"/>
        <v>0.99999685445260433</v>
      </c>
      <c r="V30">
        <f t="shared" si="15"/>
        <v>-2.5082061497389051E-3</v>
      </c>
      <c r="X30">
        <f t="shared" si="34"/>
        <v>33.675609170318843</v>
      </c>
      <c r="Y30">
        <f t="shared" si="16"/>
        <v>-79.183035079472063</v>
      </c>
      <c r="Z30">
        <f t="shared" si="35"/>
        <v>100.81696492052794</v>
      </c>
      <c r="AC30">
        <v>1</v>
      </c>
      <c r="AD30">
        <f t="shared" si="17"/>
        <v>0.11621379530879999</v>
      </c>
      <c r="AE30">
        <f t="shared" si="18"/>
        <v>-4.3811568620487669E-8</v>
      </c>
      <c r="AF30">
        <f t="shared" si="19"/>
        <v>1.7467255134000001E-5</v>
      </c>
      <c r="AG30">
        <f t="shared" si="36"/>
        <v>6509.6014053432773</v>
      </c>
      <c r="AH30">
        <f t="shared" si="37"/>
        <v>-57266.307051392847</v>
      </c>
      <c r="AJ30">
        <f t="shared" si="20"/>
        <v>18000</v>
      </c>
      <c r="AK30">
        <f t="shared" si="21"/>
        <v>55.734366885119996</v>
      </c>
      <c r="AL30">
        <v>1</v>
      </c>
      <c r="AM30">
        <f t="shared" si="22"/>
        <v>0.10262200886783999</v>
      </c>
      <c r="AN30">
        <f t="shared" si="38"/>
        <v>17818.072520644615</v>
      </c>
      <c r="AO30">
        <f t="shared" si="39"/>
        <v>-1772.7920293362879</v>
      </c>
      <c r="AQ30">
        <f t="shared" si="23"/>
        <v>6097.5609756097556</v>
      </c>
      <c r="AR30">
        <f t="shared" si="24"/>
        <v>-4878.0487804878048</v>
      </c>
      <c r="AT30">
        <f t="shared" si="52"/>
        <v>-239655147.77909148</v>
      </c>
      <c r="AU30">
        <f t="shared" si="53"/>
        <v>-380938952.29065526</v>
      </c>
      <c r="AV30">
        <f t="shared" si="42"/>
        <v>-2.132350661597703</v>
      </c>
      <c r="AW30">
        <f t="shared" si="25"/>
        <v>100027665.43533158</v>
      </c>
      <c r="AX30">
        <f t="shared" si="26"/>
        <v>-98094314.92365481</v>
      </c>
      <c r="AY30">
        <f t="shared" si="50"/>
        <v>-0.77564008838113307</v>
      </c>
      <c r="BA30">
        <f t="shared" si="27"/>
        <v>3.2123791073975516</v>
      </c>
      <c r="BB30">
        <f t="shared" si="43"/>
        <v>10.136535853771825</v>
      </c>
      <c r="BC30">
        <f t="shared" si="44"/>
        <v>-1.3567105732165698</v>
      </c>
      <c r="BD30">
        <f t="shared" si="28"/>
        <v>-257.73378995490793</v>
      </c>
      <c r="BF30">
        <f t="shared" si="29"/>
        <v>33.658398038228668</v>
      </c>
      <c r="BG30">
        <f t="shared" si="30"/>
        <v>-79.083829333202516</v>
      </c>
      <c r="BH30">
        <f t="shared" si="45"/>
        <v>100.91617066679748</v>
      </c>
      <c r="BI30">
        <f t="shared" si="46"/>
        <v>100.91617066679748</v>
      </c>
      <c r="BJ30">
        <f t="shared" si="31"/>
        <v>0</v>
      </c>
      <c r="BK30">
        <f t="shared" si="47"/>
        <v>0</v>
      </c>
      <c r="BM30">
        <f t="shared" si="48"/>
        <v>23.521862184456843</v>
      </c>
      <c r="BN30">
        <f t="shared" si="32"/>
        <v>-1.3500393782945983</v>
      </c>
      <c r="BQ30" s="56">
        <f t="shared" si="49"/>
        <v>27.038496654056956</v>
      </c>
      <c r="BR30" s="58"/>
      <c r="BS30" s="58"/>
      <c r="BT30" s="58">
        <v>158.489</v>
      </c>
      <c r="BU30" s="58">
        <v>31.003699999999998</v>
      </c>
      <c r="BV30" s="58">
        <v>-259.86900000000003</v>
      </c>
      <c r="BW30" s="61"/>
      <c r="BY30" s="58"/>
      <c r="BZ30" s="58"/>
      <c r="CA30" s="58"/>
      <c r="CC30" s="58"/>
    </row>
    <row r="31" spans="1:81" x14ac:dyDescent="0.25">
      <c r="A31">
        <f t="shared" si="51"/>
        <v>500</v>
      </c>
      <c r="B31">
        <f t="shared" si="33"/>
        <v>0.5</v>
      </c>
      <c r="C31">
        <f t="shared" si="0"/>
        <v>1.0000085983623686</v>
      </c>
      <c r="D31">
        <f t="shared" si="1"/>
        <v>4.1468785270972969E-3</v>
      </c>
      <c r="F31">
        <f t="shared" si="2"/>
        <v>1.0033160421325751</v>
      </c>
      <c r="G31">
        <f t="shared" si="3"/>
        <v>-3.3713965609179872E-2</v>
      </c>
      <c r="H31">
        <f t="shared" si="4"/>
        <v>-3.3713965609179872E-2</v>
      </c>
      <c r="J31">
        <f t="shared" si="5"/>
        <v>15</v>
      </c>
      <c r="M31">
        <f t="shared" si="6"/>
        <v>2.544443537550062</v>
      </c>
      <c r="N31">
        <f t="shared" si="7"/>
        <v>-1.5707963250000001</v>
      </c>
      <c r="O31">
        <f t="shared" si="8"/>
        <v>1.0104962009918039</v>
      </c>
      <c r="P31">
        <f t="shared" si="9"/>
        <v>0.14425815280040616</v>
      </c>
      <c r="Q31">
        <f t="shared" si="10"/>
        <v>1.0081939891955869</v>
      </c>
      <c r="R31">
        <f t="shared" si="11"/>
        <v>0.12758076995822989</v>
      </c>
      <c r="S31">
        <f t="shared" si="12"/>
        <v>0.99999250992295463</v>
      </c>
      <c r="T31">
        <f t="shared" si="13"/>
        <v>-3.8704228181499971E-3</v>
      </c>
      <c r="U31">
        <f t="shared" si="14"/>
        <v>0.9999950850952386</v>
      </c>
      <c r="V31">
        <f t="shared" si="15"/>
        <v>-3.135253988896078E-3</v>
      </c>
      <c r="X31">
        <f t="shared" si="34"/>
        <v>31.823979383855505</v>
      </c>
      <c r="Y31">
        <f t="shared" si="16"/>
        <v>-76.520242019120033</v>
      </c>
      <c r="Z31">
        <f t="shared" si="35"/>
        <v>103.47975798087997</v>
      </c>
      <c r="AC31">
        <v>1</v>
      </c>
      <c r="AD31">
        <f t="shared" si="17"/>
        <v>0.14526724413600001</v>
      </c>
      <c r="AE31">
        <f t="shared" si="18"/>
        <v>-6.8455575969511987E-8</v>
      </c>
      <c r="AF31">
        <f t="shared" si="19"/>
        <v>2.1834068917500001E-5</v>
      </c>
      <c r="AG31">
        <f t="shared" si="36"/>
        <v>6509.5783696688095</v>
      </c>
      <c r="AH31">
        <f t="shared" si="37"/>
        <v>-45820.392924323758</v>
      </c>
      <c r="AJ31">
        <f t="shared" si="20"/>
        <v>18000</v>
      </c>
      <c r="AK31">
        <f t="shared" si="21"/>
        <v>69.667958606400006</v>
      </c>
      <c r="AL31">
        <v>1</v>
      </c>
      <c r="AM31">
        <f t="shared" si="22"/>
        <v>0.12827751108480001</v>
      </c>
      <c r="AN31">
        <f t="shared" si="38"/>
        <v>17717.394974593695</v>
      </c>
      <c r="AO31">
        <f t="shared" si="39"/>
        <v>-2203.0753716408221</v>
      </c>
      <c r="AQ31">
        <f t="shared" si="23"/>
        <v>5000</v>
      </c>
      <c r="AR31">
        <f t="shared" si="24"/>
        <v>-5000</v>
      </c>
      <c r="AT31">
        <f t="shared" si="52"/>
        <v>-196554072.77327472</v>
      </c>
      <c r="AU31">
        <f t="shared" si="53"/>
        <v>-261649856.46996284</v>
      </c>
      <c r="AV31">
        <f t="shared" si="42"/>
        <v>-2.2150715913808345</v>
      </c>
      <c r="AW31">
        <f t="shared" si="25"/>
        <v>77600121.103752315</v>
      </c>
      <c r="AX31">
        <f t="shared" si="26"/>
        <v>-99897075.483621642</v>
      </c>
      <c r="AY31">
        <f t="shared" si="50"/>
        <v>-0.9103622225338327</v>
      </c>
      <c r="BA31">
        <f t="shared" si="27"/>
        <v>2.5870602215268819</v>
      </c>
      <c r="BB31">
        <f t="shared" si="43"/>
        <v>8.2561307666185346</v>
      </c>
      <c r="BC31">
        <f t="shared" si="44"/>
        <v>-1.3047093688470017</v>
      </c>
      <c r="BD31">
        <f t="shared" si="28"/>
        <v>-254.75434041152988</v>
      </c>
      <c r="BF31">
        <f t="shared" si="29"/>
        <v>31.806785757538233</v>
      </c>
      <c r="BG31">
        <f t="shared" si="30"/>
        <v>-76.448409715764754</v>
      </c>
      <c r="BH31">
        <f t="shared" si="45"/>
        <v>103.55159028423525</v>
      </c>
      <c r="BI31">
        <f t="shared" si="46"/>
        <v>103.55159028423525</v>
      </c>
      <c r="BJ31">
        <f t="shared" si="31"/>
        <v>0</v>
      </c>
      <c r="BK31">
        <f t="shared" si="47"/>
        <v>0</v>
      </c>
      <c r="BM31">
        <f t="shared" si="48"/>
        <v>23.550654990919703</v>
      </c>
      <c r="BN31">
        <f t="shared" si="32"/>
        <v>-1.6940693042348642</v>
      </c>
      <c r="BQ31" s="56">
        <f t="shared" si="49"/>
        <v>25.158091566903668</v>
      </c>
      <c r="BR31" s="58"/>
      <c r="BS31" s="58"/>
      <c r="BT31" s="58">
        <v>162.18100000000001</v>
      </c>
      <c r="BU31" s="58">
        <v>30.429300000000001</v>
      </c>
      <c r="BV31" s="58">
        <v>-262.39859999999999</v>
      </c>
      <c r="BW31" s="61"/>
      <c r="BY31" s="58"/>
      <c r="BZ31" s="58"/>
      <c r="CA31" s="58"/>
      <c r="CC31" s="58"/>
    </row>
    <row r="32" spans="1:81" x14ac:dyDescent="0.25">
      <c r="A32">
        <f t="shared" si="51"/>
        <v>600</v>
      </c>
      <c r="B32">
        <f t="shared" si="33"/>
        <v>0.6</v>
      </c>
      <c r="C32">
        <f t="shared" si="0"/>
        <v>1.0000123816183897</v>
      </c>
      <c r="D32">
        <f t="shared" si="1"/>
        <v>4.9762416816666087E-3</v>
      </c>
      <c r="F32">
        <f t="shared" si="2"/>
        <v>1.0073985698635139</v>
      </c>
      <c r="G32">
        <f t="shared" si="3"/>
        <v>-4.0624857344860994E-2</v>
      </c>
      <c r="H32">
        <f t="shared" si="4"/>
        <v>-4.0624857344860994E-2</v>
      </c>
      <c r="J32">
        <f t="shared" si="5"/>
        <v>15</v>
      </c>
      <c r="M32">
        <f t="shared" si="6"/>
        <v>2.1203696146250515</v>
      </c>
      <c r="N32">
        <f t="shared" si="7"/>
        <v>-1.5707963250000001</v>
      </c>
      <c r="O32">
        <f t="shared" si="8"/>
        <v>1.0150801465870418</v>
      </c>
      <c r="P32">
        <f t="shared" si="9"/>
        <v>0.17258646906926919</v>
      </c>
      <c r="Q32">
        <f t="shared" si="10"/>
        <v>1.0117783218591707</v>
      </c>
      <c r="R32">
        <f t="shared" si="11"/>
        <v>0.15273417843192116</v>
      </c>
      <c r="S32">
        <f t="shared" si="12"/>
        <v>0.99998921434237276</v>
      </c>
      <c r="T32">
        <f t="shared" si="13"/>
        <v>-4.6444971774408685E-3</v>
      </c>
      <c r="U32">
        <f t="shared" si="14"/>
        <v>0.99999292256010153</v>
      </c>
      <c r="V32">
        <f t="shared" si="15"/>
        <v>-3.7622993625604753E-3</v>
      </c>
      <c r="X32">
        <f t="shared" si="34"/>
        <v>30.345749685032711</v>
      </c>
      <c r="Y32">
        <f t="shared" si="16"/>
        <v>-73.88468907525646</v>
      </c>
      <c r="Z32">
        <f t="shared" si="35"/>
        <v>106.11531092474354</v>
      </c>
      <c r="AC32">
        <v>1</v>
      </c>
      <c r="AD32">
        <f t="shared" si="17"/>
        <v>0.17432069296319999</v>
      </c>
      <c r="AE32">
        <f t="shared" si="18"/>
        <v>-9.8576029396097257E-8</v>
      </c>
      <c r="AF32">
        <f t="shared" si="19"/>
        <v>2.6200882701000001E-5</v>
      </c>
      <c r="AG32">
        <f t="shared" si="36"/>
        <v>6509.5502151769706</v>
      </c>
      <c r="AH32">
        <f t="shared" si="37"/>
        <v>-38191.144055431971</v>
      </c>
      <c r="AJ32">
        <f t="shared" si="20"/>
        <v>18000</v>
      </c>
      <c r="AK32">
        <f t="shared" si="21"/>
        <v>83.601550327680002</v>
      </c>
      <c r="AL32">
        <v>1</v>
      </c>
      <c r="AM32">
        <f t="shared" si="22"/>
        <v>0.15393301330176001</v>
      </c>
      <c r="AN32">
        <f t="shared" si="38"/>
        <v>17595.926992507499</v>
      </c>
      <c r="AO32">
        <f t="shared" si="39"/>
        <v>-2624.9925134667747</v>
      </c>
      <c r="AQ32">
        <f t="shared" si="23"/>
        <v>4098.3606557377052</v>
      </c>
      <c r="AR32">
        <f t="shared" si="24"/>
        <v>-4918.0327868852464</v>
      </c>
      <c r="AT32">
        <f t="shared" si="52"/>
        <v>-161146814.14484179</v>
      </c>
      <c r="AU32">
        <f t="shared" si="53"/>
        <v>-188535263.5805096</v>
      </c>
      <c r="AV32">
        <f t="shared" si="42"/>
        <v>-2.2780302076863812</v>
      </c>
      <c r="AW32">
        <f t="shared" si="25"/>
        <v>59233028.301544383</v>
      </c>
      <c r="AX32">
        <f t="shared" si="26"/>
        <v>-97542099.793179303</v>
      </c>
      <c r="AY32">
        <f t="shared" si="50"/>
        <v>-1.0250585851733276</v>
      </c>
      <c r="BA32">
        <f t="shared" si="27"/>
        <v>2.1733550923891447</v>
      </c>
      <c r="BB32">
        <f t="shared" si="43"/>
        <v>6.7426137815080276</v>
      </c>
      <c r="BC32">
        <f t="shared" si="44"/>
        <v>-1.2529716225130536</v>
      </c>
      <c r="BD32">
        <f t="shared" si="28"/>
        <v>-251.78998590168896</v>
      </c>
      <c r="BF32">
        <f t="shared" si="29"/>
        <v>30.328573106991776</v>
      </c>
      <c r="BG32">
        <f t="shared" si="30"/>
        <v>-73.832501127007859</v>
      </c>
      <c r="BH32">
        <f t="shared" si="45"/>
        <v>106.16749887299214</v>
      </c>
      <c r="BI32">
        <f t="shared" si="46"/>
        <v>106.16749887299214</v>
      </c>
      <c r="BJ32">
        <f t="shared" si="31"/>
        <v>0</v>
      </c>
      <c r="BK32">
        <f t="shared" si="47"/>
        <v>0</v>
      </c>
      <c r="BM32">
        <f t="shared" si="48"/>
        <v>23.585959325483749</v>
      </c>
      <c r="BN32">
        <f t="shared" si="32"/>
        <v>-2.0425152253189123</v>
      </c>
      <c r="BQ32" s="56">
        <f t="shared" si="49"/>
        <v>23.644574581793165</v>
      </c>
      <c r="BR32" s="58"/>
      <c r="BS32" s="58"/>
      <c r="BT32" s="58">
        <v>165.959</v>
      </c>
      <c r="BU32" s="58">
        <v>29.9194</v>
      </c>
      <c r="BV32" s="58">
        <v>-264.8295</v>
      </c>
      <c r="BW32" s="61"/>
      <c r="BY32" s="58"/>
      <c r="BZ32" s="58"/>
      <c r="CA32" s="58"/>
      <c r="CC32" s="58"/>
    </row>
    <row r="33" spans="1:81" x14ac:dyDescent="0.25">
      <c r="A33">
        <f t="shared" si="51"/>
        <v>700</v>
      </c>
      <c r="B33">
        <f t="shared" si="33"/>
        <v>0.7</v>
      </c>
      <c r="C33">
        <f t="shared" si="0"/>
        <v>1.0000168527206887</v>
      </c>
      <c r="D33">
        <f t="shared" si="1"/>
        <v>5.8055979904890658E-3</v>
      </c>
      <c r="F33">
        <f t="shared" si="2"/>
        <v>1.0122636019272508</v>
      </c>
      <c r="G33">
        <f t="shared" si="3"/>
        <v>-4.7629462602493566E-2</v>
      </c>
      <c r="H33">
        <f t="shared" si="4"/>
        <v>-4.7629462602493566E-2</v>
      </c>
      <c r="J33">
        <f t="shared" si="5"/>
        <v>15</v>
      </c>
      <c r="M33">
        <f t="shared" si="6"/>
        <v>1.8174596696786158</v>
      </c>
      <c r="N33">
        <f t="shared" si="7"/>
        <v>-1.5707963250000001</v>
      </c>
      <c r="O33">
        <f t="shared" si="8"/>
        <v>1.0204709900575233</v>
      </c>
      <c r="P33">
        <f t="shared" si="9"/>
        <v>0.20063781177645054</v>
      </c>
      <c r="Q33">
        <f t="shared" si="10"/>
        <v>1.0159980486724458</v>
      </c>
      <c r="R33">
        <f t="shared" si="11"/>
        <v>0.17769433886793817</v>
      </c>
      <c r="S33">
        <f t="shared" si="12"/>
        <v>0.99998531960732884</v>
      </c>
      <c r="T33">
        <f t="shared" si="13"/>
        <v>-5.4185659708499787E-3</v>
      </c>
      <c r="U33">
        <f t="shared" si="14"/>
        <v>0.99999036685484566</v>
      </c>
      <c r="V33">
        <f t="shared" si="15"/>
        <v>-4.389341777659133E-3</v>
      </c>
      <c r="X33">
        <f t="shared" si="34"/>
        <v>29.130799185399077</v>
      </c>
      <c r="Y33">
        <f t="shared" si="16"/>
        <v>-71.281447137617434</v>
      </c>
      <c r="Z33">
        <f t="shared" si="35"/>
        <v>108.71855286238257</v>
      </c>
      <c r="AC33">
        <v>1</v>
      </c>
      <c r="AD33">
        <f t="shared" si="17"/>
        <v>0.20337414179040003</v>
      </c>
      <c r="AE33">
        <f t="shared" si="18"/>
        <v>-1.341729289002435E-7</v>
      </c>
      <c r="AF33">
        <f t="shared" si="19"/>
        <v>3.0567696484499998E-5</v>
      </c>
      <c r="AG33">
        <f t="shared" si="36"/>
        <v>6509.5169420006041</v>
      </c>
      <c r="AH33">
        <f t="shared" si="37"/>
        <v>-32742.846732378017</v>
      </c>
      <c r="AJ33">
        <f t="shared" si="20"/>
        <v>18000</v>
      </c>
      <c r="AK33">
        <f t="shared" si="21"/>
        <v>97.535142048959997</v>
      </c>
      <c r="AL33">
        <v>1</v>
      </c>
      <c r="AM33">
        <f t="shared" si="22"/>
        <v>0.17958851551871999</v>
      </c>
      <c r="AN33">
        <f t="shared" si="38"/>
        <v>17454.570765761106</v>
      </c>
      <c r="AO33">
        <f t="shared" si="39"/>
        <v>-3037.105310790525</v>
      </c>
      <c r="AQ33">
        <f t="shared" si="23"/>
        <v>3378.3783783783783</v>
      </c>
      <c r="AR33">
        <f t="shared" si="24"/>
        <v>-4729.72972972973</v>
      </c>
      <c r="AT33">
        <f t="shared" si="52"/>
        <v>-132873204.33556968</v>
      </c>
      <c r="AU33">
        <f t="shared" si="53"/>
        <v>-141405981.25398263</v>
      </c>
      <c r="AV33">
        <f t="shared" si="42"/>
        <v>-2.3250946976081801</v>
      </c>
      <c r="AW33">
        <f t="shared" si="25"/>
        <v>44631654.800224081</v>
      </c>
      <c r="AX33">
        <f t="shared" si="26"/>
        <v>-93028236.63893047</v>
      </c>
      <c r="AY33">
        <f t="shared" si="50"/>
        <v>-1.123467688574407</v>
      </c>
      <c r="BA33">
        <f t="shared" si="27"/>
        <v>1.8805714470860191</v>
      </c>
      <c r="BB33">
        <f t="shared" si="43"/>
        <v>5.4857967576758506</v>
      </c>
      <c r="BC33">
        <f t="shared" si="44"/>
        <v>-1.2016270090337731</v>
      </c>
      <c r="BD33">
        <f t="shared" si="28"/>
        <v>-248.84815624523412</v>
      </c>
      <c r="BF33">
        <f t="shared" si="29"/>
        <v>29.113640741532137</v>
      </c>
      <c r="BG33">
        <f t="shared" si="30"/>
        <v>-71.24448717316676</v>
      </c>
      <c r="BH33">
        <f t="shared" si="45"/>
        <v>108.75551282683324</v>
      </c>
      <c r="BI33">
        <f t="shared" si="46"/>
        <v>108.75551282683324</v>
      </c>
      <c r="BJ33">
        <f t="shared" si="31"/>
        <v>0</v>
      </c>
      <c r="BK33">
        <f t="shared" si="47"/>
        <v>0</v>
      </c>
      <c r="BM33">
        <f t="shared" si="48"/>
        <v>23.627843983856287</v>
      </c>
      <c r="BN33">
        <f t="shared" si="32"/>
        <v>-2.3963309279326235</v>
      </c>
      <c r="BQ33" s="56">
        <f t="shared" si="49"/>
        <v>22.387757557960985</v>
      </c>
      <c r="BR33" s="58"/>
      <c r="BS33" s="58"/>
      <c r="BT33" s="58">
        <v>169.82400000000001</v>
      </c>
      <c r="BU33" s="58">
        <v>29.808900000000001</v>
      </c>
      <c r="BV33" s="58">
        <v>-267.72770000000003</v>
      </c>
      <c r="BW33" s="61"/>
      <c r="BY33" s="58"/>
      <c r="BZ33" s="58"/>
      <c r="CA33" s="58"/>
      <c r="CC33" s="58"/>
    </row>
    <row r="34" spans="1:81" x14ac:dyDescent="0.25">
      <c r="A34">
        <f t="shared" si="51"/>
        <v>800</v>
      </c>
      <c r="B34">
        <f t="shared" si="33"/>
        <v>0.8</v>
      </c>
      <c r="C34">
        <f t="shared" si="0"/>
        <v>1.00002201166004</v>
      </c>
      <c r="D34">
        <f t="shared" si="1"/>
        <v>6.6349463127496917E-3</v>
      </c>
      <c r="F34">
        <f t="shared" si="2"/>
        <v>1.0179319297102138</v>
      </c>
      <c r="G34">
        <f t="shared" si="3"/>
        <v>-5.4745128772641038E-2</v>
      </c>
      <c r="H34">
        <f t="shared" si="4"/>
        <v>-5.4745128772641038E-2</v>
      </c>
      <c r="J34">
        <f t="shared" si="5"/>
        <v>15</v>
      </c>
      <c r="M34">
        <f t="shared" si="6"/>
        <v>1.590277210968789</v>
      </c>
      <c r="N34">
        <f t="shared" si="7"/>
        <v>-1.5707963250000001</v>
      </c>
      <c r="O34">
        <f t="shared" si="8"/>
        <v>1.026656020719843</v>
      </c>
      <c r="P34">
        <f t="shared" si="9"/>
        <v>0.22837278505917435</v>
      </c>
      <c r="Q34">
        <f t="shared" si="10"/>
        <v>1.020845290343392</v>
      </c>
      <c r="R34">
        <f t="shared" si="11"/>
        <v>0.20243276210675157</v>
      </c>
      <c r="S34">
        <f t="shared" si="12"/>
        <v>0.9999808257388253</v>
      </c>
      <c r="T34">
        <f t="shared" si="13"/>
        <v>-6.1926282708315286E-3</v>
      </c>
      <c r="U34">
        <f t="shared" si="14"/>
        <v>0.99998741798851454</v>
      </c>
      <c r="V34">
        <f t="shared" si="15"/>
        <v>-5.0163807411330481E-3</v>
      </c>
      <c r="X34">
        <f t="shared" si="34"/>
        <v>28.113269746693994</v>
      </c>
      <c r="Y34">
        <f t="shared" si="16"/>
        <v>-68.715399647712871</v>
      </c>
      <c r="Z34">
        <f t="shared" si="35"/>
        <v>111.28460035228713</v>
      </c>
      <c r="AC34">
        <v>1</v>
      </c>
      <c r="AD34">
        <f t="shared" si="17"/>
        <v>0.23242759061759999</v>
      </c>
      <c r="AE34">
        <f t="shared" si="18"/>
        <v>-1.7524627448195068E-7</v>
      </c>
      <c r="AF34">
        <f t="shared" si="19"/>
        <v>3.4934510268000001E-5</v>
      </c>
      <c r="AG34">
        <f t="shared" si="36"/>
        <v>6509.4785502966924</v>
      </c>
      <c r="AH34">
        <f t="shared" si="37"/>
        <v>-28657.644094178246</v>
      </c>
      <c r="AJ34">
        <f t="shared" si="20"/>
        <v>18000</v>
      </c>
      <c r="AK34">
        <f t="shared" si="21"/>
        <v>111.46873377023999</v>
      </c>
      <c r="AL34">
        <v>1</v>
      </c>
      <c r="AM34">
        <f t="shared" si="22"/>
        <v>0.20524401773567999</v>
      </c>
      <c r="AN34">
        <f t="shared" si="38"/>
        <v>17294.351870891216</v>
      </c>
      <c r="AO34">
        <f t="shared" si="39"/>
        <v>-3438.0935283460472</v>
      </c>
      <c r="AQ34">
        <f t="shared" si="23"/>
        <v>2808.9887640449433</v>
      </c>
      <c r="AR34">
        <f t="shared" si="24"/>
        <v>-4494.3820224719093</v>
      </c>
      <c r="AT34">
        <f t="shared" si="52"/>
        <v>-110513348.31569803</v>
      </c>
      <c r="AU34">
        <f t="shared" si="53"/>
        <v>-109755083.63666558</v>
      </c>
      <c r="AV34">
        <f t="shared" si="42"/>
        <v>-2.3596369339281895</v>
      </c>
      <c r="AW34">
        <f t="shared" si="25"/>
        <v>33155533.524106413</v>
      </c>
      <c r="AX34">
        <f t="shared" si="26"/>
        <v>-87571765.202067614</v>
      </c>
      <c r="AY34">
        <f t="shared" si="50"/>
        <v>-1.2088646122259923</v>
      </c>
      <c r="BA34">
        <f t="shared" si="27"/>
        <v>1.663362869440195</v>
      </c>
      <c r="BB34">
        <f t="shared" si="43"/>
        <v>4.4197400535976676</v>
      </c>
      <c r="BC34">
        <f t="shared" si="44"/>
        <v>-1.1507723217021972</v>
      </c>
      <c r="BD34">
        <f t="shared" si="28"/>
        <v>-245.93439728934797</v>
      </c>
      <c r="BF34">
        <f t="shared" si="29"/>
        <v>28.096131167368533</v>
      </c>
      <c r="BG34">
        <f t="shared" si="30"/>
        <v>-68.690907699053824</v>
      </c>
      <c r="BH34">
        <f t="shared" si="45"/>
        <v>111.30909230094618</v>
      </c>
      <c r="BI34">
        <f t="shared" si="46"/>
        <v>111.30909230094618</v>
      </c>
      <c r="BJ34">
        <f t="shared" si="31"/>
        <v>0</v>
      </c>
      <c r="BK34">
        <f t="shared" si="47"/>
        <v>0</v>
      </c>
      <c r="BM34">
        <f t="shared" si="48"/>
        <v>23.676391113770862</v>
      </c>
      <c r="BN34">
        <f t="shared" si="32"/>
        <v>-2.7565104097058675</v>
      </c>
      <c r="BQ34" s="56">
        <f t="shared" si="49"/>
        <v>21.321700853882803</v>
      </c>
      <c r="BR34" s="58"/>
      <c r="BS34" s="58"/>
      <c r="BT34" s="58">
        <v>173.78</v>
      </c>
      <c r="BU34" s="58">
        <v>30.070900000000002</v>
      </c>
      <c r="BV34" s="58">
        <v>-269.952</v>
      </c>
      <c r="BW34" s="61"/>
      <c r="BY34" s="58"/>
      <c r="BZ34" s="58"/>
      <c r="CA34" s="58"/>
      <c r="CC34" s="58"/>
    </row>
    <row r="35" spans="1:81" x14ac:dyDescent="0.25">
      <c r="A35">
        <f t="shared" si="51"/>
        <v>900</v>
      </c>
      <c r="B35">
        <f t="shared" si="33"/>
        <v>0.9</v>
      </c>
      <c r="C35">
        <f t="shared" si="0"/>
        <v>1.000027858425798</v>
      </c>
      <c r="D35">
        <f t="shared" si="1"/>
        <v>7.4642855076994296E-3</v>
      </c>
      <c r="F35">
        <f t="shared" si="2"/>
        <v>1.0244280811200113</v>
      </c>
      <c r="G35">
        <f t="shared" si="3"/>
        <v>-6.1990047906937386E-2</v>
      </c>
      <c r="H35">
        <f t="shared" si="4"/>
        <v>-6.1990047906937386E-2</v>
      </c>
      <c r="J35">
        <f t="shared" si="5"/>
        <v>15</v>
      </c>
      <c r="M35">
        <f t="shared" si="6"/>
        <v>1.4135797430833676</v>
      </c>
      <c r="N35">
        <f t="shared" si="7"/>
        <v>-1.5707963250000001</v>
      </c>
      <c r="O35">
        <f t="shared" si="8"/>
        <v>1.033620981786425</v>
      </c>
      <c r="P35">
        <f t="shared" si="9"/>
        <v>0.25575481810323669</v>
      </c>
      <c r="Q35">
        <f t="shared" si="10"/>
        <v>1.0263111557000437</v>
      </c>
      <c r="R35">
        <f t="shared" si="11"/>
        <v>0.22692254605017761</v>
      </c>
      <c r="S35">
        <f t="shared" si="12"/>
        <v>0.99997573276109497</v>
      </c>
      <c r="T35">
        <f t="shared" si="13"/>
        <v>-6.9666831498864101E-3</v>
      </c>
      <c r="U35">
        <f t="shared" si="14"/>
        <v>0.99998407597154282</v>
      </c>
      <c r="V35">
        <f t="shared" si="15"/>
        <v>-5.6434157599395008E-3</v>
      </c>
      <c r="X35">
        <f t="shared" si="34"/>
        <v>27.250561129021737</v>
      </c>
      <c r="Y35">
        <f t="shared" si="16"/>
        <v>-66.191225647289727</v>
      </c>
      <c r="Z35">
        <f t="shared" si="35"/>
        <v>113.80877435271027</v>
      </c>
      <c r="AC35">
        <v>1</v>
      </c>
      <c r="AD35">
        <f t="shared" si="17"/>
        <v>0.2614810394448</v>
      </c>
      <c r="AE35">
        <f t="shared" si="18"/>
        <v>-2.2179606614121885E-7</v>
      </c>
      <c r="AF35">
        <f t="shared" si="19"/>
        <v>3.9301324051499998E-5</v>
      </c>
      <c r="AG35">
        <f t="shared" si="36"/>
        <v>6509.4350402463706</v>
      </c>
      <c r="AH35">
        <f t="shared" si="37"/>
        <v>-25481.171213785266</v>
      </c>
      <c r="AJ35">
        <f t="shared" si="20"/>
        <v>18000</v>
      </c>
      <c r="AK35">
        <f t="shared" si="21"/>
        <v>125.40232549151999</v>
      </c>
      <c r="AL35">
        <v>1</v>
      </c>
      <c r="AM35">
        <f t="shared" si="22"/>
        <v>0.23089951995263999</v>
      </c>
      <c r="AN35">
        <f t="shared" si="38"/>
        <v>17116.401440531678</v>
      </c>
      <c r="AO35">
        <f t="shared" si="39"/>
        <v>-3826.7665504439201</v>
      </c>
      <c r="AQ35">
        <f t="shared" si="23"/>
        <v>2358.4905660377358</v>
      </c>
      <c r="AR35">
        <f t="shared" si="24"/>
        <v>-4245.2830188679245</v>
      </c>
      <c r="AT35">
        <f t="shared" si="52"/>
        <v>-92822342.32209225</v>
      </c>
      <c r="AU35">
        <f t="shared" si="53"/>
        <v>-87731495.95808664</v>
      </c>
      <c r="AV35">
        <f t="shared" si="42"/>
        <v>-2.384382746854159</v>
      </c>
      <c r="AW35">
        <f t="shared" si="25"/>
        <v>24150943.071483463</v>
      </c>
      <c r="AX35">
        <f t="shared" si="26"/>
        <v>-81856345.582597315</v>
      </c>
      <c r="AY35">
        <f t="shared" si="50"/>
        <v>-1.28389565324432</v>
      </c>
      <c r="BA35">
        <f t="shared" si="27"/>
        <v>1.4965367644476761</v>
      </c>
      <c r="BB35">
        <f t="shared" si="43"/>
        <v>3.5017478067602061</v>
      </c>
      <c r="BC35">
        <f t="shared" si="44"/>
        <v>-1.100487093609839</v>
      </c>
      <c r="BD35">
        <f t="shared" si="28"/>
        <v>-243.053265944511</v>
      </c>
      <c r="BF35">
        <f t="shared" si="29"/>
        <v>27.233444452252261</v>
      </c>
      <c r="BG35">
        <f t="shared" si="30"/>
        <v>-66.177362008290231</v>
      </c>
      <c r="BH35">
        <f t="shared" si="45"/>
        <v>113.82263799170977</v>
      </c>
      <c r="BI35">
        <f t="shared" si="46"/>
        <v>113.82263799170977</v>
      </c>
      <c r="BJ35">
        <f t="shared" si="31"/>
        <v>0</v>
      </c>
      <c r="BK35">
        <f t="shared" si="47"/>
        <v>0</v>
      </c>
      <c r="BM35">
        <f t="shared" si="48"/>
        <v>23.731696645492054</v>
      </c>
      <c r="BN35">
        <f t="shared" si="32"/>
        <v>-3.1240960637792528</v>
      </c>
      <c r="BQ35" s="56">
        <f t="shared" si="49"/>
        <v>20.403708607045342</v>
      </c>
      <c r="BR35" s="58"/>
      <c r="BS35" s="58"/>
      <c r="BT35" s="58">
        <v>177.828</v>
      </c>
      <c r="BU35" s="58">
        <v>29.720099999999999</v>
      </c>
      <c r="BV35" s="58">
        <v>-271.56010000000003</v>
      </c>
      <c r="BW35" s="61"/>
      <c r="BY35" s="58"/>
      <c r="BZ35" s="58"/>
      <c r="CA35" s="58"/>
      <c r="CC35" s="58"/>
    </row>
    <row r="36" spans="1:81" x14ac:dyDescent="0.25">
      <c r="A36">
        <f t="shared" si="51"/>
        <v>1000</v>
      </c>
      <c r="B36">
        <f t="shared" si="33"/>
        <v>1</v>
      </c>
      <c r="C36">
        <f t="shared" si="0"/>
        <v>1.000034393005899</v>
      </c>
      <c r="D36">
        <f t="shared" si="1"/>
        <v>8.2936144346645538E-3</v>
      </c>
      <c r="F36">
        <f t="shared" si="2"/>
        <v>1.0317805677728267</v>
      </c>
      <c r="G36">
        <f t="shared" si="3"/>
        <v>-6.9383412640482478E-2</v>
      </c>
      <c r="H36">
        <f t="shared" si="4"/>
        <v>-6.9383412640482478E-2</v>
      </c>
      <c r="J36">
        <f t="shared" si="5"/>
        <v>15</v>
      </c>
      <c r="M36">
        <f t="shared" si="6"/>
        <v>1.272221768775031</v>
      </c>
      <c r="N36">
        <f t="shared" si="7"/>
        <v>-1.5707963250000001</v>
      </c>
      <c r="O36">
        <f t="shared" si="8"/>
        <v>1.0413502239282773</v>
      </c>
      <c r="P36">
        <f t="shared" si="9"/>
        <v>0.28275037633993771</v>
      </c>
      <c r="Q36">
        <f t="shared" si="10"/>
        <v>1.0323858190620616</v>
      </c>
      <c r="R36">
        <f t="shared" si="11"/>
        <v>0.25113851702539608</v>
      </c>
      <c r="S36">
        <f t="shared" si="12"/>
        <v>0.99997004070160078</v>
      </c>
      <c r="T36">
        <f t="shared" si="13"/>
        <v>-7.740729680568866E-3</v>
      </c>
      <c r="U36">
        <f t="shared" si="14"/>
        <v>0.99998034081575626</v>
      </c>
      <c r="V36">
        <f t="shared" si="15"/>
        <v>-6.2704463410543842E-3</v>
      </c>
      <c r="X36">
        <f t="shared" si="34"/>
        <v>26.51347316073862</v>
      </c>
      <c r="Y36">
        <f t="shared" si="16"/>
        <v>-63.713388511772621</v>
      </c>
      <c r="Z36">
        <f t="shared" si="35"/>
        <v>116.28661148822738</v>
      </c>
      <c r="AC36">
        <v>1</v>
      </c>
      <c r="AD36">
        <f t="shared" si="17"/>
        <v>0.29053448827200001</v>
      </c>
      <c r="AE36">
        <f t="shared" si="18"/>
        <v>-2.7382230387804795E-7</v>
      </c>
      <c r="AF36">
        <f t="shared" si="19"/>
        <v>4.3668137835000001E-5</v>
      </c>
      <c r="AG36">
        <f t="shared" si="36"/>
        <v>6509.3864120549133</v>
      </c>
      <c r="AH36">
        <f t="shared" si="37"/>
        <v>-22940.80913112015</v>
      </c>
      <c r="AJ36">
        <f t="shared" si="20"/>
        <v>18000</v>
      </c>
      <c r="AK36">
        <f t="shared" si="21"/>
        <v>139.33591721280001</v>
      </c>
      <c r="AL36">
        <v>1</v>
      </c>
      <c r="AM36">
        <f t="shared" si="22"/>
        <v>0.25655502216960002</v>
      </c>
      <c r="AN36">
        <f t="shared" si="38"/>
        <v>16921.937303620962</v>
      </c>
      <c r="AO36">
        <f t="shared" si="39"/>
        <v>-4202.072082870257</v>
      </c>
      <c r="AQ36">
        <f t="shared" si="23"/>
        <v>2000</v>
      </c>
      <c r="AR36">
        <f t="shared" si="24"/>
        <v>-4000</v>
      </c>
      <c r="AT36">
        <f t="shared" si="52"/>
        <v>-78744463.700370774</v>
      </c>
      <c r="AU36">
        <f t="shared" si="53"/>
        <v>-71919163.910459951</v>
      </c>
      <c r="AV36">
        <f t="shared" si="42"/>
        <v>-2.4014651145901036</v>
      </c>
      <c r="AW36">
        <f t="shared" si="25"/>
        <v>17063124.247331321</v>
      </c>
      <c r="AX36">
        <f t="shared" si="26"/>
        <v>-76243125.853961855</v>
      </c>
      <c r="AY36">
        <f t="shared" si="50"/>
        <v>-1.3506254454705058</v>
      </c>
      <c r="BA36">
        <f t="shared" si="27"/>
        <v>1.364977490437187</v>
      </c>
      <c r="BB36">
        <f t="shared" si="43"/>
        <v>2.7025097914985081</v>
      </c>
      <c r="BC36">
        <f t="shared" si="44"/>
        <v>-1.0508396691195978</v>
      </c>
      <c r="BD36">
        <f t="shared" si="28"/>
        <v>-240.20867805427531</v>
      </c>
      <c r="BF36">
        <f t="shared" si="29"/>
        <v>26.496380586330993</v>
      </c>
      <c r="BG36">
        <f t="shared" si="30"/>
        <v>-63.708865666774081</v>
      </c>
      <c r="BH36">
        <f t="shared" si="45"/>
        <v>116.29113433322593</v>
      </c>
      <c r="BI36">
        <f t="shared" si="46"/>
        <v>116.29113433322593</v>
      </c>
      <c r="BJ36">
        <f t="shared" si="31"/>
        <v>0</v>
      </c>
      <c r="BK36">
        <f t="shared" si="47"/>
        <v>0</v>
      </c>
      <c r="BM36">
        <f t="shared" si="48"/>
        <v>23.793870794832483</v>
      </c>
      <c r="BN36">
        <f t="shared" si="32"/>
        <v>-3.5001876124987832</v>
      </c>
      <c r="BQ36" s="56">
        <f t="shared" si="49"/>
        <v>19.604470591783645</v>
      </c>
      <c r="BR36" s="58"/>
      <c r="BS36" s="58"/>
      <c r="BT36" s="58">
        <v>181.97</v>
      </c>
      <c r="BU36" s="58">
        <v>30.042100000000001</v>
      </c>
      <c r="BV36" s="58">
        <v>-268.84590000000003</v>
      </c>
      <c r="BW36" s="61"/>
      <c r="BY36" s="58"/>
      <c r="BZ36" s="58"/>
      <c r="CA36" s="58"/>
      <c r="CC36" s="58"/>
    </row>
    <row r="37" spans="1:81" x14ac:dyDescent="0.25">
      <c r="A37">
        <f>A36+500</f>
        <v>1500</v>
      </c>
      <c r="B37">
        <f t="shared" si="33"/>
        <v>1.5</v>
      </c>
      <c r="C37">
        <f t="shared" si="0"/>
        <v>1.0000773825999778</v>
      </c>
      <c r="D37">
        <f t="shared" si="1"/>
        <v>1.2440065132599378E-2</v>
      </c>
      <c r="F37">
        <f t="shared" si="2"/>
        <v>1.0827059391538545</v>
      </c>
      <c r="G37">
        <f t="shared" si="3"/>
        <v>-0.10934207430161734</v>
      </c>
      <c r="H37">
        <f t="shared" si="4"/>
        <v>-0.10934207430161734</v>
      </c>
      <c r="J37">
        <f t="shared" si="5"/>
        <v>15</v>
      </c>
      <c r="M37">
        <f t="shared" si="6"/>
        <v>0.84814784585002079</v>
      </c>
      <c r="N37">
        <f t="shared" si="7"/>
        <v>-1.5707963250000001</v>
      </c>
      <c r="O37">
        <f t="shared" si="8"/>
        <v>1.0908359867412762</v>
      </c>
      <c r="P37">
        <f t="shared" si="9"/>
        <v>0.41098412191460015</v>
      </c>
      <c r="Q37">
        <f t="shared" si="10"/>
        <v>1.071492453846969</v>
      </c>
      <c r="R37">
        <f t="shared" si="11"/>
        <v>0.36736298562101438</v>
      </c>
      <c r="S37">
        <f t="shared" si="12"/>
        <v>0.99993259536490664</v>
      </c>
      <c r="T37">
        <f t="shared" si="13"/>
        <v>-1.1610804652367945E-2</v>
      </c>
      <c r="U37">
        <f t="shared" si="14"/>
        <v>0.99995576846585155</v>
      </c>
      <c r="V37">
        <f t="shared" si="15"/>
        <v>-9.4055154270072262E-3</v>
      </c>
      <c r="X37">
        <f t="shared" si="34"/>
        <v>24.13614072801186</v>
      </c>
      <c r="Y37">
        <f t="shared" si="16"/>
        <v>-52.160218291922781</v>
      </c>
      <c r="Z37">
        <f t="shared" si="35"/>
        <v>127.83978170807723</v>
      </c>
      <c r="AC37">
        <v>1</v>
      </c>
      <c r="AD37">
        <f t="shared" si="17"/>
        <v>0.43580173240799996</v>
      </c>
      <c r="AE37">
        <f t="shared" si="18"/>
        <v>-6.1610018372560796E-7</v>
      </c>
      <c r="AF37">
        <f t="shared" si="19"/>
        <v>6.5502206752500005E-5</v>
      </c>
      <c r="AG37">
        <f t="shared" si="36"/>
        <v>6509.0665078551401</v>
      </c>
      <c r="AH37">
        <f t="shared" si="37"/>
        <v>-15327.884156102145</v>
      </c>
      <c r="AJ37">
        <f t="shared" si="20"/>
        <v>18000</v>
      </c>
      <c r="AK37">
        <f t="shared" si="21"/>
        <v>209.00387581919998</v>
      </c>
      <c r="AL37">
        <v>1</v>
      </c>
      <c r="AM37">
        <f t="shared" si="22"/>
        <v>0.38483253325440003</v>
      </c>
      <c r="AN37">
        <f t="shared" si="38"/>
        <v>15748.186782621724</v>
      </c>
      <c r="AO37">
        <f t="shared" si="39"/>
        <v>-5851.4107379005773</v>
      </c>
      <c r="AQ37">
        <f t="shared" si="23"/>
        <v>1000</v>
      </c>
      <c r="AR37">
        <f t="shared" si="24"/>
        <v>-3000</v>
      </c>
      <c r="AT37">
        <f t="shared" si="52"/>
        <v>-39474585.960451297</v>
      </c>
      <c r="AU37">
        <f t="shared" si="53"/>
        <v>-34855083.679667562</v>
      </c>
      <c r="AV37">
        <f t="shared" si="42"/>
        <v>-2.4182634927055582</v>
      </c>
      <c r="AW37">
        <f t="shared" si="25"/>
        <v>-1779961.1033738796</v>
      </c>
      <c r="AX37">
        <f t="shared" si="26"/>
        <v>-53200604.304175094</v>
      </c>
      <c r="AY37">
        <f t="shared" si="50"/>
        <v>-1.6042413864063754</v>
      </c>
      <c r="BA37">
        <f t="shared" si="27"/>
        <v>0.98929271241782479</v>
      </c>
      <c r="BB37">
        <f t="shared" si="43"/>
        <v>-9.3503802448216433E-2</v>
      </c>
      <c r="BC37">
        <f t="shared" si="44"/>
        <v>-0.81402210629918281</v>
      </c>
      <c r="BD37">
        <f t="shared" si="28"/>
        <v>-226.64003117458685</v>
      </c>
      <c r="BF37">
        <f t="shared" si="29"/>
        <v>24.119203871308642</v>
      </c>
      <c r="BG37">
        <f t="shared" si="30"/>
        <v>-52.192107332653748</v>
      </c>
      <c r="BH37">
        <f t="shared" si="45"/>
        <v>127.80789266734625</v>
      </c>
      <c r="BI37">
        <f t="shared" si="46"/>
        <v>127.80789266734625</v>
      </c>
      <c r="BJ37">
        <f t="shared" si="31"/>
        <v>0</v>
      </c>
      <c r="BK37">
        <f t="shared" si="47"/>
        <v>0</v>
      </c>
      <c r="BM37">
        <f t="shared" si="48"/>
        <v>24.21270767375686</v>
      </c>
      <c r="BN37">
        <f t="shared" si="32"/>
        <v>-5.5520761580669067</v>
      </c>
      <c r="BQ37" s="56">
        <f t="shared" si="49"/>
        <v>16.80845699783692</v>
      </c>
      <c r="BR37" s="58"/>
      <c r="BS37" s="58"/>
      <c r="BT37" s="58">
        <v>186.209</v>
      </c>
      <c r="BU37" s="58">
        <v>29.901800000000001</v>
      </c>
      <c r="BV37" s="58">
        <v>-265.37959999999998</v>
      </c>
      <c r="BW37" s="61"/>
      <c r="BY37" s="58"/>
      <c r="BZ37" s="58"/>
      <c r="CA37" s="58"/>
      <c r="CC37" s="58"/>
    </row>
    <row r="38" spans="1:81" x14ac:dyDescent="0.25">
      <c r="A38">
        <f t="shared" ref="A38:A101" si="54">A37+500</f>
        <v>2000</v>
      </c>
      <c r="B38">
        <f t="shared" si="33"/>
        <v>2</v>
      </c>
      <c r="C38">
        <f t="shared" si="0"/>
        <v>1.0001375649272986</v>
      </c>
      <c r="D38">
        <f t="shared" si="1"/>
        <v>1.65860880896395E-2</v>
      </c>
      <c r="F38">
        <f t="shared" si="2"/>
        <v>1.1622805215918324</v>
      </c>
      <c r="G38">
        <f t="shared" si="3"/>
        <v>-0.15683486841522537</v>
      </c>
      <c r="H38">
        <f t="shared" si="4"/>
        <v>-0.15683486841522537</v>
      </c>
      <c r="J38">
        <f t="shared" si="5"/>
        <v>15</v>
      </c>
      <c r="M38">
        <f t="shared" si="6"/>
        <v>0.63611088438751551</v>
      </c>
      <c r="N38">
        <f t="shared" si="7"/>
        <v>-1.5707963250000001</v>
      </c>
      <c r="O38">
        <f t="shared" si="8"/>
        <v>1.1565643758571726</v>
      </c>
      <c r="P38">
        <f t="shared" si="9"/>
        <v>0.52638331510784042</v>
      </c>
      <c r="Q38">
        <f t="shared" si="10"/>
        <v>1.1239581476201752</v>
      </c>
      <c r="R38">
        <f t="shared" si="11"/>
        <v>0.47408055339590927</v>
      </c>
      <c r="S38">
        <f t="shared" si="12"/>
        <v>0.99988017895989367</v>
      </c>
      <c r="T38">
        <f t="shared" si="13"/>
        <v>-1.548053184033414E-2</v>
      </c>
      <c r="U38">
        <f t="shared" si="14"/>
        <v>0.99992137021899907</v>
      </c>
      <c r="V38">
        <f t="shared" si="15"/>
        <v>-1.254039963182494E-2</v>
      </c>
      <c r="X38">
        <f t="shared" si="34"/>
        <v>23.176570910568831</v>
      </c>
      <c r="Y38">
        <f t="shared" si="16"/>
        <v>-42.318787030813553</v>
      </c>
      <c r="Z38">
        <f t="shared" si="35"/>
        <v>137.68121296918645</v>
      </c>
      <c r="AC38">
        <v>1</v>
      </c>
      <c r="AD38">
        <f t="shared" si="17"/>
        <v>0.58106897654400003</v>
      </c>
      <c r="AE38">
        <f t="shared" si="18"/>
        <v>-1.0952892155121918E-6</v>
      </c>
      <c r="AF38">
        <f t="shared" si="19"/>
        <v>8.7336275670000003E-5</v>
      </c>
      <c r="AG38">
        <f t="shared" si="36"/>
        <v>6508.6186947967753</v>
      </c>
      <c r="AH38">
        <f t="shared" si="37"/>
        <v>-11531.620877328531</v>
      </c>
      <c r="AJ38">
        <f t="shared" si="20"/>
        <v>18000</v>
      </c>
      <c r="AK38">
        <f t="shared" si="21"/>
        <v>278.67183442560003</v>
      </c>
      <c r="AL38">
        <v>1</v>
      </c>
      <c r="AM38">
        <f t="shared" si="22"/>
        <v>0.51311004433920004</v>
      </c>
      <c r="AN38">
        <f t="shared" si="38"/>
        <v>14361.789767212847</v>
      </c>
      <c r="AO38">
        <f t="shared" si="39"/>
        <v>-7090.5067498192529</v>
      </c>
      <c r="AQ38">
        <f t="shared" si="23"/>
        <v>588.23529411764707</v>
      </c>
      <c r="AR38">
        <f t="shared" si="24"/>
        <v>-2352.9411764705883</v>
      </c>
      <c r="AT38">
        <f t="shared" si="52"/>
        <v>-23304626.361480791</v>
      </c>
      <c r="AU38">
        <f t="shared" si="53"/>
        <v>-22097703.327362135</v>
      </c>
      <c r="AV38">
        <f t="shared" si="42"/>
        <v>-2.3827710749869135</v>
      </c>
      <c r="AW38">
        <f t="shared" si="25"/>
        <v>-8211066.408560792</v>
      </c>
      <c r="AX38">
        <f t="shared" si="26"/>
        <v>-38045190.081157506</v>
      </c>
      <c r="AY38">
        <f t="shared" si="50"/>
        <v>-1.7833599795620794</v>
      </c>
      <c r="BA38">
        <f t="shared" si="27"/>
        <v>0.82514553853473249</v>
      </c>
      <c r="BB38">
        <f t="shared" si="43"/>
        <v>-1.669388883351882</v>
      </c>
      <c r="BC38">
        <f t="shared" si="44"/>
        <v>-0.59941109542483417</v>
      </c>
      <c r="BD38">
        <f t="shared" si="28"/>
        <v>-214.34372600039987</v>
      </c>
      <c r="BF38">
        <f t="shared" si="29"/>
        <v>23.159850281705992</v>
      </c>
      <c r="BG38">
        <f t="shared" si="30"/>
        <v>-42.379389204095439</v>
      </c>
      <c r="BH38">
        <f t="shared" si="45"/>
        <v>137.62061079590455</v>
      </c>
      <c r="BI38">
        <f t="shared" si="46"/>
        <v>137.62061079590455</v>
      </c>
      <c r="BJ38">
        <f t="shared" si="31"/>
        <v>0</v>
      </c>
      <c r="BK38">
        <f t="shared" si="47"/>
        <v>0</v>
      </c>
      <c r="BM38">
        <f t="shared" si="48"/>
        <v>24.829239165057871</v>
      </c>
      <c r="BN38">
        <f t="shared" si="32"/>
        <v>-8.0356632036955702</v>
      </c>
      <c r="BQ38" s="56">
        <f t="shared" si="49"/>
        <v>15.232571916933255</v>
      </c>
      <c r="BR38" s="58"/>
      <c r="BS38" s="58"/>
      <c r="BT38" s="58">
        <v>190.54599999999999</v>
      </c>
      <c r="BU38" s="58">
        <v>29.566700000000001</v>
      </c>
      <c r="BV38" s="58">
        <v>-265.89449999999999</v>
      </c>
      <c r="BW38" s="61"/>
      <c r="BY38" s="58"/>
      <c r="BZ38" s="58"/>
      <c r="CA38" s="58"/>
      <c r="CC38" s="58"/>
    </row>
    <row r="39" spans="1:81" x14ac:dyDescent="0.25">
      <c r="A39">
        <f t="shared" si="54"/>
        <v>2500</v>
      </c>
      <c r="B39">
        <f t="shared" si="33"/>
        <v>2.5</v>
      </c>
      <c r="C39">
        <f t="shared" si="0"/>
        <v>1.0002149368844324</v>
      </c>
      <c r="D39">
        <f t="shared" si="1"/>
        <v>2.0731540862744903E-2</v>
      </c>
      <c r="F39">
        <f t="shared" si="2"/>
        <v>1.2815151061944223</v>
      </c>
      <c r="G39">
        <f t="shared" si="3"/>
        <v>-0.21696831958503845</v>
      </c>
      <c r="H39">
        <f t="shared" si="4"/>
        <v>-0.21696831958503845</v>
      </c>
      <c r="J39">
        <f t="shared" si="5"/>
        <v>15</v>
      </c>
      <c r="M39">
        <f t="shared" si="6"/>
        <v>0.50888870751001236</v>
      </c>
      <c r="N39">
        <f t="shared" si="7"/>
        <v>-1.5707963250000001</v>
      </c>
      <c r="O39">
        <f t="shared" si="8"/>
        <v>1.2359467243662672</v>
      </c>
      <c r="P39">
        <f t="shared" si="9"/>
        <v>0.62818348757289599</v>
      </c>
      <c r="Q39">
        <f t="shared" si="10"/>
        <v>1.1880143081010324</v>
      </c>
      <c r="R39">
        <f t="shared" si="11"/>
        <v>0.57029693214738097</v>
      </c>
      <c r="S39">
        <f t="shared" si="12"/>
        <v>0.99981279854974536</v>
      </c>
      <c r="T39">
        <f t="shared" si="13"/>
        <v>-1.9349795413744292E-2</v>
      </c>
      <c r="U39">
        <f t="shared" si="14"/>
        <v>0.99987714911731618</v>
      </c>
      <c r="V39">
        <f t="shared" si="15"/>
        <v>-1.5675037362379522E-2</v>
      </c>
      <c r="X39">
        <f t="shared" si="34"/>
        <v>23.144357914786561</v>
      </c>
      <c r="Y39">
        <f t="shared" si="16"/>
        <v>-34.582444359890289</v>
      </c>
      <c r="Z39">
        <f t="shared" si="35"/>
        <v>145.4175556401097</v>
      </c>
      <c r="AC39">
        <v>1</v>
      </c>
      <c r="AD39">
        <f t="shared" si="17"/>
        <v>0.72633622068000003</v>
      </c>
      <c r="AE39">
        <f t="shared" si="18"/>
        <v>-1.7113893992377996E-6</v>
      </c>
      <c r="AF39">
        <f t="shared" si="19"/>
        <v>1.091703445875E-4</v>
      </c>
      <c r="AG39">
        <f t="shared" si="36"/>
        <v>6508.0430256824484</v>
      </c>
      <c r="AH39">
        <f t="shared" si="37"/>
        <v>-9262.0189087477847</v>
      </c>
      <c r="AJ39">
        <f t="shared" si="20"/>
        <v>18000</v>
      </c>
      <c r="AK39">
        <f t="shared" si="21"/>
        <v>348.33979303199999</v>
      </c>
      <c r="AL39">
        <v>1</v>
      </c>
      <c r="AM39">
        <f t="shared" si="22"/>
        <v>0.64138755542399994</v>
      </c>
      <c r="AN39">
        <f t="shared" si="38"/>
        <v>12911.793195510412</v>
      </c>
      <c r="AO39">
        <f t="shared" si="39"/>
        <v>-7933.12368077666</v>
      </c>
      <c r="AQ39">
        <f t="shared" si="23"/>
        <v>384.61538461538464</v>
      </c>
      <c r="AR39">
        <f t="shared" si="24"/>
        <v>-1923.0769230769231</v>
      </c>
      <c r="AT39">
        <f t="shared" si="52"/>
        <v>-15308481.353098644</v>
      </c>
      <c r="AU39">
        <f t="shared" si="53"/>
        <v>-16077782.321984626</v>
      </c>
      <c r="AV39">
        <f t="shared" si="42"/>
        <v>-2.3316886435293958</v>
      </c>
      <c r="AW39">
        <f t="shared" si="25"/>
        <v>-10267361.465000145</v>
      </c>
      <c r="AX39">
        <f t="shared" si="26"/>
        <v>-27949895.799680464</v>
      </c>
      <c r="AY39">
        <f t="shared" si="50"/>
        <v>-1.9228423057150938</v>
      </c>
      <c r="BA39">
        <f t="shared" si="27"/>
        <v>0.74556825291474527</v>
      </c>
      <c r="BB39">
        <f t="shared" si="43"/>
        <v>-2.5502518595805199</v>
      </c>
      <c r="BC39">
        <f t="shared" si="44"/>
        <v>-0.40884633781430191</v>
      </c>
      <c r="BD39">
        <f t="shared" si="28"/>
        <v>-203.42516965290656</v>
      </c>
      <c r="BF39">
        <f t="shared" si="29"/>
        <v>23.127914637188532</v>
      </c>
      <c r="BG39">
        <f t="shared" si="30"/>
        <v>-34.668708871784247</v>
      </c>
      <c r="BH39">
        <f t="shared" si="45"/>
        <v>145.33129112821575</v>
      </c>
      <c r="BI39">
        <f t="shared" si="46"/>
        <v>145.33129112821575</v>
      </c>
      <c r="BJ39">
        <f t="shared" si="31"/>
        <v>0</v>
      </c>
      <c r="BK39">
        <f t="shared" si="47"/>
        <v>0</v>
      </c>
      <c r="BM39">
        <f t="shared" si="48"/>
        <v>25.678166496769059</v>
      </c>
      <c r="BN39">
        <f t="shared" si="32"/>
        <v>-11.243539218877673</v>
      </c>
      <c r="BQ39" s="56">
        <f t="shared" si="49"/>
        <v>14.351708940704615</v>
      </c>
      <c r="BR39" s="58"/>
      <c r="BS39" s="58"/>
      <c r="BT39" s="58">
        <v>194.98400000000001</v>
      </c>
      <c r="BU39" s="58">
        <v>29.685600000000001</v>
      </c>
      <c r="BV39" s="58">
        <v>-265.6327</v>
      </c>
      <c r="BW39" s="61"/>
      <c r="BY39" s="58"/>
      <c r="BZ39" s="58"/>
      <c r="CA39" s="58"/>
      <c r="CC39" s="58"/>
    </row>
    <row r="40" spans="1:81" x14ac:dyDescent="0.25">
      <c r="A40">
        <f t="shared" si="54"/>
        <v>3000</v>
      </c>
      <c r="B40">
        <f t="shared" si="33"/>
        <v>3</v>
      </c>
      <c r="C40">
        <f t="shared" si="0"/>
        <v>1.0003094944826274</v>
      </c>
      <c r="D40">
        <f t="shared" si="1"/>
        <v>2.4876281126434467E-2</v>
      </c>
      <c r="F40">
        <f t="shared" si="2"/>
        <v>1.4597165039798683</v>
      </c>
      <c r="G40">
        <f t="shared" si="3"/>
        <v>-0.29866579417699635</v>
      </c>
      <c r="H40">
        <f t="shared" si="4"/>
        <v>-0.29866579417699635</v>
      </c>
      <c r="J40">
        <f t="shared" si="5"/>
        <v>15</v>
      </c>
      <c r="M40">
        <f t="shared" si="6"/>
        <v>0.42407392292501039</v>
      </c>
      <c r="N40">
        <f t="shared" si="7"/>
        <v>-1.5707963250000001</v>
      </c>
      <c r="O40">
        <f t="shared" si="8"/>
        <v>1.3265340553032388</v>
      </c>
      <c r="P40">
        <f t="shared" si="9"/>
        <v>0.71690305715536018</v>
      </c>
      <c r="Q40">
        <f t="shared" si="10"/>
        <v>1.2618971093571756</v>
      </c>
      <c r="R40">
        <f t="shared" si="11"/>
        <v>0.65596841745619772</v>
      </c>
      <c r="S40">
        <f t="shared" si="12"/>
        <v>0.99973046321116532</v>
      </c>
      <c r="T40">
        <f t="shared" si="13"/>
        <v>-2.3218479625151511E-2</v>
      </c>
      <c r="U40">
        <f t="shared" si="14"/>
        <v>0.99982310907081551</v>
      </c>
      <c r="V40">
        <f t="shared" si="15"/>
        <v>-1.8809367054601876E-2</v>
      </c>
      <c r="X40">
        <f t="shared" si="34"/>
        <v>23.82968363446329</v>
      </c>
      <c r="Y40">
        <f t="shared" si="16"/>
        <v>-29.435260431162629</v>
      </c>
      <c r="Z40">
        <f t="shared" si="35"/>
        <v>150.56473956883738</v>
      </c>
      <c r="AA40">
        <f>20*LOG(7)</f>
        <v>16.901960800285135</v>
      </c>
      <c r="AC40">
        <v>1</v>
      </c>
      <c r="AD40">
        <f t="shared" si="17"/>
        <v>0.87160346481599993</v>
      </c>
      <c r="AE40">
        <f t="shared" si="18"/>
        <v>-2.4644007349024318E-6</v>
      </c>
      <c r="AF40">
        <f t="shared" si="19"/>
        <v>1.3100441350500001E-4</v>
      </c>
      <c r="AG40">
        <f t="shared" si="36"/>
        <v>6507.3395683745675</v>
      </c>
      <c r="AH40">
        <f t="shared" si="37"/>
        <v>-7755.743987783917</v>
      </c>
      <c r="AJ40">
        <f t="shared" si="20"/>
        <v>18000</v>
      </c>
      <c r="AK40">
        <f t="shared" si="21"/>
        <v>418.00775163839995</v>
      </c>
      <c r="AL40">
        <v>1</v>
      </c>
      <c r="AM40">
        <f t="shared" si="22"/>
        <v>0.76966506650880007</v>
      </c>
      <c r="AN40">
        <f t="shared" si="38"/>
        <v>11505.844283904746</v>
      </c>
      <c r="AO40">
        <f t="shared" si="39"/>
        <v>-8437.6386543730441</v>
      </c>
      <c r="AQ40">
        <f t="shared" si="23"/>
        <v>270.27027027027026</v>
      </c>
      <c r="AR40">
        <f t="shared" si="24"/>
        <v>-1621.6216216216217</v>
      </c>
      <c r="AT40">
        <f t="shared" si="52"/>
        <v>-10818141.71846728</v>
      </c>
      <c r="AU40">
        <f t="shared" si="53"/>
        <v>-12648589.567035493</v>
      </c>
      <c r="AV40">
        <f t="shared" si="42"/>
        <v>-2.2783502860744083</v>
      </c>
      <c r="AW40">
        <f t="shared" si="25"/>
        <v>-10552139.868433105</v>
      </c>
      <c r="AX40">
        <f t="shared" si="26"/>
        <v>-20997804.818187438</v>
      </c>
      <c r="AY40">
        <f t="shared" si="50"/>
        <v>-2.0364701838075541</v>
      </c>
      <c r="BA40">
        <f t="shared" si="27"/>
        <v>0.70824705079197969</v>
      </c>
      <c r="BB40">
        <f t="shared" si="43"/>
        <v>-2.9963045049450239</v>
      </c>
      <c r="BC40">
        <f t="shared" si="44"/>
        <v>-0.24188010226685419</v>
      </c>
      <c r="BD40">
        <f t="shared" si="28"/>
        <v>-193.85870902391937</v>
      </c>
      <c r="BF40">
        <f t="shared" si="29"/>
        <v>23.813578861383156</v>
      </c>
      <c r="BG40">
        <f t="shared" si="30"/>
        <v>-29.545692614583523</v>
      </c>
      <c r="BH40">
        <f t="shared" si="45"/>
        <v>150.45430738541648</v>
      </c>
      <c r="BI40">
        <f t="shared" si="46"/>
        <v>150.45430738541648</v>
      </c>
      <c r="BJ40">
        <f t="shared" si="31"/>
        <v>0</v>
      </c>
      <c r="BK40">
        <f t="shared" si="47"/>
        <v>0</v>
      </c>
      <c r="BM40">
        <f t="shared" si="48"/>
        <v>26.809883366328183</v>
      </c>
      <c r="BN40">
        <f t="shared" si="32"/>
        <v>-15.686983590664161</v>
      </c>
      <c r="BQ40" s="56">
        <f t="shared" si="49"/>
        <v>13.905656295340112</v>
      </c>
      <c r="BR40" s="58"/>
      <c r="BS40" s="58"/>
      <c r="BT40" s="58">
        <v>199.52600000000001</v>
      </c>
      <c r="BU40" s="58">
        <v>29.050999999999998</v>
      </c>
      <c r="BV40" s="58">
        <v>-267.80150000000003</v>
      </c>
      <c r="BW40" s="61"/>
      <c r="BY40" s="58"/>
      <c r="BZ40" s="58"/>
      <c r="CA40" s="58"/>
      <c r="CC40" s="58"/>
    </row>
    <row r="41" spans="1:81" x14ac:dyDescent="0.25">
      <c r="A41">
        <f t="shared" si="54"/>
        <v>3500</v>
      </c>
      <c r="B41">
        <f t="shared" si="33"/>
        <v>3.5</v>
      </c>
      <c r="C41">
        <f t="shared" si="0"/>
        <v>1.000421232848838</v>
      </c>
      <c r="D41">
        <f t="shared" si="1"/>
        <v>2.9020166702062065E-2</v>
      </c>
      <c r="F41">
        <f t="shared" si="2"/>
        <v>1.7302676709784499</v>
      </c>
      <c r="G41">
        <f t="shared" si="3"/>
        <v>-0.41907164099009242</v>
      </c>
      <c r="H41">
        <f t="shared" si="4"/>
        <v>-0.41907164099009242</v>
      </c>
      <c r="J41">
        <f t="shared" si="5"/>
        <v>15</v>
      </c>
      <c r="M41">
        <f t="shared" si="6"/>
        <v>0.36349193393572315</v>
      </c>
      <c r="N41">
        <f t="shared" si="7"/>
        <v>-1.5707963250000001</v>
      </c>
      <c r="O41">
        <f t="shared" si="8"/>
        <v>1.4261928476628056</v>
      </c>
      <c r="P41">
        <f t="shared" si="9"/>
        <v>0.79376276278087443</v>
      </c>
      <c r="Q41">
        <f t="shared" si="10"/>
        <v>1.3439869317279236</v>
      </c>
      <c r="R41">
        <f t="shared" si="11"/>
        <v>0.7316772407516029</v>
      </c>
      <c r="S41">
        <f t="shared" si="12"/>
        <v>0.99963318403098311</v>
      </c>
      <c r="T41">
        <f t="shared" si="13"/>
        <v>-2.7086468831134098E-2</v>
      </c>
      <c r="U41">
        <f t="shared" si="14"/>
        <v>0.99975925485644379</v>
      </c>
      <c r="V41">
        <f t="shared" si="15"/>
        <v>-2.1943327180730474E-2</v>
      </c>
      <c r="X41">
        <f t="shared" si="34"/>
        <v>25.143832576250865</v>
      </c>
      <c r="Y41">
        <f t="shared" si="16"/>
        <v>-27.756229477470669</v>
      </c>
      <c r="Z41">
        <f t="shared" si="35"/>
        <v>152.24377052252933</v>
      </c>
      <c r="AC41">
        <v>1</v>
      </c>
      <c r="AD41">
        <f t="shared" si="17"/>
        <v>1.0168707089519999</v>
      </c>
      <c r="AE41">
        <f t="shared" si="18"/>
        <v>-3.3543232225060873E-6</v>
      </c>
      <c r="AF41">
        <f t="shared" si="19"/>
        <v>1.5283848242250001E-4</v>
      </c>
      <c r="AG41">
        <f t="shared" si="36"/>
        <v>6506.5084057753347</v>
      </c>
      <c r="AH41">
        <f t="shared" si="37"/>
        <v>-6685.6521737649509</v>
      </c>
      <c r="AJ41">
        <f t="shared" si="20"/>
        <v>18000</v>
      </c>
      <c r="AK41">
        <f t="shared" si="21"/>
        <v>487.67571024479992</v>
      </c>
      <c r="AL41">
        <v>1</v>
      </c>
      <c r="AM41">
        <f t="shared" si="22"/>
        <v>0.89794257759359997</v>
      </c>
      <c r="AN41">
        <f t="shared" si="38"/>
        <v>10207.54906527919</v>
      </c>
      <c r="AO41">
        <f t="shared" si="39"/>
        <v>-8678.1172083451384</v>
      </c>
      <c r="AQ41">
        <f t="shared" si="23"/>
        <v>200</v>
      </c>
      <c r="AR41">
        <f t="shared" si="24"/>
        <v>-1400</v>
      </c>
      <c r="AT41">
        <f t="shared" si="52"/>
        <v>-8058611.3621158637</v>
      </c>
      <c r="AU41">
        <f t="shared" si="53"/>
        <v>-10446242.202838458</v>
      </c>
      <c r="AV41">
        <f t="shared" si="42"/>
        <v>-2.2278761633854849</v>
      </c>
      <c r="AW41">
        <f t="shared" si="25"/>
        <v>-10088632.893958038</v>
      </c>
      <c r="AX41">
        <f t="shared" si="26"/>
        <v>-16078795.205927132</v>
      </c>
      <c r="AY41">
        <f t="shared" si="50"/>
        <v>-2.1311551808245675</v>
      </c>
      <c r="BA41">
        <f t="shared" si="27"/>
        <v>0.69505458730181269</v>
      </c>
      <c r="BB41">
        <f t="shared" si="43"/>
        <v>-3.1596217201976828</v>
      </c>
      <c r="BC41">
        <f t="shared" si="44"/>
        <v>-9.6720982560917435E-2</v>
      </c>
      <c r="BD41">
        <f t="shared" si="28"/>
        <v>-185.54170409743134</v>
      </c>
      <c r="BF41">
        <f t="shared" si="29"/>
        <v>25.128127339038077</v>
      </c>
      <c r="BG41">
        <f t="shared" si="30"/>
        <v>-27.890007392527668</v>
      </c>
      <c r="BH41">
        <f t="shared" si="45"/>
        <v>152.10999260747232</v>
      </c>
      <c r="BI41">
        <f t="shared" si="46"/>
        <v>152.10999260747232</v>
      </c>
      <c r="BJ41">
        <f t="shared" si="31"/>
        <v>0</v>
      </c>
      <c r="BK41">
        <f t="shared" si="47"/>
        <v>0</v>
      </c>
      <c r="BM41">
        <f t="shared" si="48"/>
        <v>28.287749059235765</v>
      </c>
      <c r="BN41">
        <f t="shared" si="32"/>
        <v>-22.348303295096343</v>
      </c>
      <c r="BQ41" s="56">
        <f t="shared" si="49"/>
        <v>13.742339080087454</v>
      </c>
      <c r="BR41" s="58"/>
      <c r="BS41" s="58"/>
      <c r="BT41" s="58">
        <v>204.17400000000001</v>
      </c>
      <c r="BU41" s="58">
        <v>28.424299999999999</v>
      </c>
      <c r="BV41" s="58">
        <v>-264.16840000000002</v>
      </c>
      <c r="BW41" s="61"/>
      <c r="BY41" s="58"/>
      <c r="BZ41" s="58"/>
      <c r="CA41" s="58"/>
      <c r="CC41" s="58"/>
    </row>
    <row r="42" spans="1:81" x14ac:dyDescent="0.25">
      <c r="A42">
        <f t="shared" si="54"/>
        <v>4000</v>
      </c>
      <c r="B42">
        <f t="shared" si="33"/>
        <v>4</v>
      </c>
      <c r="C42">
        <f t="shared" si="0"/>
        <v>1.0005501462269775</v>
      </c>
      <c r="D42">
        <f t="shared" si="1"/>
        <v>3.3163055587017043E-2</v>
      </c>
      <c r="F42">
        <f t="shared" si="2"/>
        <v>2.1423876761836054</v>
      </c>
      <c r="G42">
        <f t="shared" si="3"/>
        <v>-0.61359234359593628</v>
      </c>
      <c r="H42">
        <f t="shared" si="4"/>
        <v>-0.61359234359593628</v>
      </c>
      <c r="J42">
        <f t="shared" si="5"/>
        <v>15</v>
      </c>
      <c r="M42">
        <f t="shared" si="6"/>
        <v>0.31805544219375775</v>
      </c>
      <c r="N42">
        <f t="shared" si="7"/>
        <v>-1.5707963250000001</v>
      </c>
      <c r="O42">
        <f t="shared" si="8"/>
        <v>1.5331551200082678</v>
      </c>
      <c r="P42">
        <f t="shared" si="9"/>
        <v>0.86024771197234973</v>
      </c>
      <c r="Q42">
        <f t="shared" si="10"/>
        <v>1.4328739199270475</v>
      </c>
      <c r="R42">
        <f t="shared" si="11"/>
        <v>0.79833783634834055</v>
      </c>
      <c r="S42">
        <f t="shared" si="12"/>
        <v>0.99952097410200857</v>
      </c>
      <c r="T42">
        <f t="shared" si="13"/>
        <v>-3.0953647512997805E-2</v>
      </c>
      <c r="U42">
        <f t="shared" si="14"/>
        <v>0.99968559211691177</v>
      </c>
      <c r="V42">
        <f t="shared" si="15"/>
        <v>-2.5076856256549301E-2</v>
      </c>
      <c r="X42">
        <f t="shared" si="34"/>
        <v>27.023608638098761</v>
      </c>
      <c r="Y42">
        <f t="shared" si="16"/>
        <v>-31.436507951595729</v>
      </c>
      <c r="Z42">
        <f t="shared" si="35"/>
        <v>148.56349204840427</v>
      </c>
      <c r="AC42">
        <v>1</v>
      </c>
      <c r="AD42">
        <f t="shared" si="17"/>
        <v>1.1621379530880001</v>
      </c>
      <c r="AE42">
        <f t="shared" si="18"/>
        <v>-4.3811568620487672E-6</v>
      </c>
      <c r="AF42">
        <f t="shared" si="19"/>
        <v>1.7467255134000001E-4</v>
      </c>
      <c r="AG42">
        <f t="shared" si="36"/>
        <v>6505.5496358023156</v>
      </c>
      <c r="AH42">
        <f t="shared" si="37"/>
        <v>-5888.1708977062799</v>
      </c>
      <c r="AJ42">
        <f t="shared" si="20"/>
        <v>18000</v>
      </c>
      <c r="AK42">
        <f t="shared" si="21"/>
        <v>557.34366885120005</v>
      </c>
      <c r="AL42">
        <v>1</v>
      </c>
      <c r="AM42">
        <f t="shared" si="22"/>
        <v>1.0262200886784001</v>
      </c>
      <c r="AN42">
        <f t="shared" si="38"/>
        <v>9045.69040540489</v>
      </c>
      <c r="AO42">
        <f t="shared" si="39"/>
        <v>-8725.5255411407579</v>
      </c>
      <c r="AQ42">
        <f t="shared" si="23"/>
        <v>153.84615384615384</v>
      </c>
      <c r="AR42">
        <f t="shared" si="24"/>
        <v>-1230.7692307692307</v>
      </c>
      <c r="AT42">
        <f t="shared" si="52"/>
        <v>-6246125.7762842961</v>
      </c>
      <c r="AU42">
        <f t="shared" si="53"/>
        <v>-8912702.7667884305</v>
      </c>
      <c r="AV42">
        <f t="shared" si="42"/>
        <v>-2.1820668033272312</v>
      </c>
      <c r="AW42">
        <f t="shared" si="25"/>
        <v>-9329681.8745476101</v>
      </c>
      <c r="AX42">
        <f t="shared" si="26"/>
        <v>-12523014.921263382</v>
      </c>
      <c r="AY42">
        <f t="shared" si="50"/>
        <v>-2.2110915843509868</v>
      </c>
      <c r="BA42">
        <f t="shared" si="27"/>
        <v>0.69693136249362064</v>
      </c>
      <c r="BB42">
        <f t="shared" si="43"/>
        <v>-3.1361998285159371</v>
      </c>
      <c r="BC42">
        <f t="shared" si="44"/>
        <v>2.9024781023755608E-2</v>
      </c>
      <c r="BD42">
        <f t="shared" si="28"/>
        <v>-178.33700254414714</v>
      </c>
      <c r="BF42">
        <f t="shared" si="29"/>
        <v>27.008363777064123</v>
      </c>
      <c r="BG42">
        <f t="shared" si="30"/>
        <v>-31.593151090842234</v>
      </c>
      <c r="BH42">
        <f t="shared" si="45"/>
        <v>148.40684890915776</v>
      </c>
      <c r="BI42">
        <f t="shared" si="46"/>
        <v>148.40684890915776</v>
      </c>
      <c r="BJ42">
        <f t="shared" si="31"/>
        <v>0</v>
      </c>
      <c r="BK42">
        <f t="shared" si="47"/>
        <v>0</v>
      </c>
      <c r="BM42">
        <f t="shared" si="48"/>
        <v>30.144563605580057</v>
      </c>
      <c r="BN42">
        <f t="shared" si="32"/>
        <v>-33.25614854669508</v>
      </c>
      <c r="BQ42" s="56">
        <f t="shared" si="49"/>
        <v>13.7657609717692</v>
      </c>
      <c r="BR42" s="58"/>
      <c r="BS42" s="58"/>
      <c r="BT42" s="58">
        <v>208.93</v>
      </c>
      <c r="BU42" s="58">
        <v>28.510899999999999</v>
      </c>
      <c r="BV42" s="58">
        <v>-267.69110000000001</v>
      </c>
      <c r="BW42" s="61"/>
      <c r="BY42" s="58"/>
      <c r="BZ42" s="58"/>
      <c r="CA42" s="58"/>
      <c r="CC42" s="58"/>
    </row>
    <row r="43" spans="1:81" x14ac:dyDescent="0.25">
      <c r="A43">
        <f t="shared" si="54"/>
        <v>4500</v>
      </c>
      <c r="B43">
        <f t="shared" si="33"/>
        <v>4.5</v>
      </c>
      <c r="C43">
        <f t="shared" si="0"/>
        <v>1.0006962279794012</v>
      </c>
      <c r="D43">
        <f t="shared" si="1"/>
        <v>3.7304805983834136E-2</v>
      </c>
      <c r="F43">
        <f t="shared" si="2"/>
        <v>2.6919444816562246</v>
      </c>
      <c r="G43">
        <f t="shared" si="3"/>
        <v>-0.95092169001695304</v>
      </c>
      <c r="H43">
        <f t="shared" si="4"/>
        <v>-0.95092169001695304</v>
      </c>
      <c r="J43">
        <f t="shared" si="5"/>
        <v>15</v>
      </c>
      <c r="M43">
        <f t="shared" si="6"/>
        <v>0.2827159486166736</v>
      </c>
      <c r="N43">
        <f t="shared" si="7"/>
        <v>-1.5707963250000001</v>
      </c>
      <c r="O43">
        <f t="shared" si="8"/>
        <v>1.6459976761005242</v>
      </c>
      <c r="P43">
        <f t="shared" si="9"/>
        <v>0.91784373850614032</v>
      </c>
      <c r="Q43">
        <f t="shared" si="10"/>
        <v>1.5273718302558124</v>
      </c>
      <c r="R43">
        <f t="shared" si="11"/>
        <v>0.85698496542223601</v>
      </c>
      <c r="S43">
        <f t="shared" si="12"/>
        <v>0.99939384851814217</v>
      </c>
      <c r="T43">
        <f t="shared" si="13"/>
        <v>-3.4819900297422199E-2</v>
      </c>
      <c r="U43">
        <f t="shared" si="14"/>
        <v>0.99960212735930754</v>
      </c>
      <c r="V43">
        <f t="shared" si="15"/>
        <v>-2.8209892848613034E-2</v>
      </c>
      <c r="X43">
        <f t="shared" si="34"/>
        <v>29.154955343993883</v>
      </c>
      <c r="Y43">
        <f t="shared" si="16"/>
        <v>-44.267538531814431</v>
      </c>
      <c r="Z43">
        <f t="shared" si="35"/>
        <v>135.73246146818556</v>
      </c>
      <c r="AC43">
        <v>1</v>
      </c>
      <c r="AD43">
        <f t="shared" si="17"/>
        <v>1.3074051972239999</v>
      </c>
      <c r="AE43">
        <f t="shared" si="18"/>
        <v>-5.5449016535304713E-6</v>
      </c>
      <c r="AF43">
        <f t="shared" si="19"/>
        <v>1.9650662025749998E-4</v>
      </c>
      <c r="AG43">
        <f t="shared" si="36"/>
        <v>6504.4633713596349</v>
      </c>
      <c r="AH43">
        <f t="shared" si="37"/>
        <v>-5272.4259790613205</v>
      </c>
      <c r="AJ43">
        <f t="shared" si="20"/>
        <v>18000</v>
      </c>
      <c r="AK43">
        <f t="shared" si="21"/>
        <v>627.01162745759996</v>
      </c>
      <c r="AL43">
        <v>1</v>
      </c>
      <c r="AM43">
        <f t="shared" si="22"/>
        <v>1.1544975997632001</v>
      </c>
      <c r="AN43">
        <f t="shared" si="38"/>
        <v>8026.1334297896119</v>
      </c>
      <c r="AO43">
        <f t="shared" si="39"/>
        <v>-8639.1401526136888</v>
      </c>
      <c r="AQ43">
        <f t="shared" si="23"/>
        <v>121.95121951219512</v>
      </c>
      <c r="AR43">
        <f t="shared" si="24"/>
        <v>-1097.560975609756</v>
      </c>
      <c r="AT43">
        <f t="shared" si="52"/>
        <v>-4993581.7609990546</v>
      </c>
      <c r="AU43">
        <f t="shared" si="53"/>
        <v>-7782023.9416217115</v>
      </c>
      <c r="AV43">
        <f t="shared" si="42"/>
        <v>-2.1413015867583702</v>
      </c>
      <c r="AW43">
        <f t="shared" si="25"/>
        <v>-8486668.0437102038</v>
      </c>
      <c r="AX43">
        <f t="shared" si="26"/>
        <v>-9906052.3107067198</v>
      </c>
      <c r="AY43">
        <f t="shared" si="50"/>
        <v>-2.2791761581067456</v>
      </c>
      <c r="BA43">
        <f t="shared" si="27"/>
        <v>0.7088460970838184</v>
      </c>
      <c r="BB43">
        <f t="shared" si="43"/>
        <v>-2.9889609505756547</v>
      </c>
      <c r="BC43">
        <f t="shared" si="44"/>
        <v>0.13787457134837533</v>
      </c>
      <c r="BD43">
        <f t="shared" si="28"/>
        <v>-172.10036895053611</v>
      </c>
      <c r="BF43">
        <f t="shared" si="29"/>
        <v>29.140231461864282</v>
      </c>
      <c r="BG43">
        <f t="shared" si="30"/>
        <v>-44.446760557341456</v>
      </c>
      <c r="BH43">
        <f t="shared" si="45"/>
        <v>135.55323944265854</v>
      </c>
      <c r="BI43">
        <f t="shared" si="46"/>
        <v>135.55323944265854</v>
      </c>
      <c r="BJ43">
        <f t="shared" si="31"/>
        <v>0</v>
      </c>
      <c r="BK43">
        <f t="shared" si="47"/>
        <v>0</v>
      </c>
      <c r="BM43">
        <f t="shared" si="48"/>
        <v>32.129192412439934</v>
      </c>
      <c r="BN43">
        <f t="shared" si="32"/>
        <v>-52.346391606805362</v>
      </c>
      <c r="BQ43" s="56">
        <f t="shared" si="49"/>
        <v>13.912999849709482</v>
      </c>
      <c r="BR43" s="58"/>
      <c r="BS43" s="58"/>
      <c r="BT43" s="58">
        <v>213.79599999999999</v>
      </c>
      <c r="BU43" s="58">
        <v>28.178999999999998</v>
      </c>
      <c r="BV43" s="58">
        <v>-266.9667</v>
      </c>
      <c r="BW43" s="61"/>
      <c r="BY43" s="58"/>
      <c r="BZ43" s="58"/>
      <c r="CA43" s="58"/>
      <c r="CC43" s="58"/>
    </row>
    <row r="44" spans="1:81" x14ac:dyDescent="0.25">
      <c r="A44">
        <f t="shared" si="54"/>
        <v>5000</v>
      </c>
      <c r="B44">
        <f t="shared" si="33"/>
        <v>5</v>
      </c>
      <c r="C44">
        <f t="shared" si="0"/>
        <v>1.0008594705886116</v>
      </c>
      <c r="D44">
        <f t="shared" si="1"/>
        <v>4.1445276329197991E-2</v>
      </c>
      <c r="F44">
        <f t="shared" si="2"/>
        <v>2.964356942948315</v>
      </c>
      <c r="G44">
        <f t="shared" si="3"/>
        <v>-1.4803274831311164</v>
      </c>
      <c r="H44">
        <f t="shared" si="4"/>
        <v>-1.4803274831311164</v>
      </c>
      <c r="J44">
        <f t="shared" si="5"/>
        <v>15</v>
      </c>
      <c r="M44">
        <f t="shared" si="6"/>
        <v>0.25444435375500618</v>
      </c>
      <c r="N44">
        <f t="shared" si="7"/>
        <v>-1.5707963250000001</v>
      </c>
      <c r="O44">
        <f t="shared" si="8"/>
        <v>1.7635921359222551</v>
      </c>
      <c r="P44">
        <f t="shared" si="9"/>
        <v>0.9679073018490455</v>
      </c>
      <c r="Q44">
        <f t="shared" si="10"/>
        <v>1.6265029926228538</v>
      </c>
      <c r="R44">
        <f t="shared" si="11"/>
        <v>0.90864373533694509</v>
      </c>
      <c r="S44">
        <f t="shared" si="12"/>
        <v>0.99925182436874238</v>
      </c>
      <c r="T44">
        <f t="shared" si="13"/>
        <v>-3.8685111977041886E-2</v>
      </c>
      <c r="U44">
        <f t="shared" si="14"/>
        <v>0.99950886795350258</v>
      </c>
      <c r="V44">
        <f t="shared" si="15"/>
        <v>-3.1342375581457235E-2</v>
      </c>
      <c r="X44">
        <f t="shared" si="34"/>
        <v>30.222045970140186</v>
      </c>
      <c r="Y44">
        <f t="shared" si="16"/>
        <v>-68.935702657502972</v>
      </c>
      <c r="Z44">
        <f t="shared" si="35"/>
        <v>111.06429734249703</v>
      </c>
      <c r="AC44">
        <v>1</v>
      </c>
      <c r="AD44">
        <f t="shared" si="17"/>
        <v>1.4526724413600001</v>
      </c>
      <c r="AE44">
        <f t="shared" si="18"/>
        <v>-6.8455575969511986E-6</v>
      </c>
      <c r="AF44">
        <f t="shared" si="19"/>
        <v>2.18340689175E-4</v>
      </c>
      <c r="AG44">
        <f t="shared" si="36"/>
        <v>6503.249740304751</v>
      </c>
      <c r="AH44">
        <f t="shared" si="37"/>
        <v>-4783.8924325618154</v>
      </c>
      <c r="AJ44">
        <f t="shared" si="20"/>
        <v>18000</v>
      </c>
      <c r="AK44">
        <f t="shared" si="21"/>
        <v>696.67958606399998</v>
      </c>
      <c r="AL44">
        <v>1</v>
      </c>
      <c r="AM44">
        <f t="shared" si="22"/>
        <v>1.2827751108479999</v>
      </c>
      <c r="AN44">
        <f t="shared" si="38"/>
        <v>7141.7870492692264</v>
      </c>
      <c r="AO44">
        <f t="shared" si="39"/>
        <v>-8464.6270877151401</v>
      </c>
      <c r="AQ44">
        <f t="shared" si="23"/>
        <v>99.009900990099013</v>
      </c>
      <c r="AR44">
        <f t="shared" si="24"/>
        <v>-990.09900990099015</v>
      </c>
      <c r="AT44">
        <f t="shared" si="52"/>
        <v>-4092641.048050832</v>
      </c>
      <c r="AU44">
        <f t="shared" si="53"/>
        <v>-6912513.8451098353</v>
      </c>
      <c r="AV44">
        <f t="shared" si="42"/>
        <v>-2.1053590748310427</v>
      </c>
      <c r="AW44">
        <f t="shared" si="25"/>
        <v>-7658289.2107277978</v>
      </c>
      <c r="AX44">
        <f t="shared" si="26"/>
        <v>-7949046.7261592578</v>
      </c>
      <c r="AY44">
        <f t="shared" si="50"/>
        <v>-2.3375671032469314</v>
      </c>
      <c r="BA44">
        <f t="shared" si="27"/>
        <v>0.72778032576883034</v>
      </c>
      <c r="BB44">
        <f t="shared" si="43"/>
        <v>-2.7599937792144917</v>
      </c>
      <c r="BC44">
        <f t="shared" si="44"/>
        <v>0.23220802841588872</v>
      </c>
      <c r="BD44">
        <f t="shared" si="28"/>
        <v>-166.69545998751303</v>
      </c>
      <c r="BF44">
        <f t="shared" si="29"/>
        <v>30.207903393273668</v>
      </c>
      <c r="BG44">
        <f t="shared" si="30"/>
        <v>-69.137337747936655</v>
      </c>
      <c r="BH44">
        <f t="shared" si="45"/>
        <v>110.86266225206334</v>
      </c>
      <c r="BI44">
        <f t="shared" si="46"/>
        <v>110.86266225206334</v>
      </c>
      <c r="BJ44">
        <f t="shared" si="31"/>
        <v>0</v>
      </c>
      <c r="BK44">
        <f t="shared" si="47"/>
        <v>0</v>
      </c>
      <c r="BM44">
        <f t="shared" si="48"/>
        <v>32.967897172488158</v>
      </c>
      <c r="BN44">
        <f t="shared" si="32"/>
        <v>-82.441877760423623</v>
      </c>
      <c r="BQ44" s="56">
        <f t="shared" si="49"/>
        <v>14.141967021070645</v>
      </c>
      <c r="BR44" s="58"/>
      <c r="BS44" s="58"/>
      <c r="BT44" s="58">
        <v>218.77600000000001</v>
      </c>
      <c r="BU44" s="58">
        <v>27.706399999999999</v>
      </c>
      <c r="BV44" s="58">
        <v>-263.5369</v>
      </c>
      <c r="BW44" s="61"/>
      <c r="BY44" s="58"/>
      <c r="BZ44" s="58"/>
      <c r="CA44" s="58"/>
      <c r="CC44" s="58"/>
    </row>
    <row r="45" spans="1:81" x14ac:dyDescent="0.25">
      <c r="A45">
        <f t="shared" si="54"/>
        <v>5500</v>
      </c>
      <c r="B45">
        <f t="shared" si="33"/>
        <v>5.5</v>
      </c>
      <c r="C45">
        <f t="shared" si="0"/>
        <v>1.0010398656591895</v>
      </c>
      <c r="D45">
        <f t="shared" si="1"/>
        <v>4.5584325322827406E-2</v>
      </c>
      <c r="F45">
        <f t="shared" si="2"/>
        <v>2.4472365954173756</v>
      </c>
      <c r="G45">
        <f t="shared" si="3"/>
        <v>1.1299611717271456</v>
      </c>
      <c r="H45">
        <f t="shared" si="4"/>
        <v>-2.0116314782728546</v>
      </c>
      <c r="J45">
        <f t="shared" si="5"/>
        <v>15</v>
      </c>
      <c r="M45">
        <f t="shared" si="6"/>
        <v>0.23131304886818746</v>
      </c>
      <c r="N45">
        <f t="shared" si="7"/>
        <v>-1.5707963250000001</v>
      </c>
      <c r="O45">
        <f t="shared" si="8"/>
        <v>1.8850493994808346</v>
      </c>
      <c r="P45">
        <f t="shared" si="9"/>
        <v>1.0116177350861821</v>
      </c>
      <c r="Q45">
        <f t="shared" si="10"/>
        <v>1.7294708733781641</v>
      </c>
      <c r="R45">
        <f t="shared" si="11"/>
        <v>0.95426139934004262</v>
      </c>
      <c r="S45">
        <f t="shared" si="12"/>
        <v>0.99909492073225281</v>
      </c>
      <c r="T45">
        <f t="shared" si="13"/>
        <v>-4.2549167530953495E-2</v>
      </c>
      <c r="U45">
        <f t="shared" si="14"/>
        <v>0.99940582213034534</v>
      </c>
      <c r="V45">
        <f t="shared" si="15"/>
        <v>-3.4474243144791514E-2</v>
      </c>
      <c r="X45">
        <f t="shared" si="34"/>
        <v>28.840066759086941</v>
      </c>
      <c r="Y45">
        <f t="shared" si="16"/>
        <v>-94.422743112770675</v>
      </c>
      <c r="Z45">
        <f t="shared" si="35"/>
        <v>85.577256887229325</v>
      </c>
      <c r="AC45">
        <v>1</v>
      </c>
      <c r="AD45">
        <f t="shared" si="17"/>
        <v>1.597939685496</v>
      </c>
      <c r="AE45">
        <f t="shared" si="18"/>
        <v>-8.2831246923109506E-6</v>
      </c>
      <c r="AF45">
        <f t="shared" si="19"/>
        <v>2.4017475809249997E-4</v>
      </c>
      <c r="AG45">
        <f t="shared" si="36"/>
        <v>6501.9088854108795</v>
      </c>
      <c r="AH45">
        <f t="shared" si="37"/>
        <v>-4387.8721078175276</v>
      </c>
      <c r="AJ45">
        <f t="shared" si="20"/>
        <v>18000</v>
      </c>
      <c r="AK45">
        <f t="shared" si="21"/>
        <v>766.3475446704</v>
      </c>
      <c r="AL45">
        <v>1</v>
      </c>
      <c r="AM45">
        <f t="shared" si="22"/>
        <v>1.4110526219328001</v>
      </c>
      <c r="AN45">
        <f t="shared" si="38"/>
        <v>6379.4427713335608</v>
      </c>
      <c r="AO45">
        <f t="shared" si="39"/>
        <v>-8235.3819042900705</v>
      </c>
      <c r="AQ45">
        <f t="shared" si="23"/>
        <v>81.967213114754102</v>
      </c>
      <c r="AR45">
        <f t="shared" si="24"/>
        <v>-901.63934426229503</v>
      </c>
      <c r="AT45">
        <f t="shared" si="52"/>
        <v>-3423334.778736223</v>
      </c>
      <c r="AU45">
        <f t="shared" si="53"/>
        <v>-6222038.5120768193</v>
      </c>
      <c r="AV45">
        <f t="shared" si="42"/>
        <v>-2.0737892744476571</v>
      </c>
      <c r="AW45">
        <f t="shared" si="25"/>
        <v>-6887962.4376508901</v>
      </c>
      <c r="AX45">
        <f t="shared" si="26"/>
        <v>-6463959.2722218484</v>
      </c>
      <c r="AY45">
        <f t="shared" si="50"/>
        <v>-2.3879397874892083</v>
      </c>
      <c r="BA45">
        <f t="shared" si="27"/>
        <v>0.75181274610805227</v>
      </c>
      <c r="BB45">
        <f t="shared" si="43"/>
        <v>-2.4778063120698772</v>
      </c>
      <c r="BC45">
        <f t="shared" si="44"/>
        <v>0.31415051304155117</v>
      </c>
      <c r="BD45">
        <f t="shared" si="28"/>
        <v>-162.00050145028217</v>
      </c>
      <c r="BF45">
        <f t="shared" si="29"/>
        <v>28.826565501849618</v>
      </c>
      <c r="BG45">
        <f t="shared" si="30"/>
        <v>-94.646705766747203</v>
      </c>
      <c r="BH45">
        <f t="shared" si="45"/>
        <v>85.353294233252797</v>
      </c>
      <c r="BI45">
        <f t="shared" si="46"/>
        <v>85.353294233252797</v>
      </c>
      <c r="BJ45">
        <f t="shared" si="31"/>
        <v>0</v>
      </c>
      <c r="BK45">
        <f t="shared" si="47"/>
        <v>0</v>
      </c>
      <c r="BM45">
        <f t="shared" si="48"/>
        <v>31.304371813919502</v>
      </c>
      <c r="BN45">
        <f t="shared" si="32"/>
        <v>-112.64620431646505</v>
      </c>
      <c r="BQ45" s="56">
        <f t="shared" si="49"/>
        <v>14.42415448821526</v>
      </c>
      <c r="BR45" s="58"/>
      <c r="BS45" s="58"/>
      <c r="BT45" s="58">
        <v>223.87200000000001</v>
      </c>
      <c r="BU45" s="58">
        <v>27.937100000000001</v>
      </c>
      <c r="BV45" s="58">
        <v>-265.19450000000001</v>
      </c>
      <c r="BW45" s="61"/>
      <c r="BY45" s="58"/>
      <c r="BZ45" s="58"/>
      <c r="CA45" s="58"/>
      <c r="CC45" s="58"/>
    </row>
    <row r="46" spans="1:81" x14ac:dyDescent="0.25">
      <c r="A46">
        <f t="shared" si="54"/>
        <v>6000</v>
      </c>
      <c r="B46">
        <f t="shared" si="33"/>
        <v>6</v>
      </c>
      <c r="C46">
        <f t="shared" si="0"/>
        <v>1.0012374039199488</v>
      </c>
      <c r="D46">
        <f t="shared" si="1"/>
        <v>4.9721811956224798E-2</v>
      </c>
      <c r="F46">
        <f t="shared" si="2"/>
        <v>1.7636498897568194</v>
      </c>
      <c r="G46">
        <f t="shared" si="3"/>
        <v>0.7909514722061417</v>
      </c>
      <c r="H46">
        <f t="shared" si="4"/>
        <v>-2.3506411777938583</v>
      </c>
      <c r="J46">
        <f t="shared" si="5"/>
        <v>15</v>
      </c>
      <c r="M46">
        <f t="shared" si="6"/>
        <v>0.2120369614625052</v>
      </c>
      <c r="N46">
        <f t="shared" si="7"/>
        <v>-1.5707963250000001</v>
      </c>
      <c r="O46">
        <f t="shared" si="8"/>
        <v>2.0096692263944891</v>
      </c>
      <c r="P46">
        <f t="shared" si="9"/>
        <v>1.049973166268259</v>
      </c>
      <c r="Q46">
        <f t="shared" si="10"/>
        <v>1.83562993504028</v>
      </c>
      <c r="R46">
        <f t="shared" si="11"/>
        <v>0.99467898711459524</v>
      </c>
      <c r="S46">
        <f t="shared" si="12"/>
        <v>0.99892315866909731</v>
      </c>
      <c r="T46">
        <f t="shared" si="13"/>
        <v>-4.6411952145139289E-2</v>
      </c>
      <c r="U46">
        <f t="shared" si="14"/>
        <v>0.99929299897964607</v>
      </c>
      <c r="V46">
        <f t="shared" si="15"/>
        <v>-3.7605434300673528E-2</v>
      </c>
      <c r="X46">
        <f t="shared" si="34"/>
        <v>26.311738249151229</v>
      </c>
      <c r="Y46">
        <f t="shared" si="16"/>
        <v>-109.49687137258437</v>
      </c>
      <c r="Z46">
        <f t="shared" si="35"/>
        <v>70.503128627415634</v>
      </c>
      <c r="AC46">
        <v>1</v>
      </c>
      <c r="AD46">
        <f t="shared" si="17"/>
        <v>1.7432069296319999</v>
      </c>
      <c r="AE46">
        <f t="shared" si="18"/>
        <v>-9.8576029396097274E-6</v>
      </c>
      <c r="AF46">
        <f t="shared" si="19"/>
        <v>2.6200882701000002E-4</v>
      </c>
      <c r="AG46">
        <f t="shared" si="36"/>
        <v>6500.4409643250447</v>
      </c>
      <c r="AH46">
        <f t="shared" si="37"/>
        <v>-4061.232509231751</v>
      </c>
      <c r="AJ46">
        <f t="shared" si="20"/>
        <v>18000</v>
      </c>
      <c r="AK46">
        <f t="shared" si="21"/>
        <v>836.0155032767999</v>
      </c>
      <c r="AL46">
        <v>1</v>
      </c>
      <c r="AM46">
        <f t="shared" si="22"/>
        <v>1.5393301330176001</v>
      </c>
      <c r="AN46">
        <f t="shared" si="38"/>
        <v>5723.9028319664922</v>
      </c>
      <c r="AO46">
        <f t="shared" si="39"/>
        <v>-7974.960604433998</v>
      </c>
      <c r="AQ46">
        <f t="shared" si="23"/>
        <v>68.965517241379317</v>
      </c>
      <c r="AR46">
        <f t="shared" si="24"/>
        <v>-827.58620689655174</v>
      </c>
      <c r="AT46">
        <f t="shared" si="52"/>
        <v>-2912713.7342383424</v>
      </c>
      <c r="AU46">
        <f t="shared" si="53"/>
        <v>-5659760.281457399</v>
      </c>
      <c r="AV46">
        <f t="shared" si="42"/>
        <v>-2.0460836897337664</v>
      </c>
      <c r="AW46">
        <f t="shared" si="25"/>
        <v>-6191551.9106372278</v>
      </c>
      <c r="AX46">
        <f t="shared" si="26"/>
        <v>-5321478.2804817474</v>
      </c>
      <c r="AY46">
        <f t="shared" si="50"/>
        <v>-2.431624056536005</v>
      </c>
      <c r="BA46">
        <f t="shared" si="27"/>
        <v>0.77966169708542798</v>
      </c>
      <c r="BB46">
        <f t="shared" si="43"/>
        <v>-2.1618760220901634</v>
      </c>
      <c r="BC46">
        <f t="shared" si="44"/>
        <v>0.38554036680223858</v>
      </c>
      <c r="BD46">
        <f t="shared" si="28"/>
        <v>-157.91016412506474</v>
      </c>
      <c r="BF46">
        <f t="shared" si="29"/>
        <v>26.298937979788889</v>
      </c>
      <c r="BG46">
        <f t="shared" si="30"/>
        <v>-109.74313293812011</v>
      </c>
      <c r="BH46">
        <f t="shared" si="45"/>
        <v>70.256867061879888</v>
      </c>
      <c r="BI46">
        <f t="shared" si="46"/>
        <v>70.256867061879888</v>
      </c>
      <c r="BJ46">
        <f t="shared" si="31"/>
        <v>0</v>
      </c>
      <c r="BK46">
        <f t="shared" si="47"/>
        <v>0</v>
      </c>
      <c r="BM46">
        <f t="shared" si="48"/>
        <v>28.460814001879051</v>
      </c>
      <c r="BN46">
        <f t="shared" si="32"/>
        <v>-131.83296881305537</v>
      </c>
      <c r="BQ46" s="56">
        <f t="shared" si="49"/>
        <v>14.740084778194973</v>
      </c>
      <c r="BR46" s="58"/>
      <c r="BS46" s="58"/>
      <c r="BT46" s="58">
        <v>229.08699999999999</v>
      </c>
      <c r="BU46" s="58">
        <v>27.676300000000001</v>
      </c>
      <c r="BV46" s="58">
        <v>-266.75440000000003</v>
      </c>
      <c r="BW46" s="61"/>
      <c r="BY46" s="58"/>
      <c r="BZ46" s="58"/>
      <c r="CA46" s="58"/>
      <c r="CC46" s="58"/>
    </row>
    <row r="47" spans="1:81" x14ac:dyDescent="0.25">
      <c r="A47">
        <f t="shared" si="54"/>
        <v>6500</v>
      </c>
      <c r="B47">
        <f t="shared" si="33"/>
        <v>6.5</v>
      </c>
      <c r="C47">
        <f t="shared" si="0"/>
        <v>1.0014520752263123</v>
      </c>
      <c r="D47">
        <f t="shared" si="1"/>
        <v>5.3857595541276213E-2</v>
      </c>
      <c r="F47">
        <f t="shared" si="2"/>
        <v>1.2871128134027598</v>
      </c>
      <c r="G47">
        <f t="shared" si="3"/>
        <v>0.59697933701269901</v>
      </c>
      <c r="H47">
        <f t="shared" si="4"/>
        <v>-2.544613312987301</v>
      </c>
      <c r="J47">
        <f t="shared" si="5"/>
        <v>15</v>
      </c>
      <c r="M47">
        <f t="shared" si="6"/>
        <v>0.19572642596538939</v>
      </c>
      <c r="N47">
        <f t="shared" si="7"/>
        <v>-1.5707963250000001</v>
      </c>
      <c r="O47">
        <f t="shared" si="8"/>
        <v>2.1368983843385556</v>
      </c>
      <c r="P47">
        <f t="shared" si="9"/>
        <v>1.0838062904258514</v>
      </c>
      <c r="Q47">
        <f t="shared" si="10"/>
        <v>1.9444575733784364</v>
      </c>
      <c r="R47">
        <f t="shared" si="11"/>
        <v>1.0306258054211874</v>
      </c>
      <c r="S47">
        <f t="shared" si="12"/>
        <v>0.99873656121384491</v>
      </c>
      <c r="T47">
        <f t="shared" si="13"/>
        <v>-5.0273351232798441E-2</v>
      </c>
      <c r="U47">
        <f t="shared" si="14"/>
        <v>0.99917040844795235</v>
      </c>
      <c r="V47">
        <f t="shared" si="15"/>
        <v>-4.0735887890661765E-2</v>
      </c>
      <c r="X47">
        <f t="shared" si="34"/>
        <v>23.913207276582614</v>
      </c>
      <c r="Y47">
        <f t="shared" si="16"/>
        <v>-116.77620057776755</v>
      </c>
      <c r="Z47">
        <f t="shared" si="35"/>
        <v>63.223799422232446</v>
      </c>
      <c r="AC47">
        <v>1</v>
      </c>
      <c r="AD47">
        <f t="shared" si="17"/>
        <v>1.8884741737680002</v>
      </c>
      <c r="AE47">
        <f t="shared" si="18"/>
        <v>-1.1568992338847528E-5</v>
      </c>
      <c r="AF47">
        <f t="shared" si="19"/>
        <v>2.8384289592749996E-4</v>
      </c>
      <c r="AG47">
        <f t="shared" si="36"/>
        <v>6498.846149521828</v>
      </c>
      <c r="AH47">
        <f t="shared" si="37"/>
        <v>-3787.9584683697485</v>
      </c>
      <c r="AJ47">
        <f t="shared" si="20"/>
        <v>18000</v>
      </c>
      <c r="AK47">
        <f t="shared" si="21"/>
        <v>905.68346188319993</v>
      </c>
      <c r="AL47">
        <v>1</v>
      </c>
      <c r="AM47">
        <f t="shared" si="22"/>
        <v>1.6676076441023999</v>
      </c>
      <c r="AN47">
        <f t="shared" si="38"/>
        <v>5160.2121047494447</v>
      </c>
      <c r="AO47">
        <f t="shared" si="39"/>
        <v>-7699.5256891867084</v>
      </c>
      <c r="AQ47">
        <f t="shared" si="23"/>
        <v>58.823529411764703</v>
      </c>
      <c r="AR47">
        <f t="shared" si="24"/>
        <v>-764.70588235294122</v>
      </c>
      <c r="AT47">
        <f t="shared" si="52"/>
        <v>-2514389.0552520533</v>
      </c>
      <c r="AU47">
        <f t="shared" si="53"/>
        <v>-5192526.9654207947</v>
      </c>
      <c r="AV47">
        <f t="shared" si="42"/>
        <v>-2.0217503597848254</v>
      </c>
      <c r="AW47">
        <f t="shared" si="25"/>
        <v>-5571366.7261329927</v>
      </c>
      <c r="AX47">
        <f t="shared" si="26"/>
        <v>-4431224.075869075</v>
      </c>
      <c r="AY47">
        <f t="shared" si="50"/>
        <v>-2.4696893872988954</v>
      </c>
      <c r="BA47">
        <f t="shared" si="27"/>
        <v>0.81043897853660829</v>
      </c>
      <c r="BB47">
        <f t="shared" si="43"/>
        <v>-1.8255935899676086</v>
      </c>
      <c r="BC47">
        <f t="shared" si="44"/>
        <v>0.44793902751407</v>
      </c>
      <c r="BD47">
        <f t="shared" si="28"/>
        <v>-154.33498421492277</v>
      </c>
      <c r="BF47">
        <f t="shared" si="29"/>
        <v>23.901167283911082</v>
      </c>
      <c r="BG47">
        <f t="shared" si="30"/>
        <v>-117.04477478572909</v>
      </c>
      <c r="BH47">
        <f t="shared" si="45"/>
        <v>62.955225214270911</v>
      </c>
      <c r="BI47">
        <f t="shared" si="46"/>
        <v>62.955225214270911</v>
      </c>
      <c r="BJ47">
        <f t="shared" si="31"/>
        <v>0</v>
      </c>
      <c r="BK47">
        <f t="shared" si="47"/>
        <v>0</v>
      </c>
      <c r="BM47">
        <f t="shared" si="48"/>
        <v>25.726760873878689</v>
      </c>
      <c r="BN47">
        <f t="shared" si="32"/>
        <v>-142.70979057080632</v>
      </c>
      <c r="BQ47" s="56">
        <f t="shared" si="49"/>
        <v>15.076367210317528</v>
      </c>
      <c r="BR47" s="58"/>
      <c r="BS47" s="58"/>
      <c r="BT47" s="58">
        <v>234.423</v>
      </c>
      <c r="BU47" s="58">
        <v>27.670300000000001</v>
      </c>
      <c r="BV47" s="58">
        <v>-266.76120000000003</v>
      </c>
      <c r="BW47" s="61"/>
      <c r="BY47" s="58"/>
      <c r="BZ47" s="58"/>
      <c r="CA47" s="58"/>
      <c r="CC47" s="58"/>
    </row>
    <row r="48" spans="1:81" x14ac:dyDescent="0.25">
      <c r="A48">
        <f t="shared" si="54"/>
        <v>7000</v>
      </c>
      <c r="B48">
        <f t="shared" si="33"/>
        <v>7</v>
      </c>
      <c r="C48">
        <f t="shared" si="0"/>
        <v>1.0016838685629088</v>
      </c>
      <c r="D48">
        <f t="shared" si="1"/>
        <v>5.7991535738687594E-2</v>
      </c>
      <c r="F48">
        <f t="shared" si="2"/>
        <v>0.97968522250029466</v>
      </c>
      <c r="G48">
        <f t="shared" si="3"/>
        <v>0.47888674494319666</v>
      </c>
      <c r="H48">
        <f t="shared" si="4"/>
        <v>-2.6627059050568036</v>
      </c>
      <c r="J48">
        <f t="shared" si="5"/>
        <v>15</v>
      </c>
      <c r="M48">
        <f t="shared" si="6"/>
        <v>0.18174596696786158</v>
      </c>
      <c r="N48">
        <f t="shared" si="7"/>
        <v>-1.5707963250000001</v>
      </c>
      <c r="O48">
        <f t="shared" si="8"/>
        <v>2.2662974550791368</v>
      </c>
      <c r="P48">
        <f t="shared" si="9"/>
        <v>1.1138070371952407</v>
      </c>
      <c r="Q48">
        <f t="shared" si="10"/>
        <v>2.0555299780401532</v>
      </c>
      <c r="R48">
        <f t="shared" si="11"/>
        <v>1.0627256421705191</v>
      </c>
      <c r="S48">
        <f t="shared" si="12"/>
        <v>0.99853515336665255</v>
      </c>
      <c r="T48">
        <f t="shared" si="13"/>
        <v>-5.4133250454576967E-2</v>
      </c>
      <c r="U48">
        <f t="shared" si="14"/>
        <v>0.99903806133611839</v>
      </c>
      <c r="V48">
        <f t="shared" si="15"/>
        <v>-4.3865542842944943E-2</v>
      </c>
      <c r="X48">
        <f t="shared" si="34"/>
        <v>21.891187953070546</v>
      </c>
      <c r="Y48">
        <f t="shared" si="16"/>
        <v>-120.14792098682115</v>
      </c>
      <c r="Z48">
        <f t="shared" si="35"/>
        <v>59.852079013178852</v>
      </c>
      <c r="AC48">
        <v>1</v>
      </c>
      <c r="AD48">
        <f t="shared" si="17"/>
        <v>2.0337414179039999</v>
      </c>
      <c r="AE48">
        <f t="shared" si="18"/>
        <v>-1.3417292890024349E-5</v>
      </c>
      <c r="AF48">
        <f t="shared" si="19"/>
        <v>3.0567696484500002E-4</v>
      </c>
      <c r="AG48">
        <f t="shared" si="36"/>
        <v>6497.1246282527682</v>
      </c>
      <c r="AH48">
        <f t="shared" si="37"/>
        <v>-3556.610242553058</v>
      </c>
      <c r="AJ48">
        <f t="shared" si="20"/>
        <v>18000</v>
      </c>
      <c r="AK48">
        <f t="shared" si="21"/>
        <v>975.35142048959983</v>
      </c>
      <c r="AL48">
        <v>1</v>
      </c>
      <c r="AM48">
        <f t="shared" si="22"/>
        <v>1.7958851551871999</v>
      </c>
      <c r="AN48">
        <f t="shared" si="38"/>
        <v>4674.7142903267604</v>
      </c>
      <c r="AO48">
        <f t="shared" si="39"/>
        <v>-7419.8985782496966</v>
      </c>
      <c r="AQ48">
        <f t="shared" si="23"/>
        <v>50.761421319796952</v>
      </c>
      <c r="AR48">
        <f t="shared" si="24"/>
        <v>-710.65989847715741</v>
      </c>
      <c r="AT48">
        <f t="shared" si="52"/>
        <v>-2197736.9932736065</v>
      </c>
      <c r="AU48">
        <f t="shared" si="53"/>
        <v>-4797784.5197000923</v>
      </c>
      <c r="AV48">
        <f t="shared" si="42"/>
        <v>-2.0003436944522068</v>
      </c>
      <c r="AW48">
        <f t="shared" si="25"/>
        <v>-5023368.16682065</v>
      </c>
      <c r="AX48">
        <f t="shared" si="26"/>
        <v>-3729113.2850100277</v>
      </c>
      <c r="AY48">
        <f t="shared" si="50"/>
        <v>-2.503003505589612</v>
      </c>
      <c r="BA48">
        <f t="shared" si="27"/>
        <v>0.84350926965305761</v>
      </c>
      <c r="BB48">
        <f t="shared" si="43"/>
        <v>-1.4782028083364396</v>
      </c>
      <c r="BC48">
        <f t="shared" si="44"/>
        <v>0.50265981113740521</v>
      </c>
      <c r="BD48">
        <f t="shared" si="28"/>
        <v>-151.19971425807449</v>
      </c>
      <c r="BF48">
        <f t="shared" si="29"/>
        <v>21.879967113688615</v>
      </c>
      <c r="BG48">
        <f t="shared" si="30"/>
        <v>-120.43885462761314</v>
      </c>
      <c r="BH48">
        <f t="shared" si="45"/>
        <v>59.561145372386861</v>
      </c>
      <c r="BI48">
        <f t="shared" si="46"/>
        <v>59.561145372386861</v>
      </c>
      <c r="BJ48">
        <f t="shared" si="31"/>
        <v>0</v>
      </c>
      <c r="BK48">
        <f t="shared" si="47"/>
        <v>0</v>
      </c>
      <c r="BM48">
        <f t="shared" si="48"/>
        <v>23.358169922025059</v>
      </c>
      <c r="BN48">
        <f t="shared" si="32"/>
        <v>-149.23914036953863</v>
      </c>
      <c r="BQ48" s="56">
        <f t="shared" si="49"/>
        <v>15.423757991948698</v>
      </c>
      <c r="BR48" s="58"/>
      <c r="BS48" s="58"/>
      <c r="BT48" s="58">
        <v>239.88300000000001</v>
      </c>
      <c r="BU48" s="58">
        <v>27.2761</v>
      </c>
      <c r="BV48" s="58">
        <v>-267.59569999999997</v>
      </c>
      <c r="BW48" s="61"/>
      <c r="BY48" s="58"/>
      <c r="BZ48" s="58"/>
      <c r="CA48" s="58"/>
      <c r="CC48" s="58"/>
    </row>
    <row r="49" spans="1:81" x14ac:dyDescent="0.25">
      <c r="A49">
        <f t="shared" si="54"/>
        <v>7500</v>
      </c>
      <c r="B49">
        <f t="shared" si="33"/>
        <v>7.5</v>
      </c>
      <c r="C49">
        <f t="shared" si="0"/>
        <v>1.0019327720463886</v>
      </c>
      <c r="D49">
        <f t="shared" si="1"/>
        <v>6.2123492586243015E-2</v>
      </c>
      <c r="F49">
        <f t="shared" si="2"/>
        <v>0.77448331273799942</v>
      </c>
      <c r="G49">
        <f t="shared" si="3"/>
        <v>0.40095212351218817</v>
      </c>
      <c r="H49">
        <f t="shared" si="4"/>
        <v>-2.740640526487812</v>
      </c>
      <c r="J49">
        <f t="shared" si="5"/>
        <v>15</v>
      </c>
      <c r="M49">
        <f t="shared" si="6"/>
        <v>0.16962956917000416</v>
      </c>
      <c r="N49">
        <f t="shared" si="7"/>
        <v>-1.5707963250000001</v>
      </c>
      <c r="O49">
        <f t="shared" si="8"/>
        <v>2.397515119711521</v>
      </c>
      <c r="P49">
        <f t="shared" si="9"/>
        <v>1.1405457923013225</v>
      </c>
      <c r="Q49">
        <f t="shared" si="10"/>
        <v>2.1685022403204872</v>
      </c>
      <c r="R49">
        <f t="shared" si="11"/>
        <v>1.0915080286142873</v>
      </c>
      <c r="S49">
        <f t="shared" si="12"/>
        <v>0.99831896208399107</v>
      </c>
      <c r="T49">
        <f t="shared" si="13"/>
        <v>-5.7991535738687594E-2</v>
      </c>
      <c r="U49">
        <f t="shared" si="14"/>
        <v>0.99889596929666646</v>
      </c>
      <c r="V49">
        <f t="shared" si="15"/>
        <v>-4.6994338179446121E-2</v>
      </c>
      <c r="X49">
        <f t="shared" si="34"/>
        <v>20.203085513702312</v>
      </c>
      <c r="Y49">
        <f t="shared" si="16"/>
        <v>-121.5957053320508</v>
      </c>
      <c r="Z49">
        <f t="shared" si="35"/>
        <v>58.404294667949202</v>
      </c>
      <c r="AC49">
        <v>1</v>
      </c>
      <c r="AD49">
        <f t="shared" si="17"/>
        <v>2.1790086620400002</v>
      </c>
      <c r="AE49">
        <f t="shared" si="18"/>
        <v>-1.5402504593140196E-5</v>
      </c>
      <c r="AF49">
        <f t="shared" si="19"/>
        <v>3.2751103376249996E-4</v>
      </c>
      <c r="AG49">
        <f t="shared" si="36"/>
        <v>6495.2766024915481</v>
      </c>
      <c r="AH49">
        <f t="shared" si="37"/>
        <v>-3358.7983741070138</v>
      </c>
      <c r="AJ49">
        <f t="shared" si="20"/>
        <v>18000</v>
      </c>
      <c r="AK49">
        <f t="shared" si="21"/>
        <v>1045.019379096</v>
      </c>
      <c r="AL49">
        <v>1</v>
      </c>
      <c r="AM49">
        <f t="shared" si="22"/>
        <v>1.9241626662720002</v>
      </c>
      <c r="AN49">
        <f t="shared" si="38"/>
        <v>4255.4395430892728</v>
      </c>
      <c r="AO49">
        <f t="shared" si="39"/>
        <v>-7143.1385182939575</v>
      </c>
      <c r="AQ49">
        <f t="shared" si="23"/>
        <v>44.247787610619469</v>
      </c>
      <c r="AR49">
        <f t="shared" si="24"/>
        <v>-663.71681415929208</v>
      </c>
      <c r="AT49">
        <f t="shared" si="52"/>
        <v>-1941889.3366864452</v>
      </c>
      <c r="AU49">
        <f t="shared" si="53"/>
        <v>-4459643.6907734619</v>
      </c>
      <c r="AV49">
        <f t="shared" si="42"/>
        <v>-1.9814730356920929</v>
      </c>
      <c r="AW49">
        <f t="shared" si="25"/>
        <v>-4540887.3372863149</v>
      </c>
      <c r="AX49">
        <f t="shared" si="26"/>
        <v>-3169099.4450591039</v>
      </c>
      <c r="AY49">
        <f t="shared" si="50"/>
        <v>-2.5322753772879163</v>
      </c>
      <c r="BA49">
        <f t="shared" si="27"/>
        <v>0.87840582501305187</v>
      </c>
      <c r="BB49">
        <f t="shared" si="43"/>
        <v>-1.1260958585482106</v>
      </c>
      <c r="BC49">
        <f t="shared" si="44"/>
        <v>0.55080234159582342</v>
      </c>
      <c r="BD49">
        <f t="shared" si="28"/>
        <v>-148.44135044457525</v>
      </c>
      <c r="BF49">
        <f t="shared" si="29"/>
        <v>20.192742259591352</v>
      </c>
      <c r="BG49">
        <f t="shared" si="30"/>
        <v>-121.90907201639719</v>
      </c>
      <c r="BH49">
        <f t="shared" si="45"/>
        <v>58.090927983602811</v>
      </c>
      <c r="BI49">
        <f t="shared" si="46"/>
        <v>58.090927983602811</v>
      </c>
      <c r="BJ49">
        <f t="shared" si="31"/>
        <v>0</v>
      </c>
      <c r="BK49">
        <f t="shared" si="47"/>
        <v>0</v>
      </c>
      <c r="BM49">
        <f t="shared" si="48"/>
        <v>21.318838118139567</v>
      </c>
      <c r="BN49">
        <f t="shared" si="32"/>
        <v>-153.46772157182198</v>
      </c>
      <c r="BQ49" s="56">
        <f t="shared" si="49"/>
        <v>15.775864941736925</v>
      </c>
      <c r="BR49" s="58"/>
      <c r="BS49" s="58"/>
      <c r="BT49" s="58">
        <v>245.471</v>
      </c>
      <c r="BU49" s="58">
        <v>27.075500000000002</v>
      </c>
      <c r="BV49" s="58">
        <v>-266.80959999999999</v>
      </c>
      <c r="BW49" s="61"/>
      <c r="BY49" s="58"/>
      <c r="BZ49" s="58"/>
      <c r="CA49" s="58"/>
      <c r="CC49" s="58"/>
    </row>
    <row r="50" spans="1:81" x14ac:dyDescent="0.25">
      <c r="A50">
        <f t="shared" si="54"/>
        <v>8000</v>
      </c>
      <c r="B50">
        <f t="shared" si="33"/>
        <v>8</v>
      </c>
      <c r="C50">
        <f t="shared" si="0"/>
        <v>1.0021987729284567</v>
      </c>
      <c r="D50">
        <f t="shared" si="1"/>
        <v>6.6253326526870909E-2</v>
      </c>
      <c r="F50">
        <f t="shared" si="2"/>
        <v>0.63088139153766054</v>
      </c>
      <c r="G50">
        <f t="shared" si="3"/>
        <v>0.34598471598312253</v>
      </c>
      <c r="H50">
        <f t="shared" si="4"/>
        <v>-2.7956079340168776</v>
      </c>
      <c r="J50">
        <f t="shared" si="5"/>
        <v>15</v>
      </c>
      <c r="M50">
        <f t="shared" si="6"/>
        <v>0.15902772109687888</v>
      </c>
      <c r="N50">
        <f t="shared" si="7"/>
        <v>-1.5707963250000001</v>
      </c>
      <c r="O50">
        <f t="shared" si="8"/>
        <v>2.5302684616518984</v>
      </c>
      <c r="P50">
        <f t="shared" si="9"/>
        <v>1.164494454351293</v>
      </c>
      <c r="Q50">
        <f t="shared" si="10"/>
        <v>2.2830923506569798</v>
      </c>
      <c r="R50">
        <f t="shared" si="11"/>
        <v>1.1174209140531564</v>
      </c>
      <c r="S50">
        <f t="shared" si="12"/>
        <v>0.99808801626865917</v>
      </c>
      <c r="T50">
        <f t="shared" si="13"/>
        <v>-6.1848093300910588E-2</v>
      </c>
      <c r="U50">
        <f t="shared" si="14"/>
        <v>0.99874414483094454</v>
      </c>
      <c r="V50">
        <f t="shared" si="15"/>
        <v>-5.0122213022899272E-2</v>
      </c>
      <c r="X50">
        <f t="shared" si="34"/>
        <v>18.775576950897417</v>
      </c>
      <c r="Y50">
        <f t="shared" si="16"/>
        <v>-122.05180600791321</v>
      </c>
      <c r="Z50">
        <f t="shared" si="35"/>
        <v>57.948193992086786</v>
      </c>
      <c r="AC50">
        <v>1</v>
      </c>
      <c r="AD50">
        <f t="shared" si="17"/>
        <v>2.3242759061760001</v>
      </c>
      <c r="AE50">
        <f t="shared" si="18"/>
        <v>-1.7524627448195069E-5</v>
      </c>
      <c r="AF50">
        <f t="shared" si="19"/>
        <v>3.4934510268000001E-4</v>
      </c>
      <c r="AG50">
        <f t="shared" si="36"/>
        <v>6493.3022888748619</v>
      </c>
      <c r="AH50">
        <f t="shared" si="37"/>
        <v>-3188.2304774751001</v>
      </c>
      <c r="AJ50">
        <f t="shared" si="20"/>
        <v>18000</v>
      </c>
      <c r="AK50">
        <f t="shared" si="21"/>
        <v>1114.6873377024001</v>
      </c>
      <c r="AL50">
        <v>1</v>
      </c>
      <c r="AM50">
        <f t="shared" si="22"/>
        <v>2.0524401773568002</v>
      </c>
      <c r="AN50">
        <f t="shared" si="38"/>
        <v>3892.1414873251215</v>
      </c>
      <c r="AO50">
        <f t="shared" si="39"/>
        <v>-6873.7002268409306</v>
      </c>
      <c r="AQ50">
        <f t="shared" si="23"/>
        <v>38.910505836575872</v>
      </c>
      <c r="AR50">
        <f t="shared" si="24"/>
        <v>-622.56809338521396</v>
      </c>
      <c r="AT50">
        <f t="shared" si="52"/>
        <v>-1732232.8930243866</v>
      </c>
      <c r="AU50">
        <f t="shared" si="53"/>
        <v>-4166578.4863608126</v>
      </c>
      <c r="AV50">
        <f t="shared" si="42"/>
        <v>-1.964801602265442</v>
      </c>
      <c r="AW50">
        <f t="shared" si="25"/>
        <v>-4116513.0974535411</v>
      </c>
      <c r="AX50">
        <f t="shared" si="26"/>
        <v>-2717677.5806278302</v>
      </c>
      <c r="AY50">
        <f t="shared" si="50"/>
        <v>-2.5580878509036982</v>
      </c>
      <c r="BA50">
        <f t="shared" si="27"/>
        <v>0.91477780414613619</v>
      </c>
      <c r="BB50">
        <f t="shared" si="43"/>
        <v>-0.77368763018637809</v>
      </c>
      <c r="BC50">
        <f t="shared" si="44"/>
        <v>0.59328624863825619</v>
      </c>
      <c r="BD50">
        <f t="shared" si="28"/>
        <v>-146.0072018710363</v>
      </c>
      <c r="BF50">
        <f t="shared" si="29"/>
        <v>18.766169237344798</v>
      </c>
      <c r="BG50">
        <f t="shared" si="30"/>
        <v>-122.38770185348983</v>
      </c>
      <c r="BH50">
        <f t="shared" si="45"/>
        <v>57.61229814651017</v>
      </c>
      <c r="BI50">
        <f t="shared" si="46"/>
        <v>57.61229814651017</v>
      </c>
      <c r="BJ50">
        <f t="shared" si="31"/>
        <v>0</v>
      </c>
      <c r="BK50">
        <f t="shared" si="47"/>
        <v>0</v>
      </c>
      <c r="BM50">
        <f t="shared" si="48"/>
        <v>19.539856867531174</v>
      </c>
      <c r="BN50">
        <f t="shared" si="32"/>
        <v>-156.38049998245353</v>
      </c>
      <c r="BQ50" s="56">
        <f t="shared" si="49"/>
        <v>16.128273170098758</v>
      </c>
      <c r="BR50" s="58"/>
      <c r="BS50" s="58"/>
      <c r="BT50" s="58">
        <v>251.18899999999999</v>
      </c>
      <c r="BU50" s="58">
        <v>27.043399999999998</v>
      </c>
      <c r="BV50" s="58">
        <v>-265.9205</v>
      </c>
      <c r="BW50" s="61"/>
      <c r="BY50" s="58"/>
      <c r="BZ50" s="58"/>
      <c r="CA50" s="58"/>
      <c r="CC50" s="58"/>
    </row>
    <row r="51" spans="1:81" x14ac:dyDescent="0.25">
      <c r="A51">
        <f t="shared" si="54"/>
        <v>8500</v>
      </c>
      <c r="B51">
        <f t="shared" si="33"/>
        <v>8.5</v>
      </c>
      <c r="C51">
        <f t="shared" si="0"/>
        <v>1.0024818575991221</v>
      </c>
      <c r="D51">
        <f t="shared" si="1"/>
        <v>7.0380898436504219E-2</v>
      </c>
      <c r="F51">
        <f t="shared" si="2"/>
        <v>0.52607504420552142</v>
      </c>
      <c r="G51">
        <f t="shared" si="3"/>
        <v>0.30517473244215088</v>
      </c>
      <c r="H51">
        <f t="shared" si="4"/>
        <v>-2.8364179175578492</v>
      </c>
      <c r="J51">
        <f t="shared" si="5"/>
        <v>15</v>
      </c>
      <c r="M51">
        <f t="shared" si="6"/>
        <v>0.14967314926765071</v>
      </c>
      <c r="N51">
        <f t="shared" si="7"/>
        <v>-1.5707963250000001</v>
      </c>
      <c r="O51">
        <f t="shared" si="8"/>
        <v>2.6643279398852004</v>
      </c>
      <c r="P51">
        <f t="shared" si="9"/>
        <v>1.1860444422823264</v>
      </c>
      <c r="Q51">
        <f t="shared" si="10"/>
        <v>2.3990684935370385</v>
      </c>
      <c r="R51">
        <f t="shared" si="11"/>
        <v>1.1408429211200191</v>
      </c>
      <c r="S51">
        <f t="shared" si="12"/>
        <v>0.997842346759098</v>
      </c>
      <c r="T51">
        <f t="shared" si="13"/>
        <v>-6.5702809664467121E-2</v>
      </c>
      <c r="U51">
        <f t="shared" si="14"/>
        <v>0.99858260128607934</v>
      </c>
      <c r="V51">
        <f t="shared" si="15"/>
        <v>-5.3249106603896423E-2</v>
      </c>
      <c r="X51">
        <f t="shared" si="34"/>
        <v>17.548712597171104</v>
      </c>
      <c r="Y51">
        <f t="shared" si="16"/>
        <v>-121.97686465103149</v>
      </c>
      <c r="Z51">
        <f t="shared" si="35"/>
        <v>58.023135348968509</v>
      </c>
      <c r="AC51">
        <v>1</v>
      </c>
      <c r="AD51">
        <f t="shared" si="17"/>
        <v>2.469543150312</v>
      </c>
      <c r="AE51">
        <f t="shared" si="18"/>
        <v>-1.9783661455188968E-5</v>
      </c>
      <c r="AF51">
        <f t="shared" si="19"/>
        <v>3.7117917159749995E-4</v>
      </c>
      <c r="AG51">
        <f t="shared" si="36"/>
        <v>6491.2019186391417</v>
      </c>
      <c r="AH51">
        <f t="shared" si="37"/>
        <v>-3040.094454489672</v>
      </c>
      <c r="AJ51">
        <f t="shared" si="20"/>
        <v>18000</v>
      </c>
      <c r="AK51">
        <f t="shared" si="21"/>
        <v>1184.3552963088</v>
      </c>
      <c r="AL51">
        <v>1</v>
      </c>
      <c r="AM51">
        <f t="shared" si="22"/>
        <v>2.1807176884416002</v>
      </c>
      <c r="AN51">
        <f t="shared" si="38"/>
        <v>3576.1686314459757</v>
      </c>
      <c r="AO51">
        <f t="shared" si="39"/>
        <v>-6614.2588951354292</v>
      </c>
      <c r="AQ51">
        <f t="shared" si="23"/>
        <v>34.482758620689658</v>
      </c>
      <c r="AR51">
        <f t="shared" si="24"/>
        <v>-586.20689655172418</v>
      </c>
      <c r="AT51">
        <f t="shared" si="52"/>
        <v>-1558289.7864719064</v>
      </c>
      <c r="AU51">
        <f t="shared" si="53"/>
        <v>-3910018.1748743132</v>
      </c>
      <c r="AV51">
        <f t="shared" si="42"/>
        <v>-1.9500414951956406</v>
      </c>
      <c r="AW51">
        <f t="shared" si="25"/>
        <v>-3743013.2648015181</v>
      </c>
      <c r="AX51">
        <f t="shared" si="26"/>
        <v>-2350174.1443235134</v>
      </c>
      <c r="AY51">
        <f t="shared" si="50"/>
        <v>-2.5809229040172026</v>
      </c>
      <c r="BA51">
        <f t="shared" si="27"/>
        <v>0.95235619769295177</v>
      </c>
      <c r="BB51">
        <f t="shared" si="43"/>
        <v>-0.42401175164533</v>
      </c>
      <c r="BC51">
        <f t="shared" si="44"/>
        <v>0.63088140882156196</v>
      </c>
      <c r="BD51">
        <f t="shared" si="28"/>
        <v>-143.85315785995326</v>
      </c>
      <c r="BF51">
        <f t="shared" si="29"/>
        <v>17.540297870990514</v>
      </c>
      <c r="BG51">
        <f t="shared" si="30"/>
        <v>-122.33540521364566</v>
      </c>
      <c r="BH51">
        <f t="shared" si="45"/>
        <v>57.664594786354343</v>
      </c>
      <c r="BI51">
        <f t="shared" si="46"/>
        <v>57.664594786354343</v>
      </c>
      <c r="BJ51">
        <f t="shared" si="31"/>
        <v>0</v>
      </c>
      <c r="BK51">
        <f t="shared" si="47"/>
        <v>0</v>
      </c>
      <c r="BM51">
        <f t="shared" si="48"/>
        <v>17.964309622635845</v>
      </c>
      <c r="BN51">
        <f t="shared" si="32"/>
        <v>-158.48224735369243</v>
      </c>
      <c r="BQ51" s="56">
        <f t="shared" si="49"/>
        <v>16.477949048639807</v>
      </c>
      <c r="BR51" s="58"/>
      <c r="BS51" s="58"/>
      <c r="BT51" s="58">
        <v>257.04000000000002</v>
      </c>
      <c r="BU51" s="58">
        <v>26.677600000000002</v>
      </c>
      <c r="BV51" s="58">
        <v>-267.60309999999998</v>
      </c>
      <c r="BW51" s="61"/>
      <c r="BY51" s="58"/>
      <c r="BZ51" s="58"/>
      <c r="CA51" s="58"/>
      <c r="CC51" s="58"/>
    </row>
    <row r="52" spans="1:81" x14ac:dyDescent="0.25">
      <c r="A52">
        <f t="shared" si="54"/>
        <v>9000</v>
      </c>
      <c r="B52">
        <f t="shared" si="33"/>
        <v>9</v>
      </c>
      <c r="C52">
        <f t="shared" si="0"/>
        <v>1.0027820115901596</v>
      </c>
      <c r="D52">
        <f t="shared" si="1"/>
        <v>7.4506069651721143E-2</v>
      </c>
      <c r="F52">
        <f t="shared" si="2"/>
        <v>0.44688877160374413</v>
      </c>
      <c r="G52">
        <f t="shared" si="3"/>
        <v>0.27365013312087327</v>
      </c>
      <c r="H52">
        <f t="shared" si="4"/>
        <v>-2.8679425168791268</v>
      </c>
      <c r="J52">
        <f t="shared" si="5"/>
        <v>15</v>
      </c>
      <c r="M52">
        <f t="shared" si="6"/>
        <v>0.1413579743083368</v>
      </c>
      <c r="N52">
        <f t="shared" si="7"/>
        <v>-1.5707963250000001</v>
      </c>
      <c r="O52">
        <f t="shared" si="8"/>
        <v>2.7995059204997772</v>
      </c>
      <c r="P52">
        <f t="shared" si="9"/>
        <v>1.2055216227195789</v>
      </c>
      <c r="Q52">
        <f t="shared" si="10"/>
        <v>2.5162390250999529</v>
      </c>
      <c r="R52">
        <f t="shared" si="11"/>
        <v>1.1620943763325251</v>
      </c>
      <c r="S52">
        <f t="shared" si="12"/>
        <v>0.99758198631800621</v>
      </c>
      <c r="T52">
        <f t="shared" si="13"/>
        <v>-6.9555571679756387E-2</v>
      </c>
      <c r="U52">
        <f t="shared" si="14"/>
        <v>0.99841135285172766</v>
      </c>
      <c r="V52">
        <f t="shared" si="15"/>
        <v>-5.6374958267903306E-2</v>
      </c>
      <c r="X52">
        <f t="shared" si="34"/>
        <v>16.478178853150343</v>
      </c>
      <c r="Y52">
        <f t="shared" si="16"/>
        <v>-121.61300242478382</v>
      </c>
      <c r="Z52">
        <f t="shared" si="35"/>
        <v>58.386997575216185</v>
      </c>
      <c r="AC52">
        <v>1</v>
      </c>
      <c r="AD52">
        <f t="shared" si="17"/>
        <v>2.6148103944479999</v>
      </c>
      <c r="AE52">
        <f t="shared" si="18"/>
        <v>-2.2179606614121885E-5</v>
      </c>
      <c r="AF52">
        <f t="shared" si="19"/>
        <v>3.9301324051499995E-4</v>
      </c>
      <c r="AG52">
        <f t="shared" si="36"/>
        <v>6488.9757375530335</v>
      </c>
      <c r="AH52">
        <f t="shared" si="37"/>
        <v>-2910.6473046264914</v>
      </c>
      <c r="AJ52">
        <f t="shared" si="20"/>
        <v>18000</v>
      </c>
      <c r="AK52">
        <f t="shared" si="21"/>
        <v>1254.0232549151999</v>
      </c>
      <c r="AL52">
        <v>1</v>
      </c>
      <c r="AM52">
        <f t="shared" si="22"/>
        <v>2.3089951995264002</v>
      </c>
      <c r="AN52">
        <f t="shared" si="38"/>
        <v>3300.2715854277471</v>
      </c>
      <c r="AO52">
        <f t="shared" si="39"/>
        <v>-6366.2879929708497</v>
      </c>
      <c r="AQ52">
        <f t="shared" si="23"/>
        <v>30.76923076923077</v>
      </c>
      <c r="AR52">
        <f t="shared" si="24"/>
        <v>-553.84615384615381</v>
      </c>
      <c r="AT52">
        <f t="shared" si="52"/>
        <v>-1412390.0229453479</v>
      </c>
      <c r="AU52">
        <f t="shared" si="53"/>
        <v>-3683452.6332486486</v>
      </c>
      <c r="AV52">
        <f t="shared" si="42"/>
        <v>-1.9369474838924008</v>
      </c>
      <c r="AW52">
        <f t="shared" si="25"/>
        <v>-3413746.4523192942</v>
      </c>
      <c r="AX52">
        <f t="shared" si="26"/>
        <v>-2048209.7108886824</v>
      </c>
      <c r="AY52">
        <f t="shared" si="50"/>
        <v>-2.6011813728317228</v>
      </c>
      <c r="BA52">
        <f t="shared" si="27"/>
        <v>0.99093111279069412</v>
      </c>
      <c r="BB52">
        <f t="shared" si="43"/>
        <v>-7.9130712004739118E-2</v>
      </c>
      <c r="BC52">
        <f t="shared" si="44"/>
        <v>0.664233888939322</v>
      </c>
      <c r="BD52">
        <f t="shared" si="28"/>
        <v>-141.94220151072801</v>
      </c>
      <c r="BF52">
        <f t="shared" si="29"/>
        <v>16.470814021190098</v>
      </c>
      <c r="BG52">
        <f t="shared" si="30"/>
        <v>-121.99432045776368</v>
      </c>
      <c r="BH52">
        <f t="shared" si="45"/>
        <v>58.005679542236322</v>
      </c>
      <c r="BI52">
        <f t="shared" si="46"/>
        <v>58.005679542236322</v>
      </c>
      <c r="BJ52">
        <f t="shared" si="31"/>
        <v>0</v>
      </c>
      <c r="BK52">
        <f t="shared" si="47"/>
        <v>0</v>
      </c>
      <c r="BM52">
        <f t="shared" si="48"/>
        <v>16.549944733194835</v>
      </c>
      <c r="BN52">
        <f t="shared" si="32"/>
        <v>-160.05211894703567</v>
      </c>
      <c r="BQ52" s="56">
        <f t="shared" si="49"/>
        <v>16.822830088280398</v>
      </c>
      <c r="BR52" s="58"/>
      <c r="BS52" s="58"/>
      <c r="BT52" s="58">
        <v>263.02699999999999</v>
      </c>
      <c r="BU52" s="58">
        <v>26.270299999999999</v>
      </c>
      <c r="BV52" s="58">
        <v>-267.3229</v>
      </c>
      <c r="BW52" s="61"/>
      <c r="BY52" s="58"/>
      <c r="BZ52" s="58"/>
      <c r="CA52" s="58"/>
      <c r="CC52" s="58"/>
    </row>
    <row r="53" spans="1:81" x14ac:dyDescent="0.25">
      <c r="A53">
        <f t="shared" si="54"/>
        <v>9500</v>
      </c>
      <c r="B53">
        <f t="shared" si="33"/>
        <v>9.5</v>
      </c>
      <c r="C53">
        <f t="shared" si="0"/>
        <v>1.0030992195787842</v>
      </c>
      <c r="D53">
        <f t="shared" si="1"/>
        <v>7.8628701997152467E-2</v>
      </c>
      <c r="F53">
        <f t="shared" si="2"/>
        <v>0.38534715819817145</v>
      </c>
      <c r="G53">
        <f t="shared" si="3"/>
        <v>0.24852815766571484</v>
      </c>
      <c r="H53">
        <f t="shared" si="4"/>
        <v>-2.8930644923342852</v>
      </c>
      <c r="J53">
        <f t="shared" si="5"/>
        <v>15</v>
      </c>
      <c r="M53">
        <f t="shared" si="6"/>
        <v>0.13391808092368748</v>
      </c>
      <c r="N53">
        <f t="shared" si="7"/>
        <v>-1.5707963250000001</v>
      </c>
      <c r="O53">
        <f t="shared" si="8"/>
        <v>2.9356478962933257</v>
      </c>
      <c r="P53">
        <f t="shared" si="9"/>
        <v>1.2231984761196564</v>
      </c>
      <c r="Q53">
        <f t="shared" si="10"/>
        <v>2.6344445839474528</v>
      </c>
      <c r="R53">
        <f t="shared" si="11"/>
        <v>1.1814468583506599</v>
      </c>
      <c r="S53">
        <f t="shared" si="12"/>
        <v>0.99730696962027221</v>
      </c>
      <c r="T53">
        <f t="shared" si="13"/>
        <v>-7.3406266543948231E-2</v>
      </c>
      <c r="U53">
        <f t="shared" si="14"/>
        <v>0.99823041455662587</v>
      </c>
      <c r="V53">
        <f t="shared" si="15"/>
        <v>-5.9499707482241468E-2</v>
      </c>
      <c r="X53">
        <f t="shared" si="34"/>
        <v>15.53158427454165</v>
      </c>
      <c r="Y53">
        <f t="shared" si="16"/>
        <v>-121.09421502521693</v>
      </c>
      <c r="Z53">
        <f t="shared" si="35"/>
        <v>58.905784974783074</v>
      </c>
      <c r="AC53">
        <v>1</v>
      </c>
      <c r="AD53">
        <f t="shared" si="17"/>
        <v>2.7600776385840002</v>
      </c>
      <c r="AE53">
        <f t="shared" si="18"/>
        <v>-2.4712462924993826E-5</v>
      </c>
      <c r="AF53">
        <f t="shared" si="19"/>
        <v>4.148473094325E-4</v>
      </c>
      <c r="AG53">
        <f t="shared" si="36"/>
        <v>6486.6240058457906</v>
      </c>
      <c r="AH53">
        <f t="shared" si="37"/>
        <v>-2796.9337847221404</v>
      </c>
      <c r="AJ53">
        <f t="shared" si="20"/>
        <v>18000</v>
      </c>
      <c r="AK53">
        <f t="shared" si="21"/>
        <v>1323.6912135215998</v>
      </c>
      <c r="AL53">
        <v>1</v>
      </c>
      <c r="AM53">
        <f t="shared" si="22"/>
        <v>2.4372727106111998</v>
      </c>
      <c r="AN53">
        <f t="shared" si="38"/>
        <v>3058.398307795183</v>
      </c>
      <c r="AO53">
        <f t="shared" si="39"/>
        <v>-6130.4595202470728</v>
      </c>
      <c r="AQ53">
        <f t="shared" si="23"/>
        <v>27.624309392265193</v>
      </c>
      <c r="AR53">
        <f t="shared" si="24"/>
        <v>-524.86187845303868</v>
      </c>
      <c r="AT53">
        <f t="shared" si="52"/>
        <v>-1288815.4117092509</v>
      </c>
      <c r="AU53">
        <f t="shared" si="53"/>
        <v>-3481845.0247456399</v>
      </c>
      <c r="AV53">
        <f t="shared" si="42"/>
        <v>-1.9253108233414367</v>
      </c>
      <c r="AW53">
        <f t="shared" si="25"/>
        <v>-3122809.4181573382</v>
      </c>
      <c r="AX53">
        <f t="shared" si="26"/>
        <v>-1797942.7104469768</v>
      </c>
      <c r="AY53">
        <f t="shared" si="50"/>
        <v>-2.6191984738718479</v>
      </c>
      <c r="BA53">
        <f t="shared" si="27"/>
        <v>1.0303362303974053</v>
      </c>
      <c r="BB53">
        <f t="shared" si="43"/>
        <v>0.25957942959374258</v>
      </c>
      <c r="BC53">
        <f t="shared" si="44"/>
        <v>0.69388765053041124</v>
      </c>
      <c r="BD53">
        <f t="shared" si="28"/>
        <v>-140.24316612293003</v>
      </c>
      <c r="BF53">
        <f t="shared" si="29"/>
        <v>15.525325672482071</v>
      </c>
      <c r="BG53">
        <f t="shared" si="30"/>
        <v>-121.49845880407499</v>
      </c>
      <c r="BH53">
        <f t="shared" si="45"/>
        <v>58.501541195925014</v>
      </c>
      <c r="BI53">
        <f t="shared" si="46"/>
        <v>58.501541195925014</v>
      </c>
      <c r="BJ53">
        <f t="shared" si="31"/>
        <v>0</v>
      </c>
      <c r="BK53">
        <f t="shared" si="47"/>
        <v>0</v>
      </c>
      <c r="BM53">
        <f t="shared" si="48"/>
        <v>15.26574624288833</v>
      </c>
      <c r="BN53">
        <f t="shared" si="32"/>
        <v>-161.25529268114499</v>
      </c>
      <c r="BQ53" s="56">
        <f t="shared" si="49"/>
        <v>17.161540229878881</v>
      </c>
      <c r="BR53" s="58"/>
      <c r="BS53" s="58"/>
      <c r="BT53" s="58">
        <v>269.15300000000002</v>
      </c>
      <c r="BU53" s="58">
        <v>26.235900000000001</v>
      </c>
      <c r="BV53" s="58">
        <v>-265.67700000000002</v>
      </c>
      <c r="BW53" s="61"/>
      <c r="BY53" s="58"/>
      <c r="BZ53" s="58"/>
      <c r="CA53" s="58"/>
      <c r="CC53" s="58"/>
    </row>
    <row r="54" spans="1:81" x14ac:dyDescent="0.25">
      <c r="A54">
        <f t="shared" si="54"/>
        <v>10000</v>
      </c>
      <c r="B54">
        <f t="shared" si="33"/>
        <v>10</v>
      </c>
      <c r="C54">
        <f t="shared" si="0"/>
        <v>1.0034334653915342</v>
      </c>
      <c r="D54">
        <f t="shared" si="1"/>
        <v>8.2748657812642845E-2</v>
      </c>
      <c r="F54">
        <f t="shared" si="2"/>
        <v>0.33639759699546867</v>
      </c>
      <c r="G54">
        <f t="shared" si="3"/>
        <v>0.22800379901060791</v>
      </c>
      <c r="H54">
        <f t="shared" si="4"/>
        <v>-2.9135888509893921</v>
      </c>
      <c r="J54">
        <f t="shared" si="5"/>
        <v>15</v>
      </c>
      <c r="M54">
        <f t="shared" si="6"/>
        <v>0.12722217687750309</v>
      </c>
      <c r="N54">
        <f t="shared" si="7"/>
        <v>-1.5707963250000001</v>
      </c>
      <c r="O54">
        <f t="shared" si="8"/>
        <v>3.072625731771979</v>
      </c>
      <c r="P54">
        <f t="shared" si="9"/>
        <v>1.2393039254083345</v>
      </c>
      <c r="Q54">
        <f t="shared" si="10"/>
        <v>2.7535518771296821</v>
      </c>
      <c r="R54">
        <f t="shared" si="11"/>
        <v>1.1991312787832062</v>
      </c>
      <c r="S54">
        <f t="shared" si="12"/>
        <v>0.99701733324022446</v>
      </c>
      <c r="T54">
        <f t="shared" si="13"/>
        <v>-7.725478182042278E-2</v>
      </c>
      <c r="U54">
        <f t="shared" si="14"/>
        <v>0.99803980226494304</v>
      </c>
      <c r="V54">
        <f t="shared" si="15"/>
        <v>-6.2623293843034902E-2</v>
      </c>
      <c r="X54">
        <f t="shared" si="34"/>
        <v>14.684980875034103</v>
      </c>
      <c r="Y54">
        <f t="shared" si="16"/>
        <v>-120.49757314550631</v>
      </c>
      <c r="Z54">
        <f t="shared" si="35"/>
        <v>59.502426854493692</v>
      </c>
      <c r="AC54">
        <v>1</v>
      </c>
      <c r="AD54">
        <f t="shared" si="17"/>
        <v>2.9053448827200001</v>
      </c>
      <c r="AE54">
        <f t="shared" si="18"/>
        <v>-2.7382230387804794E-5</v>
      </c>
      <c r="AF54">
        <f t="shared" si="19"/>
        <v>4.3668137835E-4</v>
      </c>
      <c r="AG54">
        <f t="shared" si="36"/>
        <v>6484.1469981315167</v>
      </c>
      <c r="AH54">
        <f t="shared" si="37"/>
        <v>-2696.5894708416527</v>
      </c>
      <c r="AJ54">
        <f t="shared" si="20"/>
        <v>18000</v>
      </c>
      <c r="AK54">
        <f t="shared" si="21"/>
        <v>1393.359172128</v>
      </c>
      <c r="AL54">
        <v>1</v>
      </c>
      <c r="AM54">
        <f t="shared" si="22"/>
        <v>2.5655502216959998</v>
      </c>
      <c r="AN54">
        <f t="shared" si="38"/>
        <v>2845.5020468821808</v>
      </c>
      <c r="AO54">
        <f t="shared" si="39"/>
        <v>-5906.9192350869998</v>
      </c>
      <c r="AQ54">
        <f t="shared" si="23"/>
        <v>24.937655860349128</v>
      </c>
      <c r="AR54">
        <f t="shared" si="24"/>
        <v>-498.75311720698255</v>
      </c>
      <c r="AT54">
        <f t="shared" si="52"/>
        <v>-1183232.9780224822</v>
      </c>
      <c r="AU54">
        <f t="shared" si="53"/>
        <v>-3301235.1479668827</v>
      </c>
      <c r="AV54">
        <f t="shared" si="42"/>
        <v>-1.9149536263025506</v>
      </c>
      <c r="AW54">
        <f t="shared" si="25"/>
        <v>-2865051.449487891</v>
      </c>
      <c r="AX54">
        <f t="shared" si="26"/>
        <v>-1588839.7352830397</v>
      </c>
      <c r="AY54">
        <f t="shared" si="50"/>
        <v>-2.6352560787160759</v>
      </c>
      <c r="BA54">
        <f t="shared" si="27"/>
        <v>1.0704379235452075</v>
      </c>
      <c r="BB54">
        <f t="shared" si="43"/>
        <v>0.59122973819589397</v>
      </c>
      <c r="BC54">
        <f t="shared" si="44"/>
        <v>0.72030245241352531</v>
      </c>
      <c r="BD54">
        <f t="shared" si="28"/>
        <v>-138.72970945662399</v>
      </c>
      <c r="BF54">
        <f t="shared" si="29"/>
        <v>14.679884236480461</v>
      </c>
      <c r="BG54">
        <f t="shared" si="30"/>
        <v>-120.92490518698541</v>
      </c>
      <c r="BH54">
        <f t="shared" si="45"/>
        <v>59.075094813014587</v>
      </c>
      <c r="BI54">
        <f t="shared" si="46"/>
        <v>59.075094813014587</v>
      </c>
      <c r="BJ54">
        <f t="shared" si="31"/>
        <v>0</v>
      </c>
      <c r="BK54">
        <f t="shared" si="47"/>
        <v>0</v>
      </c>
      <c r="BM54">
        <f t="shared" si="48"/>
        <v>14.088654498284566</v>
      </c>
      <c r="BN54">
        <f t="shared" si="32"/>
        <v>-162.19519573036143</v>
      </c>
      <c r="BQ54" s="56">
        <f t="shared" si="49"/>
        <v>17.493190538481031</v>
      </c>
      <c r="BR54" s="58"/>
      <c r="BS54" s="58"/>
      <c r="BT54" s="58">
        <v>275.423</v>
      </c>
      <c r="BU54" s="58">
        <v>25.845600000000001</v>
      </c>
      <c r="BV54" s="58">
        <v>-266.46569999999997</v>
      </c>
      <c r="BW54" s="61"/>
      <c r="BY54" s="58"/>
      <c r="BZ54" s="58"/>
      <c r="CA54" s="58"/>
      <c r="CC54" s="58"/>
    </row>
    <row r="55" spans="1:81" x14ac:dyDescent="0.25">
      <c r="A55">
        <f t="shared" si="54"/>
        <v>10500</v>
      </c>
      <c r="B55">
        <f t="shared" si="33"/>
        <v>10.5</v>
      </c>
      <c r="C55">
        <f t="shared" si="0"/>
        <v>1.0037847320083617</v>
      </c>
      <c r="D55">
        <f t="shared" si="1"/>
        <v>8.6865799980152383E-2</v>
      </c>
      <c r="F55">
        <f t="shared" si="2"/>
        <v>0.29670717954892589</v>
      </c>
      <c r="G55">
        <f t="shared" si="3"/>
        <v>0.21089253133217631</v>
      </c>
      <c r="H55">
        <f t="shared" si="4"/>
        <v>-2.9307001186678239</v>
      </c>
      <c r="J55">
        <f t="shared" si="5"/>
        <v>15</v>
      </c>
      <c r="M55">
        <f t="shared" si="6"/>
        <v>0.12116397797857438</v>
      </c>
      <c r="N55">
        <f t="shared" si="7"/>
        <v>-1.5707963250000001</v>
      </c>
      <c r="O55">
        <f t="shared" si="8"/>
        <v>3.2103324358266834</v>
      </c>
      <c r="P55">
        <f t="shared" si="9"/>
        <v>1.2540312455321283</v>
      </c>
      <c r="Q55">
        <f t="shared" si="10"/>
        <v>2.8734487734948306</v>
      </c>
      <c r="R55">
        <f t="shared" si="11"/>
        <v>1.2153446314816221</v>
      </c>
      <c r="S55">
        <f t="shared" si="12"/>
        <v>0.99671311563821574</v>
      </c>
      <c r="T55">
        <f t="shared" si="13"/>
        <v>-8.1101005458049019E-2</v>
      </c>
      <c r="U55">
        <f t="shared" si="14"/>
        <v>0.99783953267243219</v>
      </c>
      <c r="V55">
        <f t="shared" si="15"/>
        <v>-6.5745657082119296E-2</v>
      </c>
      <c r="X55">
        <f t="shared" si="34"/>
        <v>13.920355364190806</v>
      </c>
      <c r="Y55">
        <f t="shared" si="16"/>
        <v>-119.86858234422469</v>
      </c>
      <c r="Z55">
        <f t="shared" si="35"/>
        <v>60.131417655775309</v>
      </c>
      <c r="AC55">
        <v>1</v>
      </c>
      <c r="AD55">
        <f t="shared" si="17"/>
        <v>3.050612126856</v>
      </c>
      <c r="AE55">
        <f t="shared" si="18"/>
        <v>-3.018890900255479E-5</v>
      </c>
      <c r="AF55">
        <f t="shared" si="19"/>
        <v>4.585154472675E-4</v>
      </c>
      <c r="AG55">
        <f t="shared" si="36"/>
        <v>6481.5450033293719</v>
      </c>
      <c r="AH55">
        <f t="shared" si="37"/>
        <v>-2607.700088245695</v>
      </c>
      <c r="AJ55">
        <f t="shared" si="20"/>
        <v>18000</v>
      </c>
      <c r="AK55">
        <f t="shared" si="21"/>
        <v>1463.0271307344001</v>
      </c>
      <c r="AL55">
        <v>1</v>
      </c>
      <c r="AM55">
        <f t="shared" si="22"/>
        <v>2.6938277327808002</v>
      </c>
      <c r="AN55">
        <f t="shared" si="38"/>
        <v>2657.3718541127864</v>
      </c>
      <c r="AO55">
        <f t="shared" si="39"/>
        <v>-5695.4748661857584</v>
      </c>
      <c r="AQ55">
        <f t="shared" si="23"/>
        <v>22.624434389140273</v>
      </c>
      <c r="AR55">
        <f t="shared" si="24"/>
        <v>-475.11312217194569</v>
      </c>
      <c r="AT55">
        <f t="shared" si="52"/>
        <v>-1092311.2409463851</v>
      </c>
      <c r="AU55">
        <f t="shared" si="53"/>
        <v>-3138464.8225828623</v>
      </c>
      <c r="AV55">
        <f t="shared" si="42"/>
        <v>-1.9057239618628006</v>
      </c>
      <c r="AW55">
        <f t="shared" si="25"/>
        <v>-2636026.1525672041</v>
      </c>
      <c r="AX55">
        <f t="shared" si="26"/>
        <v>-1412804.9464226905</v>
      </c>
      <c r="AY55">
        <f t="shared" si="50"/>
        <v>-2.6495924664741244</v>
      </c>
      <c r="BA55">
        <f t="shared" si="27"/>
        <v>1.1111274827224902</v>
      </c>
      <c r="BB55">
        <f t="shared" si="43"/>
        <v>0.91527779207931326</v>
      </c>
      <c r="BC55">
        <f t="shared" si="44"/>
        <v>0.74386850461132381</v>
      </c>
      <c r="BD55">
        <f t="shared" si="28"/>
        <v>-137.37947412436228</v>
      </c>
      <c r="BF55">
        <f t="shared" si="29"/>
        <v>13.916475790071448</v>
      </c>
      <c r="BG55">
        <f t="shared" si="30"/>
        <v>-120.31917840581355</v>
      </c>
      <c r="BH55">
        <f t="shared" si="45"/>
        <v>59.680821594186455</v>
      </c>
      <c r="BI55">
        <f t="shared" si="46"/>
        <v>59.680821594186455</v>
      </c>
      <c r="BJ55">
        <f t="shared" si="31"/>
        <v>0</v>
      </c>
      <c r="BK55">
        <f t="shared" si="47"/>
        <v>0</v>
      </c>
      <c r="BM55">
        <f t="shared" si="48"/>
        <v>13.001197997992136</v>
      </c>
      <c r="BN55">
        <f t="shared" si="32"/>
        <v>-162.93970428145127</v>
      </c>
      <c r="BQ55" s="56">
        <f t="shared" si="49"/>
        <v>17.817238592364451</v>
      </c>
      <c r="BR55" s="59"/>
      <c r="BS55" s="59"/>
      <c r="BT55" s="59">
        <v>281.83800000000002</v>
      </c>
      <c r="BU55" s="59">
        <v>26.1068</v>
      </c>
      <c r="BV55" s="59">
        <v>-266.67570000000001</v>
      </c>
      <c r="BW55" s="61"/>
      <c r="BY55" s="59"/>
      <c r="BZ55" s="59"/>
      <c r="CA55" s="59"/>
      <c r="CC55" s="59"/>
    </row>
    <row r="56" spans="1:81" x14ac:dyDescent="0.25">
      <c r="A56">
        <f t="shared" si="54"/>
        <v>11000</v>
      </c>
      <c r="B56">
        <f t="shared" si="33"/>
        <v>11</v>
      </c>
      <c r="C56">
        <f t="shared" si="0"/>
        <v>1.0041530015669287</v>
      </c>
      <c r="D56">
        <f t="shared" si="1"/>
        <v>9.0979991950386363E-2</v>
      </c>
      <c r="F56">
        <f t="shared" si="2"/>
        <v>0.26399926589047007</v>
      </c>
      <c r="G56">
        <f t="shared" si="3"/>
        <v>0.19638594825667197</v>
      </c>
      <c r="H56">
        <f t="shared" si="4"/>
        <v>-2.9452067017433281</v>
      </c>
      <c r="J56">
        <f t="shared" si="5"/>
        <v>15</v>
      </c>
      <c r="M56">
        <f t="shared" si="6"/>
        <v>0.11565652443409373</v>
      </c>
      <c r="N56">
        <f t="shared" si="7"/>
        <v>-1.5707963250000001</v>
      </c>
      <c r="O56">
        <f t="shared" si="8"/>
        <v>3.3486780905205298</v>
      </c>
      <c r="P56">
        <f t="shared" si="9"/>
        <v>1.2675444238518214</v>
      </c>
      <c r="Q56">
        <f t="shared" si="10"/>
        <v>2.9940404151336564</v>
      </c>
      <c r="R56">
        <f t="shared" si="11"/>
        <v>1.2302555878967245</v>
      </c>
      <c r="S56">
        <f t="shared" si="12"/>
        <v>0.99639435714654445</v>
      </c>
      <c r="T56">
        <f t="shared" si="13"/>
        <v>-8.4944825810294097E-2</v>
      </c>
      <c r="U56">
        <f t="shared" si="14"/>
        <v>0.99762962330239147</v>
      </c>
      <c r="V56">
        <f t="shared" si="15"/>
        <v>-6.8866737073911666E-2</v>
      </c>
      <c r="X56">
        <f t="shared" si="34"/>
        <v>13.223913224074481</v>
      </c>
      <c r="Y56">
        <f t="shared" si="16"/>
        <v>-119.23449893070904</v>
      </c>
      <c r="Z56">
        <f t="shared" si="35"/>
        <v>60.765501069290963</v>
      </c>
      <c r="AC56">
        <v>1</v>
      </c>
      <c r="AD56">
        <f t="shared" si="17"/>
        <v>3.1958793709919999</v>
      </c>
      <c r="AE56">
        <f t="shared" si="18"/>
        <v>-3.3132498769243802E-5</v>
      </c>
      <c r="AF56">
        <f t="shared" si="19"/>
        <v>4.8034951618499994E-4</v>
      </c>
      <c r="AG56">
        <f t="shared" si="36"/>
        <v>6478.8183245797536</v>
      </c>
      <c r="AH56">
        <f t="shared" si="37"/>
        <v>-2528.6992059704367</v>
      </c>
      <c r="AJ56">
        <f t="shared" si="20"/>
        <v>18000</v>
      </c>
      <c r="AK56">
        <f t="shared" si="21"/>
        <v>1532.6950893408</v>
      </c>
      <c r="AL56">
        <v>1</v>
      </c>
      <c r="AM56">
        <f t="shared" si="22"/>
        <v>2.8221052438656002</v>
      </c>
      <c r="AN56">
        <f t="shared" si="38"/>
        <v>2490.4880047575871</v>
      </c>
      <c r="AO56">
        <f t="shared" si="39"/>
        <v>-5495.7241686699617</v>
      </c>
      <c r="AQ56">
        <f t="shared" si="23"/>
        <v>20.618556701030929</v>
      </c>
      <c r="AR56">
        <f t="shared" si="24"/>
        <v>-453.60824742268039</v>
      </c>
      <c r="AT56">
        <f t="shared" si="52"/>
        <v>-1013454.9320983475</v>
      </c>
      <c r="AU56">
        <f t="shared" si="53"/>
        <v>-2990983.553540722</v>
      </c>
      <c r="AV56">
        <f t="shared" si="42"/>
        <v>-1.8974916873903063</v>
      </c>
      <c r="AW56">
        <f t="shared" si="25"/>
        <v>-2431917.827075351</v>
      </c>
      <c r="AX56">
        <f t="shared" si="26"/>
        <v>-1263557.0715756472</v>
      </c>
      <c r="AY56">
        <f t="shared" si="50"/>
        <v>-2.662410107925143</v>
      </c>
      <c r="BA56">
        <f t="shared" si="27"/>
        <v>1.1523154598750682</v>
      </c>
      <c r="BB56">
        <f t="shared" si="43"/>
        <v>1.2314277714708448</v>
      </c>
      <c r="BC56">
        <f t="shared" si="44"/>
        <v>0.76491842053483672</v>
      </c>
      <c r="BD56">
        <f t="shared" si="28"/>
        <v>-136.17340278146162</v>
      </c>
      <c r="BF56">
        <f t="shared" si="29"/>
        <v>13.221305152355683</v>
      </c>
      <c r="BG56">
        <f t="shared" si="30"/>
        <v>-119.70854721297458</v>
      </c>
      <c r="BH56">
        <f t="shared" si="45"/>
        <v>60.29145278702542</v>
      </c>
      <c r="BI56">
        <f t="shared" si="46"/>
        <v>60.29145278702542</v>
      </c>
      <c r="BJ56">
        <f t="shared" si="31"/>
        <v>0</v>
      </c>
      <c r="BK56">
        <f t="shared" si="47"/>
        <v>0</v>
      </c>
      <c r="BM56">
        <f t="shared" si="48"/>
        <v>11.989877380884836</v>
      </c>
      <c r="BN56">
        <f t="shared" si="32"/>
        <v>-163.53514443151295</v>
      </c>
      <c r="BQ56" s="56">
        <f t="shared" si="49"/>
        <v>18.133388571755983</v>
      </c>
      <c r="BR56" s="59"/>
      <c r="BS56" s="59"/>
      <c r="BT56" s="59">
        <v>288.40300000000002</v>
      </c>
      <c r="BU56" s="59">
        <v>25.784400000000002</v>
      </c>
      <c r="BV56" s="59">
        <v>-268.05989999999997</v>
      </c>
      <c r="BW56" s="61"/>
      <c r="BY56" s="59"/>
      <c r="BZ56" s="59"/>
      <c r="CA56" s="59"/>
      <c r="CC56" s="59"/>
    </row>
    <row r="57" spans="1:81" x14ac:dyDescent="0.25">
      <c r="A57">
        <f t="shared" si="54"/>
        <v>11500</v>
      </c>
      <c r="B57">
        <f t="shared" si="33"/>
        <v>11.5</v>
      </c>
      <c r="C57">
        <f t="shared" si="0"/>
        <v>1.0045382553671036</v>
      </c>
      <c r="D57">
        <f t="shared" si="1"/>
        <v>9.5091097769139904E-2</v>
      </c>
      <c r="F57">
        <f t="shared" si="2"/>
        <v>0.2366713360761547</v>
      </c>
      <c r="G57">
        <f t="shared" si="3"/>
        <v>0.18391381645233054</v>
      </c>
      <c r="H57">
        <f t="shared" si="4"/>
        <v>-2.9576788335476696</v>
      </c>
      <c r="J57">
        <f t="shared" si="5"/>
        <v>15</v>
      </c>
      <c r="M57">
        <f t="shared" si="6"/>
        <v>0.11062797989348097</v>
      </c>
      <c r="N57">
        <f t="shared" si="7"/>
        <v>-1.5707963250000001</v>
      </c>
      <c r="O57">
        <f t="shared" si="8"/>
        <v>3.4875866589636582</v>
      </c>
      <c r="P57">
        <f t="shared" si="9"/>
        <v>1.279983281240753</v>
      </c>
      <c r="Q57">
        <f t="shared" si="10"/>
        <v>3.1152461220116643</v>
      </c>
      <c r="R57">
        <f t="shared" si="11"/>
        <v>1.2440091183805271</v>
      </c>
      <c r="S57">
        <f t="shared" si="12"/>
        <v>0.99606109995472902</v>
      </c>
      <c r="T57">
        <f t="shared" si="13"/>
        <v>-8.8786131654155623E-2</v>
      </c>
      <c r="U57">
        <f t="shared" si="14"/>
        <v>0.99741009250142643</v>
      </c>
      <c r="V57">
        <f t="shared" si="15"/>
        <v>-7.1986473842238968E-2</v>
      </c>
      <c r="X57">
        <f t="shared" si="34"/>
        <v>12.584909875805696</v>
      </c>
      <c r="Y57">
        <f t="shared" si="16"/>
        <v>-118.61167551358257</v>
      </c>
      <c r="Z57">
        <f t="shared" si="35"/>
        <v>61.388324486417432</v>
      </c>
      <c r="AC57">
        <v>1</v>
      </c>
      <c r="AD57">
        <f t="shared" si="17"/>
        <v>3.3411466151280003</v>
      </c>
      <c r="AE57">
        <f t="shared" si="18"/>
        <v>-3.6212999687871849E-5</v>
      </c>
      <c r="AF57">
        <f t="shared" si="19"/>
        <v>5.0218358510249999E-4</v>
      </c>
      <c r="AG57">
        <f t="shared" si="36"/>
        <v>6475.9672791564926</v>
      </c>
      <c r="AH57">
        <f t="shared" si="37"/>
        <v>-2458.2926198330188</v>
      </c>
      <c r="AJ57">
        <f t="shared" si="20"/>
        <v>18000</v>
      </c>
      <c r="AK57">
        <f t="shared" si="21"/>
        <v>1602.3630479471999</v>
      </c>
      <c r="AL57">
        <v>1</v>
      </c>
      <c r="AM57">
        <f t="shared" si="22"/>
        <v>2.9503827549504003</v>
      </c>
      <c r="AN57">
        <f t="shared" si="38"/>
        <v>2341.9010927849004</v>
      </c>
      <c r="AO57">
        <f t="shared" si="39"/>
        <v>-5307.1415500048679</v>
      </c>
      <c r="AQ57">
        <f t="shared" si="23"/>
        <v>18.867924528301888</v>
      </c>
      <c r="AR57">
        <f t="shared" si="24"/>
        <v>-433.96226415094338</v>
      </c>
      <c r="AT57">
        <f t="shared" si="52"/>
        <v>-944618.16937741404</v>
      </c>
      <c r="AU57">
        <f t="shared" si="53"/>
        <v>-2856708.3026496666</v>
      </c>
      <c r="AV57">
        <f t="shared" si="42"/>
        <v>-1.8901449507997483</v>
      </c>
      <c r="AW57">
        <f t="shared" si="25"/>
        <v>-2249461.5552277374</v>
      </c>
      <c r="AX57">
        <f t="shared" si="26"/>
        <v>-1136178.9365072348</v>
      </c>
      <c r="AY57">
        <f t="shared" si="50"/>
        <v>-2.6738819075602853</v>
      </c>
      <c r="BA57">
        <f t="shared" si="27"/>
        <v>1.1939274864435658</v>
      </c>
      <c r="BB57">
        <f t="shared" si="43"/>
        <v>1.5395590116836122</v>
      </c>
      <c r="BC57">
        <f t="shared" si="44"/>
        <v>0.78373695676053701</v>
      </c>
      <c r="BD57">
        <f t="shared" si="28"/>
        <v>-135.0951800778829</v>
      </c>
      <c r="BF57">
        <f t="shared" si="29"/>
        <v>12.583627051535666</v>
      </c>
      <c r="BG57">
        <f t="shared" si="30"/>
        <v>-119.10937601131661</v>
      </c>
      <c r="BH57">
        <f t="shared" si="45"/>
        <v>60.890623988683387</v>
      </c>
      <c r="BI57">
        <f t="shared" si="46"/>
        <v>60.890623988683387</v>
      </c>
      <c r="BJ57">
        <f t="shared" si="31"/>
        <v>0</v>
      </c>
      <c r="BK57">
        <f t="shared" si="47"/>
        <v>0</v>
      </c>
      <c r="BM57">
        <f t="shared" si="48"/>
        <v>11.044068039852055</v>
      </c>
      <c r="BN57">
        <f t="shared" si="32"/>
        <v>-164.01419593343374</v>
      </c>
      <c r="BQ57" s="56">
        <f t="shared" si="49"/>
        <v>18.441519811968746</v>
      </c>
      <c r="BR57" s="59"/>
      <c r="BS57" s="59"/>
      <c r="BT57" s="59">
        <v>295.12099999999998</v>
      </c>
      <c r="BU57" s="59">
        <v>25.581099999999999</v>
      </c>
      <c r="BV57" s="59">
        <v>-265.88</v>
      </c>
      <c r="BW57" s="61"/>
      <c r="BY57" s="59"/>
      <c r="BZ57" s="59"/>
      <c r="CA57" s="59"/>
      <c r="CC57" s="59"/>
    </row>
    <row r="58" spans="1:81" x14ac:dyDescent="0.25">
      <c r="A58">
        <f t="shared" si="54"/>
        <v>12000</v>
      </c>
      <c r="B58">
        <f t="shared" si="33"/>
        <v>12</v>
      </c>
      <c r="C58">
        <f t="shared" si="0"/>
        <v>1.0049404738756593</v>
      </c>
      <c r="D58">
        <f t="shared" si="1"/>
        <v>9.9198982103345948E-2</v>
      </c>
      <c r="F58">
        <f t="shared" si="2"/>
        <v>0.21356580348214435</v>
      </c>
      <c r="G58">
        <f t="shared" si="3"/>
        <v>0.17306244275303795</v>
      </c>
      <c r="H58">
        <f t="shared" si="4"/>
        <v>-2.9685302072469621</v>
      </c>
      <c r="J58">
        <f t="shared" si="5"/>
        <v>15</v>
      </c>
      <c r="M58">
        <f t="shared" si="6"/>
        <v>0.1060184807312526</v>
      </c>
      <c r="N58">
        <f t="shared" si="7"/>
        <v>-1.5707963250000001</v>
      </c>
      <c r="O58">
        <f t="shared" si="8"/>
        <v>3.626993465401902</v>
      </c>
      <c r="P58">
        <f t="shared" si="9"/>
        <v>1.2914676059507941</v>
      </c>
      <c r="Q58">
        <f t="shared" si="10"/>
        <v>3.2369969159181986</v>
      </c>
      <c r="R58">
        <f t="shared" si="11"/>
        <v>1.2567303039767344</v>
      </c>
      <c r="S58">
        <f t="shared" si="12"/>
        <v>0.99571338809414256</v>
      </c>
      <c r="T58">
        <f t="shared" si="13"/>
        <v>-9.2624812208908877E-2</v>
      </c>
      <c r="U58">
        <f t="shared" si="14"/>
        <v>0.99718095943502405</v>
      </c>
      <c r="V58">
        <f t="shared" si="15"/>
        <v>-7.5104807567123136E-2</v>
      </c>
      <c r="X58">
        <f t="shared" si="34"/>
        <v>11.994845396075247</v>
      </c>
      <c r="Y58">
        <f t="shared" si="16"/>
        <v>-118.00978296743261</v>
      </c>
      <c r="Z58">
        <f t="shared" si="35"/>
        <v>61.990217032567386</v>
      </c>
      <c r="AC58">
        <v>1</v>
      </c>
      <c r="AD58">
        <f t="shared" si="17"/>
        <v>3.4864138592639997</v>
      </c>
      <c r="AE58">
        <f t="shared" si="18"/>
        <v>-3.943041175843891E-5</v>
      </c>
      <c r="AF58">
        <f t="shared" si="19"/>
        <v>5.2401765402000004E-4</v>
      </c>
      <c r="AG58">
        <f t="shared" si="36"/>
        <v>6472.9921983751256</v>
      </c>
      <c r="AH58">
        <f t="shared" si="37"/>
        <v>-2395.4016397378582</v>
      </c>
      <c r="AJ58">
        <f t="shared" si="20"/>
        <v>18000</v>
      </c>
      <c r="AK58">
        <f t="shared" si="21"/>
        <v>1672.0310065535998</v>
      </c>
      <c r="AL58">
        <v>1</v>
      </c>
      <c r="AM58">
        <f t="shared" si="22"/>
        <v>3.0786602660352003</v>
      </c>
      <c r="AN58">
        <f t="shared" si="38"/>
        <v>2209.1321042569007</v>
      </c>
      <c r="AO58">
        <f t="shared" si="39"/>
        <v>-5129.1362252448525</v>
      </c>
      <c r="AQ58">
        <f t="shared" si="23"/>
        <v>17.331022530329289</v>
      </c>
      <c r="AR58">
        <f t="shared" si="24"/>
        <v>-415.94454072790296</v>
      </c>
      <c r="AT58">
        <f t="shared" si="52"/>
        <v>-884170.66127094417</v>
      </c>
      <c r="AU58">
        <f t="shared" si="53"/>
        <v>-2733920.5268759253</v>
      </c>
      <c r="AV58">
        <f t="shared" si="42"/>
        <v>-1.8835872761075338</v>
      </c>
      <c r="AW58">
        <f t="shared" si="25"/>
        <v>-2085866.3592252217</v>
      </c>
      <c r="AX58">
        <f t="shared" si="26"/>
        <v>-1026788.4751201759</v>
      </c>
      <c r="AY58">
        <f t="shared" si="50"/>
        <v>-2.6841562328388711</v>
      </c>
      <c r="BA58">
        <f t="shared" si="27"/>
        <v>1.2359011357337382</v>
      </c>
      <c r="BB58">
        <f t="shared" si="43"/>
        <v>1.8396746266649788</v>
      </c>
      <c r="BC58">
        <f t="shared" si="44"/>
        <v>0.80056895673133721</v>
      </c>
      <c r="BD58">
        <f t="shared" si="28"/>
        <v>-134.13077751768972</v>
      </c>
      <c r="BF58">
        <f t="shared" si="29"/>
        <v>11.994940841770491</v>
      </c>
      <c r="BG58">
        <f t="shared" si="30"/>
        <v>-118.53134693137575</v>
      </c>
      <c r="BH58">
        <f t="shared" si="45"/>
        <v>61.468653068624249</v>
      </c>
      <c r="BI58">
        <f t="shared" si="46"/>
        <v>61.468653068624249</v>
      </c>
      <c r="BJ58">
        <f t="shared" si="31"/>
        <v>0</v>
      </c>
      <c r="BK58">
        <f t="shared" si="47"/>
        <v>0</v>
      </c>
      <c r="BM58">
        <f t="shared" si="48"/>
        <v>10.155266215105513</v>
      </c>
      <c r="BN58">
        <f t="shared" si="32"/>
        <v>-164.40056941368604</v>
      </c>
      <c r="BQ58" s="56">
        <f t="shared" si="49"/>
        <v>18.741635426950115</v>
      </c>
      <c r="BR58" s="59"/>
      <c r="BS58" s="59"/>
      <c r="BT58" s="59">
        <v>301.995</v>
      </c>
      <c r="BU58" s="59">
        <v>24.917000000000002</v>
      </c>
      <c r="BV58" s="59">
        <v>-267.13580000000002</v>
      </c>
      <c r="BW58" s="61"/>
      <c r="BY58" s="59"/>
      <c r="BZ58" s="59"/>
      <c r="CA58" s="59"/>
      <c r="CC58" s="59"/>
    </row>
    <row r="59" spans="1:81" x14ac:dyDescent="0.25">
      <c r="A59">
        <f t="shared" si="54"/>
        <v>12500</v>
      </c>
      <c r="B59">
        <f t="shared" si="33"/>
        <v>12.5</v>
      </c>
      <c r="C59">
        <f t="shared" si="0"/>
        <v>1.0053596367311668</v>
      </c>
      <c r="D59">
        <f t="shared" si="1"/>
        <v>0.10330351026681402</v>
      </c>
      <c r="F59">
        <f t="shared" si="2"/>
        <v>0.19382750356650019</v>
      </c>
      <c r="G59">
        <f t="shared" si="3"/>
        <v>0.16352436391514427</v>
      </c>
      <c r="H59">
        <f t="shared" si="4"/>
        <v>-2.9780682860848557</v>
      </c>
      <c r="J59">
        <f t="shared" si="5"/>
        <v>15</v>
      </c>
      <c r="M59">
        <f t="shared" si="6"/>
        <v>0.10177774150200247</v>
      </c>
      <c r="N59">
        <f t="shared" si="7"/>
        <v>-1.5707963250000001</v>
      </c>
      <c r="O59">
        <f t="shared" si="8"/>
        <v>3.7668431924879271</v>
      </c>
      <c r="P59">
        <f t="shared" si="9"/>
        <v>1.3021005019572958</v>
      </c>
      <c r="Q59">
        <f t="shared" si="10"/>
        <v>3.3592335295896545</v>
      </c>
      <c r="R59">
        <f t="shared" si="11"/>
        <v>1.2685274815500533</v>
      </c>
      <c r="S59">
        <f t="shared" si="12"/>
        <v>0.99535126742201818</v>
      </c>
      <c r="T59">
        <f t="shared" si="13"/>
        <v>-9.6460757154661667E-2</v>
      </c>
      <c r="U59">
        <f t="shared" si="14"/>
        <v>0.99694224408293719</v>
      </c>
      <c r="V59">
        <f t="shared" si="15"/>
        <v>-7.8221678591521349E-2</v>
      </c>
      <c r="X59">
        <f t="shared" si="34"/>
        <v>11.446900535758758</v>
      </c>
      <c r="Y59">
        <f t="shared" si="16"/>
        <v>-117.43432094871929</v>
      </c>
      <c r="Z59">
        <f t="shared" si="35"/>
        <v>62.565679051280711</v>
      </c>
      <c r="AC59">
        <v>1</v>
      </c>
      <c r="AD59">
        <f t="shared" si="17"/>
        <v>3.6316811034000001</v>
      </c>
      <c r="AE59">
        <f t="shared" si="18"/>
        <v>-4.2784734980944991E-5</v>
      </c>
      <c r="AF59">
        <f t="shared" si="19"/>
        <v>5.4585172293749999E-4</v>
      </c>
      <c r="AG59">
        <f t="shared" si="36"/>
        <v>6469.8934274973062</v>
      </c>
      <c r="AH59">
        <f t="shared" si="37"/>
        <v>-2339.1199880789336</v>
      </c>
      <c r="AJ59">
        <f t="shared" si="20"/>
        <v>18000</v>
      </c>
      <c r="AK59">
        <f t="shared" si="21"/>
        <v>1741.6989651599999</v>
      </c>
      <c r="AL59">
        <v>1</v>
      </c>
      <c r="AM59">
        <f t="shared" si="22"/>
        <v>3.2069377771199998</v>
      </c>
      <c r="AN59">
        <f t="shared" si="38"/>
        <v>2090.0903813250457</v>
      </c>
      <c r="AO59">
        <f t="shared" si="39"/>
        <v>-4961.0908363064345</v>
      </c>
      <c r="AQ59">
        <f t="shared" si="23"/>
        <v>15.974440894568691</v>
      </c>
      <c r="AR59">
        <f t="shared" si="24"/>
        <v>-399.36102236421726</v>
      </c>
      <c r="AT59">
        <f t="shared" si="52"/>
        <v>-830800.4197200645</v>
      </c>
      <c r="AU59">
        <f t="shared" si="53"/>
        <v>-2621189.3877877253</v>
      </c>
      <c r="AV59">
        <f t="shared" si="42"/>
        <v>-1.8777351431007285</v>
      </c>
      <c r="AW59">
        <f t="shared" si="25"/>
        <v>-1938745.540767991</v>
      </c>
      <c r="AX59">
        <f t="shared" si="26"/>
        <v>-932296.13461769174</v>
      </c>
      <c r="AY59">
        <f t="shared" si="50"/>
        <v>-2.6933609858565637</v>
      </c>
      <c r="BA59">
        <f t="shared" si="27"/>
        <v>1.2781835374073141</v>
      </c>
      <c r="BB59">
        <f t="shared" si="43"/>
        <v>2.1318643935074522</v>
      </c>
      <c r="BC59">
        <f t="shared" si="44"/>
        <v>0.81562584275583516</v>
      </c>
      <c r="BD59">
        <f t="shared" si="28"/>
        <v>-133.26808149489071</v>
      </c>
      <c r="BF59">
        <f t="shared" si="29"/>
        <v>11.448426522146285</v>
      </c>
      <c r="BG59">
        <f t="shared" si="30"/>
        <v>-117.97997043034752</v>
      </c>
      <c r="BH59">
        <f t="shared" si="45"/>
        <v>62.020029569652479</v>
      </c>
      <c r="BI59">
        <f t="shared" si="46"/>
        <v>62.020029569652479</v>
      </c>
      <c r="BJ59">
        <f t="shared" si="31"/>
        <v>0</v>
      </c>
      <c r="BK59">
        <f t="shared" si="47"/>
        <v>0</v>
      </c>
      <c r="BM59">
        <f t="shared" si="48"/>
        <v>9.3165621286388323</v>
      </c>
      <c r="BN59">
        <f t="shared" si="32"/>
        <v>-164.71188893545681</v>
      </c>
      <c r="BQ59" s="56">
        <f t="shared" si="49"/>
        <v>19.033825193792588</v>
      </c>
      <c r="BR59" s="59"/>
      <c r="BS59" s="59"/>
      <c r="BT59" s="59">
        <v>309.02999999999997</v>
      </c>
      <c r="BU59" s="59">
        <v>24.825199999999999</v>
      </c>
      <c r="BV59" s="59">
        <v>-265.03610000000003</v>
      </c>
      <c r="BW59" s="61"/>
      <c r="BY59" s="59"/>
      <c r="BZ59" s="59"/>
      <c r="CA59" s="59"/>
      <c r="CC59" s="59"/>
    </row>
    <row r="60" spans="1:81" x14ac:dyDescent="0.25">
      <c r="A60">
        <f t="shared" si="54"/>
        <v>13000</v>
      </c>
      <c r="B60">
        <f t="shared" si="33"/>
        <v>13</v>
      </c>
      <c r="C60">
        <f t="shared" si="0"/>
        <v>1.0057957227490832</v>
      </c>
      <c r="D60">
        <f t="shared" si="1"/>
        <v>0.10740454824564846</v>
      </c>
      <c r="F60">
        <f t="shared" si="2"/>
        <v>0.17681218975196905</v>
      </c>
      <c r="G60">
        <f t="shared" si="3"/>
        <v>0.15506623048954132</v>
      </c>
      <c r="H60">
        <f t="shared" si="4"/>
        <v>-2.9865264195104588</v>
      </c>
      <c r="J60">
        <f t="shared" si="5"/>
        <v>15</v>
      </c>
      <c r="M60">
        <f t="shared" si="6"/>
        <v>9.7863212982694694E-2</v>
      </c>
      <c r="N60">
        <f t="shared" si="7"/>
        <v>-1.5707963250000001</v>
      </c>
      <c r="O60">
        <f t="shared" si="8"/>
        <v>3.9070882790071328</v>
      </c>
      <c r="P60">
        <f t="shared" si="9"/>
        <v>1.3119711117616597</v>
      </c>
      <c r="Q60">
        <f t="shared" si="10"/>
        <v>3.4819047974743693</v>
      </c>
      <c r="R60">
        <f t="shared" si="11"/>
        <v>1.2794948426390158</v>
      </c>
      <c r="S60">
        <f t="shared" si="12"/>
        <v>0.99497478560483754</v>
      </c>
      <c r="T60">
        <f t="shared" si="13"/>
        <v>-0.10029385665070895</v>
      </c>
      <c r="U60">
        <f t="shared" si="14"/>
        <v>0.99669396723437886</v>
      </c>
      <c r="V60">
        <f t="shared" si="15"/>
        <v>-8.1337027428019029E-2</v>
      </c>
      <c r="X60">
        <f t="shared" si="34"/>
        <v>10.935534750151898</v>
      </c>
      <c r="Y60">
        <f t="shared" si="16"/>
        <v>-116.88815310594623</v>
      </c>
      <c r="Z60">
        <f t="shared" si="35"/>
        <v>63.11184689405377</v>
      </c>
      <c r="AC60">
        <v>1</v>
      </c>
      <c r="AD60">
        <f t="shared" si="17"/>
        <v>3.7769483475360004</v>
      </c>
      <c r="AE60">
        <f t="shared" si="18"/>
        <v>-4.6275969355390112E-5</v>
      </c>
      <c r="AF60">
        <f t="shared" si="19"/>
        <v>5.6768579185499993E-4</v>
      </c>
      <c r="AG60">
        <f t="shared" si="36"/>
        <v>6466.6713256313478</v>
      </c>
      <c r="AH60">
        <f t="shared" si="37"/>
        <v>-2288.6806447115646</v>
      </c>
      <c r="AJ60">
        <f t="shared" si="20"/>
        <v>18000</v>
      </c>
      <c r="AK60">
        <f t="shared" si="21"/>
        <v>1811.3669237663999</v>
      </c>
      <c r="AL60">
        <v>1</v>
      </c>
      <c r="AM60">
        <f t="shared" si="22"/>
        <v>3.3352152882047998</v>
      </c>
      <c r="AN60">
        <f t="shared" si="38"/>
        <v>1983.0065043604814</v>
      </c>
      <c r="AO60">
        <f t="shared" si="39"/>
        <v>-4802.3866861862352</v>
      </c>
      <c r="AQ60">
        <f t="shared" si="23"/>
        <v>14.771048744460856</v>
      </c>
      <c r="AR60">
        <f t="shared" si="24"/>
        <v>-384.04726735598229</v>
      </c>
      <c r="AT60">
        <f t="shared" si="52"/>
        <v>-783442.03008669626</v>
      </c>
      <c r="AU60">
        <f t="shared" si="53"/>
        <v>-2517313.664861545</v>
      </c>
      <c r="AV60">
        <f t="shared" si="42"/>
        <v>-1.8725159792349646</v>
      </c>
      <c r="AW60">
        <f t="shared" si="25"/>
        <v>-1806055.5683885822</v>
      </c>
      <c r="AX60">
        <f t="shared" si="26"/>
        <v>-850224.32576921058</v>
      </c>
      <c r="AY60">
        <f t="shared" si="50"/>
        <v>-2.7016069157745575</v>
      </c>
      <c r="BA60">
        <f t="shared" si="27"/>
        <v>1.3207295417674512</v>
      </c>
      <c r="BB60">
        <f t="shared" si="43"/>
        <v>2.4162778429233351</v>
      </c>
      <c r="BC60">
        <f t="shared" si="44"/>
        <v>0.82909093653959287</v>
      </c>
      <c r="BD60">
        <f t="shared" si="28"/>
        <v>-132.49658844945199</v>
      </c>
      <c r="BF60">
        <f t="shared" si="29"/>
        <v>10.938542767280907</v>
      </c>
      <c r="BG60">
        <f t="shared" si="30"/>
        <v>-117.45812056522959</v>
      </c>
      <c r="BH60">
        <f t="shared" si="45"/>
        <v>62.541879434770408</v>
      </c>
      <c r="BI60">
        <f t="shared" si="46"/>
        <v>62.541879434770408</v>
      </c>
      <c r="BJ60">
        <f t="shared" si="31"/>
        <v>0</v>
      </c>
      <c r="BK60">
        <f t="shared" si="47"/>
        <v>0</v>
      </c>
      <c r="BM60">
        <f t="shared" si="48"/>
        <v>8.5222649243575717</v>
      </c>
      <c r="BN60">
        <f t="shared" si="32"/>
        <v>-164.9615321157776</v>
      </c>
      <c r="BQ60" s="56">
        <f t="shared" si="49"/>
        <v>19.318238643208471</v>
      </c>
      <c r="BR60" s="59"/>
      <c r="BS60" s="59"/>
      <c r="BT60" s="59">
        <v>316.22800000000001</v>
      </c>
      <c r="BU60" s="59">
        <v>24.722000000000001</v>
      </c>
      <c r="BV60" s="59">
        <v>-265.21839999999997</v>
      </c>
      <c r="BW60" s="61"/>
      <c r="BY60" s="59"/>
      <c r="BZ60" s="59"/>
      <c r="CA60" s="59"/>
      <c r="CC60" s="59"/>
    </row>
    <row r="61" spans="1:81" x14ac:dyDescent="0.25">
      <c r="A61">
        <f t="shared" si="54"/>
        <v>13500</v>
      </c>
      <c r="B61">
        <f t="shared" si="33"/>
        <v>13.5</v>
      </c>
      <c r="C61">
        <f t="shared" si="0"/>
        <v>1.0062487099270319</v>
      </c>
      <c r="D61">
        <f t="shared" si="1"/>
        <v>0.11150196272333443</v>
      </c>
      <c r="F61">
        <f t="shared" si="2"/>
        <v>0.16202608681005143</v>
      </c>
      <c r="G61">
        <f t="shared" si="3"/>
        <v>0.14750766650775665</v>
      </c>
      <c r="H61">
        <f t="shared" si="4"/>
        <v>-2.9940849834922436</v>
      </c>
      <c r="J61">
        <f t="shared" si="5"/>
        <v>15</v>
      </c>
      <c r="M61">
        <f t="shared" si="6"/>
        <v>9.4238649538891189E-2</v>
      </c>
      <c r="N61">
        <f t="shared" si="7"/>
        <v>-1.5707963250000001</v>
      </c>
      <c r="O61">
        <f t="shared" si="8"/>
        <v>4.0476876296911719</v>
      </c>
      <c r="P61">
        <f t="shared" si="9"/>
        <v>1.321156839977716</v>
      </c>
      <c r="Q61">
        <f t="shared" si="10"/>
        <v>3.6049663480719083</v>
      </c>
      <c r="R61">
        <f t="shared" si="11"/>
        <v>1.2897145857049757</v>
      </c>
      <c r="S61">
        <f t="shared" si="12"/>
        <v>0.99458399210111526</v>
      </c>
      <c r="T61">
        <f t="shared" si="13"/>
        <v>-0.10412400135368015</v>
      </c>
      <c r="U61">
        <f t="shared" si="14"/>
        <v>0.99643615048303436</v>
      </c>
      <c r="V61">
        <f t="shared" si="15"/>
        <v>-8.4450794765474207E-2</v>
      </c>
      <c r="X61">
        <f t="shared" si="34"/>
        <v>10.456194750515188</v>
      </c>
      <c r="Y61">
        <f t="shared" si="16"/>
        <v>-116.37246761351027</v>
      </c>
      <c r="Z61">
        <f t="shared" si="35"/>
        <v>63.627532386489733</v>
      </c>
      <c r="AC61">
        <v>1</v>
      </c>
      <c r="AD61">
        <f t="shared" si="17"/>
        <v>3.9222155916720003</v>
      </c>
      <c r="AE61">
        <f t="shared" si="18"/>
        <v>-4.9904114881774234E-5</v>
      </c>
      <c r="AF61">
        <f t="shared" si="19"/>
        <v>5.8951986077249998E-4</v>
      </c>
      <c r="AG61">
        <f t="shared" si="36"/>
        <v>6463.3262656290317</v>
      </c>
      <c r="AH61">
        <f t="shared" si="37"/>
        <v>-2243.4300597528477</v>
      </c>
      <c r="AJ61">
        <f t="shared" si="20"/>
        <v>18000</v>
      </c>
      <c r="AK61">
        <f t="shared" si="21"/>
        <v>1881.0348823728</v>
      </c>
      <c r="AL61">
        <v>1</v>
      </c>
      <c r="AM61">
        <f t="shared" si="22"/>
        <v>3.4634927992895999</v>
      </c>
      <c r="AN61">
        <f t="shared" si="38"/>
        <v>1886.3774470033682</v>
      </c>
      <c r="AO61">
        <f t="shared" si="39"/>
        <v>-4652.4198220656644</v>
      </c>
      <c r="AQ61">
        <f t="shared" si="23"/>
        <v>13.698630136986301</v>
      </c>
      <c r="AR61">
        <f t="shared" si="24"/>
        <v>-369.86301369863014</v>
      </c>
      <c r="AT61">
        <f t="shared" si="52"/>
        <v>-741223.08695476514</v>
      </c>
      <c r="AU61">
        <f t="shared" si="53"/>
        <v>-2421277.2497498179</v>
      </c>
      <c r="AV61">
        <f t="shared" si="42"/>
        <v>-1.8678664925036212</v>
      </c>
      <c r="AW61">
        <f t="shared" si="25"/>
        <v>-1686043.4947497209</v>
      </c>
      <c r="AX61">
        <f t="shared" si="26"/>
        <v>-778571.85296476434</v>
      </c>
      <c r="AY61">
        <f t="shared" si="50"/>
        <v>-2.7089903266597353</v>
      </c>
      <c r="BA61">
        <f t="shared" si="27"/>
        <v>1.3635002914352066</v>
      </c>
      <c r="BB61">
        <f t="shared" si="43"/>
        <v>2.6931047020793915</v>
      </c>
      <c r="BC61">
        <f t="shared" si="44"/>
        <v>0.84112383415611403</v>
      </c>
      <c r="BD61">
        <f t="shared" si="28"/>
        <v>-131.80715419992453</v>
      </c>
      <c r="BF61">
        <f t="shared" si="29"/>
        <v>10.460735479251957</v>
      </c>
      <c r="BG61">
        <f t="shared" si="30"/>
        <v>-116.96699557477736</v>
      </c>
      <c r="BH61">
        <f t="shared" si="45"/>
        <v>63.033004425222643</v>
      </c>
      <c r="BI61">
        <f t="shared" si="46"/>
        <v>63.033004425222643</v>
      </c>
      <c r="BJ61">
        <f t="shared" si="31"/>
        <v>0</v>
      </c>
      <c r="BK61">
        <f t="shared" si="47"/>
        <v>0</v>
      </c>
      <c r="BM61">
        <f t="shared" si="48"/>
        <v>7.767630777172565</v>
      </c>
      <c r="BN61">
        <f t="shared" si="32"/>
        <v>-165.15984137485285</v>
      </c>
      <c r="BQ61" s="56">
        <f t="shared" si="49"/>
        <v>19.595065502364527</v>
      </c>
      <c r="BR61" s="59"/>
      <c r="BS61" s="59"/>
      <c r="BT61" s="59">
        <v>323.59399999999999</v>
      </c>
      <c r="BU61" s="59">
        <v>24.5962</v>
      </c>
      <c r="BV61" s="59">
        <v>-266.99490000000003</v>
      </c>
      <c r="BW61" s="61"/>
      <c r="BY61" s="59"/>
      <c r="BZ61" s="59"/>
      <c r="CA61" s="59"/>
      <c r="CC61" s="59"/>
    </row>
    <row r="62" spans="1:81" x14ac:dyDescent="0.25">
      <c r="A62">
        <f t="shared" si="54"/>
        <v>14000</v>
      </c>
      <c r="B62">
        <f t="shared" si="33"/>
        <v>14</v>
      </c>
      <c r="C62">
        <f t="shared" si="0"/>
        <v>1.0067185754502694</v>
      </c>
      <c r="D62">
        <f t="shared" si="1"/>
        <v>0.11559562110548081</v>
      </c>
      <c r="F62">
        <f t="shared" si="2"/>
        <v>0.14908494083329288</v>
      </c>
      <c r="G62">
        <f t="shared" si="3"/>
        <v>0.14070697398518145</v>
      </c>
      <c r="H62">
        <f t="shared" si="4"/>
        <v>-3.0008856760148186</v>
      </c>
      <c r="J62">
        <f t="shared" si="5"/>
        <v>15</v>
      </c>
      <c r="M62">
        <f t="shared" si="6"/>
        <v>9.0872983483930789E-2</v>
      </c>
      <c r="N62">
        <f t="shared" si="7"/>
        <v>-1.5707963250000001</v>
      </c>
      <c r="O62">
        <f t="shared" si="8"/>
        <v>4.1886055698278257</v>
      </c>
      <c r="P62">
        <f t="shared" si="9"/>
        <v>1.3297251773117702</v>
      </c>
      <c r="Q62">
        <f t="shared" si="10"/>
        <v>3.7283795357349305</v>
      </c>
      <c r="R62">
        <f t="shared" si="11"/>
        <v>1.2992587034313137</v>
      </c>
      <c r="S62">
        <f t="shared" si="12"/>
        <v>0.99417893814358826</v>
      </c>
      <c r="T62">
        <f t="shared" si="13"/>
        <v>-0.10795108243547208</v>
      </c>
      <c r="U62">
        <f t="shared" si="14"/>
        <v>0.9961688162218888</v>
      </c>
      <c r="V62">
        <f t="shared" si="15"/>
        <v>-8.7562921475611233E-2</v>
      </c>
      <c r="X62">
        <f t="shared" si="34"/>
        <v>10.005099750388551</v>
      </c>
      <c r="Y62">
        <f t="shared" si="16"/>
        <v>-115.88738933226132</v>
      </c>
      <c r="Z62">
        <f t="shared" si="35"/>
        <v>64.112610667738679</v>
      </c>
      <c r="AC62">
        <v>1</v>
      </c>
      <c r="AD62">
        <f t="shared" si="17"/>
        <v>4.0674828358079997</v>
      </c>
      <c r="AE62">
        <f t="shared" si="18"/>
        <v>-5.3669171560097397E-5</v>
      </c>
      <c r="AF62">
        <f t="shared" si="19"/>
        <v>6.1135392969000003E-4</v>
      </c>
      <c r="AG62">
        <f t="shared" si="36"/>
        <v>6459.8586339786789</v>
      </c>
      <c r="AH62">
        <f t="shared" si="37"/>
        <v>-2202.8078922529353</v>
      </c>
      <c r="AJ62">
        <f t="shared" si="20"/>
        <v>18000</v>
      </c>
      <c r="AK62">
        <f t="shared" si="21"/>
        <v>1950.7028409791997</v>
      </c>
      <c r="AL62">
        <v>1</v>
      </c>
      <c r="AM62">
        <f t="shared" si="22"/>
        <v>3.5917703103743999</v>
      </c>
      <c r="AN62">
        <f t="shared" si="38"/>
        <v>1798.921747753406</v>
      </c>
      <c r="AO62">
        <f t="shared" si="39"/>
        <v>-4510.6108832883092</v>
      </c>
      <c r="AQ62">
        <f t="shared" si="23"/>
        <v>12.738853503184714</v>
      </c>
      <c r="AR62">
        <f t="shared" si="24"/>
        <v>-356.68789808917199</v>
      </c>
      <c r="AT62">
        <f t="shared" si="52"/>
        <v>-703423.72419240139</v>
      </c>
      <c r="AU62">
        <f t="shared" si="53"/>
        <v>-2332214.6451421143</v>
      </c>
      <c r="AV62">
        <f t="shared" si="42"/>
        <v>-1.86373128507431</v>
      </c>
      <c r="AW62">
        <f t="shared" si="25"/>
        <v>-1577202.2427483757</v>
      </c>
      <c r="AX62">
        <f t="shared" si="26"/>
        <v>-715711.25032696326</v>
      </c>
      <c r="AY62">
        <f t="shared" si="50"/>
        <v>-2.7155953017305952</v>
      </c>
      <c r="BA62">
        <f t="shared" si="27"/>
        <v>1.4064620986768501</v>
      </c>
      <c r="BB62">
        <f t="shared" si="43"/>
        <v>2.9625606659321764</v>
      </c>
      <c r="BC62">
        <f t="shared" si="44"/>
        <v>0.85186401665628519</v>
      </c>
      <c r="BD62">
        <f t="shared" si="28"/>
        <v>-131.19178707076128</v>
      </c>
      <c r="BF62">
        <f t="shared" si="29"/>
        <v>10.011223034308239</v>
      </c>
      <c r="BG62">
        <f t="shared" si="30"/>
        <v>-116.50673007703574</v>
      </c>
      <c r="BH62">
        <f t="shared" si="45"/>
        <v>63.493269922964259</v>
      </c>
      <c r="BI62">
        <f t="shared" si="46"/>
        <v>63.493269922964259</v>
      </c>
      <c r="BJ62">
        <f t="shared" si="31"/>
        <v>0</v>
      </c>
      <c r="BK62">
        <f t="shared" si="47"/>
        <v>0</v>
      </c>
      <c r="BM62">
        <f t="shared" si="48"/>
        <v>7.0486623683760632</v>
      </c>
      <c r="BN62">
        <f t="shared" si="32"/>
        <v>-165.31494300627449</v>
      </c>
      <c r="BQ62" s="56">
        <f t="shared" si="49"/>
        <v>19.864521466217312</v>
      </c>
      <c r="BR62" s="59"/>
      <c r="BS62" s="59"/>
      <c r="BT62" s="59">
        <v>331.13099999999997</v>
      </c>
      <c r="BU62" s="59">
        <v>24.386800000000001</v>
      </c>
      <c r="BV62" s="59">
        <v>-265.09339999999997</v>
      </c>
      <c r="BW62" s="61"/>
      <c r="BY62" s="59"/>
      <c r="BZ62" s="59"/>
      <c r="CA62" s="59"/>
      <c r="CC62" s="59"/>
    </row>
    <row r="63" spans="1:81" x14ac:dyDescent="0.25">
      <c r="A63">
        <f t="shared" si="54"/>
        <v>14500</v>
      </c>
      <c r="B63">
        <f t="shared" si="33"/>
        <v>14.5</v>
      </c>
      <c r="C63">
        <f t="shared" si="0"/>
        <v>1.0072052956973379</v>
      </c>
      <c r="D63">
        <f t="shared" si="1"/>
        <v>0.11968539154420886</v>
      </c>
      <c r="F63">
        <f t="shared" si="2"/>
        <v>0.137685647293669</v>
      </c>
      <c r="G63">
        <f t="shared" si="3"/>
        <v>0.13455123299128532</v>
      </c>
      <c r="H63">
        <f t="shared" si="4"/>
        <v>-3.0070414170087147</v>
      </c>
      <c r="J63">
        <f t="shared" si="5"/>
        <v>15</v>
      </c>
      <c r="M63">
        <f t="shared" si="6"/>
        <v>8.7739432329312486E-2</v>
      </c>
      <c r="N63">
        <f t="shared" si="7"/>
        <v>-1.5707963250000001</v>
      </c>
      <c r="O63">
        <f t="shared" si="8"/>
        <v>4.3298109931113826</v>
      </c>
      <c r="P63">
        <f t="shared" si="9"/>
        <v>1.337735203520078</v>
      </c>
      <c r="Q63">
        <f t="shared" si="10"/>
        <v>3.8521105635668538</v>
      </c>
      <c r="R63">
        <f t="shared" si="11"/>
        <v>1.3081904715569832</v>
      </c>
      <c r="S63">
        <f t="shared" si="12"/>
        <v>0.99375967672082544</v>
      </c>
      <c r="T63">
        <f t="shared" si="13"/>
        <v>-0.11177499160096001</v>
      </c>
      <c r="U63">
        <f t="shared" si="14"/>
        <v>0.99589198763787568</v>
      </c>
      <c r="V63">
        <f t="shared" si="15"/>
        <v>-9.0673348619562097E-2</v>
      </c>
      <c r="X63">
        <f t="shared" si="34"/>
        <v>9.5790808382069415</v>
      </c>
      <c r="Y63">
        <f t="shared" si="16"/>
        <v>-115.43237561669049</v>
      </c>
      <c r="Z63">
        <f t="shared" si="35"/>
        <v>64.567624383309507</v>
      </c>
      <c r="AC63">
        <v>1</v>
      </c>
      <c r="AD63">
        <f t="shared" si="17"/>
        <v>4.2127500799439996</v>
      </c>
      <c r="AE63">
        <f t="shared" si="18"/>
        <v>-5.7571139390359594E-5</v>
      </c>
      <c r="AF63">
        <f t="shared" si="19"/>
        <v>6.3318799860749998E-4</v>
      </c>
      <c r="AG63">
        <f t="shared" si="36"/>
        <v>6456.2688306945593</v>
      </c>
      <c r="AH63">
        <f t="shared" si="37"/>
        <v>-2166.3309409056492</v>
      </c>
      <c r="AJ63">
        <f t="shared" si="20"/>
        <v>18000</v>
      </c>
      <c r="AK63">
        <f t="shared" si="21"/>
        <v>2020.3707995855998</v>
      </c>
      <c r="AL63">
        <v>1</v>
      </c>
      <c r="AM63">
        <f t="shared" si="22"/>
        <v>3.7200478214591999</v>
      </c>
      <c r="AN63">
        <f t="shared" si="38"/>
        <v>1719.5428205613357</v>
      </c>
      <c r="AO63">
        <f t="shared" si="39"/>
        <v>-4376.4107239494051</v>
      </c>
      <c r="AQ63">
        <f t="shared" si="23"/>
        <v>11.876484560570072</v>
      </c>
      <c r="AR63">
        <f t="shared" si="24"/>
        <v>-344.41805225653206</v>
      </c>
      <c r="AT63">
        <f t="shared" si="52"/>
        <v>-669445.70612315042</v>
      </c>
      <c r="AU63">
        <f t="shared" si="53"/>
        <v>-2249383.9314851291</v>
      </c>
      <c r="AV63">
        <f t="shared" si="42"/>
        <v>-1.8600616976897693</v>
      </c>
      <c r="AW63">
        <f t="shared" si="25"/>
        <v>-1478232.850475644</v>
      </c>
      <c r="AX63">
        <f t="shared" si="26"/>
        <v>-660310.40277855517</v>
      </c>
      <c r="AY63">
        <f t="shared" si="50"/>
        <v>-2.7214955390267646</v>
      </c>
      <c r="BA63">
        <f t="shared" si="27"/>
        <v>1.4495855546886309</v>
      </c>
      <c r="BB63">
        <f t="shared" si="43"/>
        <v>3.2248770510494165</v>
      </c>
      <c r="BC63">
        <f t="shared" si="44"/>
        <v>0.8614338413369953</v>
      </c>
      <c r="BD63">
        <f t="shared" si="28"/>
        <v>-130.64347650524994</v>
      </c>
      <c r="BF63">
        <f t="shared" si="29"/>
        <v>9.586835655895845</v>
      </c>
      <c r="BG63">
        <f t="shared" si="30"/>
        <v>-116.0767909050691</v>
      </c>
      <c r="BH63">
        <f t="shared" si="45"/>
        <v>63.923209094930897</v>
      </c>
      <c r="BI63">
        <f t="shared" si="46"/>
        <v>63.923209094930897</v>
      </c>
      <c r="BJ63">
        <f t="shared" si="31"/>
        <v>0</v>
      </c>
      <c r="BK63">
        <f t="shared" si="47"/>
        <v>0</v>
      </c>
      <c r="BM63">
        <f t="shared" si="48"/>
        <v>6.3619586048464285</v>
      </c>
      <c r="BN63">
        <f t="shared" si="32"/>
        <v>-165.43331439981918</v>
      </c>
      <c r="BQ63" s="56">
        <f t="shared" si="49"/>
        <v>20.12683785133455</v>
      </c>
      <c r="BR63" s="59"/>
      <c r="BS63" s="59"/>
      <c r="BT63" s="59">
        <v>338.84399999999999</v>
      </c>
      <c r="BU63" s="59">
        <v>24.136900000000001</v>
      </c>
      <c r="BV63" s="59">
        <v>-266.42009999999999</v>
      </c>
      <c r="BW63" s="61"/>
      <c r="BY63" s="59"/>
      <c r="BZ63" s="59"/>
      <c r="CA63" s="59"/>
      <c r="CC63" s="59"/>
    </row>
    <row r="64" spans="1:81" x14ac:dyDescent="0.25">
      <c r="A64">
        <f t="shared" si="54"/>
        <v>15000</v>
      </c>
      <c r="B64">
        <f t="shared" si="33"/>
        <v>15</v>
      </c>
      <c r="C64">
        <f t="shared" si="0"/>
        <v>1.0077088462458996</v>
      </c>
      <c r="D64">
        <f t="shared" si="1"/>
        <v>0.12377114296217653</v>
      </c>
      <c r="F64">
        <f t="shared" si="2"/>
        <v>0.12758619496253676</v>
      </c>
      <c r="G64">
        <f t="shared" si="3"/>
        <v>0.12894929886772449</v>
      </c>
      <c r="H64">
        <f t="shared" si="4"/>
        <v>-3.0126433511322759</v>
      </c>
      <c r="J64">
        <f t="shared" si="5"/>
        <v>15</v>
      </c>
      <c r="M64">
        <f t="shared" si="6"/>
        <v>8.4814784585002079E-2</v>
      </c>
      <c r="N64">
        <f t="shared" si="7"/>
        <v>-1.5707963250000001</v>
      </c>
      <c r="O64">
        <f t="shared" si="8"/>
        <v>4.4712766629880329</v>
      </c>
      <c r="P64">
        <f t="shared" si="9"/>
        <v>1.3452388314522157</v>
      </c>
      <c r="Q64">
        <f t="shared" si="10"/>
        <v>3.9761297595903344</v>
      </c>
      <c r="R64">
        <f t="shared" si="11"/>
        <v>1.3165656932048908</v>
      </c>
      <c r="S64">
        <f t="shared" si="12"/>
        <v>0.99332626255826817</v>
      </c>
      <c r="T64">
        <f t="shared" si="13"/>
        <v>-0.11559562110548081</v>
      </c>
      <c r="U64">
        <f t="shared" si="14"/>
        <v>0.99560568870634525</v>
      </c>
      <c r="V64">
        <f t="shared" si="15"/>
        <v>-9.3782017454353703E-2</v>
      </c>
      <c r="X64">
        <f t="shared" si="34"/>
        <v>9.1754591670848971</v>
      </c>
      <c r="Y64">
        <f t="shared" si="16"/>
        <v>-115.00647497157499</v>
      </c>
      <c r="Z64">
        <f t="shared" si="35"/>
        <v>64.993525028425012</v>
      </c>
      <c r="AC64">
        <v>1</v>
      </c>
      <c r="AD64">
        <f t="shared" si="17"/>
        <v>4.3580173240800004</v>
      </c>
      <c r="AE64">
        <f t="shared" si="18"/>
        <v>-6.1610018372560785E-5</v>
      </c>
      <c r="AF64">
        <f t="shared" si="19"/>
        <v>6.5502206752499992E-4</v>
      </c>
      <c r="AG64">
        <f t="shared" si="36"/>
        <v>6452.5572692026917</v>
      </c>
      <c r="AH64">
        <f t="shared" si="37"/>
        <v>-2133.5802886552965</v>
      </c>
      <c r="AJ64">
        <f t="shared" si="20"/>
        <v>18000</v>
      </c>
      <c r="AK64">
        <f t="shared" si="21"/>
        <v>2090.0387581919999</v>
      </c>
      <c r="AL64">
        <v>1</v>
      </c>
      <c r="AM64">
        <f t="shared" si="22"/>
        <v>3.8483253325440003</v>
      </c>
      <c r="AN64">
        <f t="shared" si="38"/>
        <v>1647.2988654348592</v>
      </c>
      <c r="AO64">
        <f t="shared" si="39"/>
        <v>-4249.3031959319596</v>
      </c>
      <c r="AQ64">
        <f t="shared" si="23"/>
        <v>11.098779134295228</v>
      </c>
      <c r="AR64">
        <f t="shared" si="24"/>
        <v>-332.96337402885683</v>
      </c>
      <c r="AT64">
        <f t="shared" si="52"/>
        <v>-638788.58368985797</v>
      </c>
      <c r="AU64">
        <f t="shared" si="53"/>
        <v>-2172145.3758572261</v>
      </c>
      <c r="AV64">
        <f t="shared" si="42"/>
        <v>-1.8568148437136838</v>
      </c>
      <c r="AW64">
        <f t="shared" si="25"/>
        <v>-1388012.71967771</v>
      </c>
      <c r="AX64">
        <f t="shared" si="26"/>
        <v>-611272.24116690084</v>
      </c>
      <c r="AY64">
        <f t="shared" si="50"/>
        <v>-2.7267558734169746</v>
      </c>
      <c r="BA64">
        <f t="shared" si="27"/>
        <v>1.4928448167816109</v>
      </c>
      <c r="BB64">
        <f t="shared" si="43"/>
        <v>3.4802932915638642</v>
      </c>
      <c r="BC64">
        <f t="shared" si="44"/>
        <v>0.86994102970329079</v>
      </c>
      <c r="BD64">
        <f t="shared" si="28"/>
        <v>-130.15605051578143</v>
      </c>
      <c r="BF64">
        <f t="shared" si="29"/>
        <v>9.1848936048667245</v>
      </c>
      <c r="BG64">
        <f t="shared" si="30"/>
        <v>-115.6762357857011</v>
      </c>
      <c r="BH64">
        <f t="shared" si="45"/>
        <v>64.323764214298905</v>
      </c>
      <c r="BI64">
        <f t="shared" si="46"/>
        <v>64.323764214298905</v>
      </c>
      <c r="BJ64">
        <f t="shared" si="31"/>
        <v>0</v>
      </c>
      <c r="BK64">
        <f t="shared" si="47"/>
        <v>0</v>
      </c>
      <c r="BM64">
        <f t="shared" si="48"/>
        <v>5.7046003133028584</v>
      </c>
      <c r="BN64">
        <f t="shared" si="32"/>
        <v>-165.52018526991966</v>
      </c>
      <c r="BQ64" s="56">
        <f t="shared" si="49"/>
        <v>20.382254091848999</v>
      </c>
      <c r="BR64" s="59"/>
      <c r="BS64" s="59"/>
      <c r="BT64" s="59">
        <v>346.73700000000002</v>
      </c>
      <c r="BU64" s="59">
        <v>24.040400000000002</v>
      </c>
      <c r="BV64" s="59">
        <v>-265.87940000000003</v>
      </c>
      <c r="BW64" s="61"/>
      <c r="BY64" s="59"/>
      <c r="BZ64" s="59"/>
      <c r="CA64" s="59"/>
      <c r="CC64" s="59"/>
    </row>
    <row r="65" spans="1:81" x14ac:dyDescent="0.25">
      <c r="A65">
        <f t="shared" si="54"/>
        <v>15500</v>
      </c>
      <c r="B65">
        <f t="shared" si="33"/>
        <v>15.5</v>
      </c>
      <c r="C65">
        <f t="shared" si="0"/>
        <v>1.0082292018787498</v>
      </c>
      <c r="D65">
        <f t="shared" si="1"/>
        <v>0.12785274507622804</v>
      </c>
      <c r="F65">
        <f t="shared" si="2"/>
        <v>0.11859123020460878</v>
      </c>
      <c r="G65">
        <f t="shared" si="3"/>
        <v>0.12382675388354859</v>
      </c>
      <c r="H65">
        <f t="shared" si="4"/>
        <v>-3.0177658961164515</v>
      </c>
      <c r="J65">
        <f t="shared" si="5"/>
        <v>15</v>
      </c>
      <c r="M65">
        <f t="shared" si="6"/>
        <v>8.2078823791937497E-2</v>
      </c>
      <c r="N65">
        <f t="shared" si="7"/>
        <v>-1.5707963250000001</v>
      </c>
      <c r="O65">
        <f t="shared" si="8"/>
        <v>4.612978636665507</v>
      </c>
      <c r="P65">
        <f t="shared" si="9"/>
        <v>1.3522818413999178</v>
      </c>
      <c r="Q65">
        <f t="shared" si="10"/>
        <v>4.1004109764701226</v>
      </c>
      <c r="R65">
        <f t="shared" si="11"/>
        <v>1.3244337424492796</v>
      </c>
      <c r="S65">
        <f t="shared" si="12"/>
        <v>0.99287875209871701</v>
      </c>
      <c r="T65">
        <f t="shared" si="13"/>
        <v>-0.11941286377208073</v>
      </c>
      <c r="U65">
        <f t="shared" si="14"/>
        <v>0.99530994418535967</v>
      </c>
      <c r="V65">
        <f t="shared" si="15"/>
        <v>-9.6888869439339095E-2</v>
      </c>
      <c r="X65">
        <f t="shared" si="34"/>
        <v>8.7919524043193746</v>
      </c>
      <c r="Y65">
        <f t="shared" si="16"/>
        <v>-114.60849724500096</v>
      </c>
      <c r="Z65">
        <f t="shared" si="35"/>
        <v>65.391502754999038</v>
      </c>
      <c r="AC65">
        <v>1</v>
      </c>
      <c r="AD65">
        <f t="shared" si="17"/>
        <v>4.5032845682159994</v>
      </c>
      <c r="AE65">
        <f t="shared" si="18"/>
        <v>-6.5785808506701036E-5</v>
      </c>
      <c r="AF65">
        <f t="shared" si="19"/>
        <v>6.7685613644249997E-4</v>
      </c>
      <c r="AG65">
        <f t="shared" si="36"/>
        <v>6448.724376223101</v>
      </c>
      <c r="AH65">
        <f t="shared" si="37"/>
        <v>-2104.1909354805694</v>
      </c>
      <c r="AJ65">
        <f t="shared" si="20"/>
        <v>18000</v>
      </c>
      <c r="AK65">
        <f t="shared" si="21"/>
        <v>2159.7067167984001</v>
      </c>
      <c r="AL65">
        <v>1</v>
      </c>
      <c r="AM65">
        <f t="shared" si="22"/>
        <v>3.9766028436288003</v>
      </c>
      <c r="AN65">
        <f t="shared" si="38"/>
        <v>1581.3781290229572</v>
      </c>
      <c r="AO65">
        <f t="shared" si="39"/>
        <v>-4128.8060479266842</v>
      </c>
      <c r="AQ65">
        <f t="shared" si="23"/>
        <v>10.395010395010395</v>
      </c>
      <c r="AR65">
        <f t="shared" si="24"/>
        <v>-322.24532224532226</v>
      </c>
      <c r="AT65">
        <f t="shared" si="52"/>
        <v>-611031.12914422608</v>
      </c>
      <c r="AU65">
        <f t="shared" si="53"/>
        <v>-2099944.351334685</v>
      </c>
      <c r="AV65">
        <f t="shared" si="42"/>
        <v>-1.8539527991939604</v>
      </c>
      <c r="AW65">
        <f t="shared" si="25"/>
        <v>-1305568.9655061963</v>
      </c>
      <c r="AX65">
        <f t="shared" si="26"/>
        <v>-567687.99820496561</v>
      </c>
      <c r="AY65">
        <f t="shared" si="50"/>
        <v>-2.7314335442560878</v>
      </c>
      <c r="BA65">
        <f t="shared" si="27"/>
        <v>1.5362170333472271</v>
      </c>
      <c r="BB65">
        <f t="shared" si="43"/>
        <v>3.7290515238917554</v>
      </c>
      <c r="BC65">
        <f t="shared" si="44"/>
        <v>0.87748074506212737</v>
      </c>
      <c r="BD65">
        <f t="shared" si="28"/>
        <v>-129.72405664649651</v>
      </c>
      <c r="BF65">
        <f t="shared" si="29"/>
        <v>8.8031136294187871</v>
      </c>
      <c r="BG65">
        <f t="shared" si="30"/>
        <v>-115.30388354965665</v>
      </c>
      <c r="BH65">
        <f t="shared" si="45"/>
        <v>64.696116450343354</v>
      </c>
      <c r="BI65">
        <f t="shared" si="46"/>
        <v>64.696116450343354</v>
      </c>
      <c r="BJ65">
        <f t="shared" si="31"/>
        <v>0</v>
      </c>
      <c r="BK65">
        <f t="shared" si="47"/>
        <v>0</v>
      </c>
      <c r="BM65">
        <f t="shared" si="48"/>
        <v>5.0740621055270321</v>
      </c>
      <c r="BN65">
        <f t="shared" si="32"/>
        <v>-165.57982690316015</v>
      </c>
      <c r="BQ65" s="56">
        <f t="shared" si="49"/>
        <v>20.631012324176893</v>
      </c>
      <c r="BR65" s="59"/>
      <c r="BS65" s="59"/>
      <c r="BT65" s="59">
        <v>354.81299999999999</v>
      </c>
      <c r="BU65" s="59">
        <v>23.629000000000001</v>
      </c>
      <c r="BV65" s="59">
        <v>-265.95490000000001</v>
      </c>
      <c r="BW65" s="61"/>
      <c r="BY65" s="59"/>
      <c r="BZ65" s="59"/>
      <c r="CA65" s="59"/>
      <c r="CC65" s="59"/>
    </row>
    <row r="66" spans="1:81" x14ac:dyDescent="0.25">
      <c r="A66">
        <f t="shared" si="54"/>
        <v>16000</v>
      </c>
      <c r="B66">
        <f t="shared" si="33"/>
        <v>16</v>
      </c>
      <c r="C66">
        <f t="shared" si="0"/>
        <v>1.0087663365900041</v>
      </c>
      <c r="D66">
        <f t="shared" si="1"/>
        <v>0.1319300684206588</v>
      </c>
      <c r="F66">
        <f t="shared" si="2"/>
        <v>0.1105414961259997</v>
      </c>
      <c r="G66">
        <f t="shared" si="3"/>
        <v>0.11912220518066834</v>
      </c>
      <c r="H66">
        <f t="shared" si="4"/>
        <v>-3.0224704448193318</v>
      </c>
      <c r="J66">
        <f t="shared" si="5"/>
        <v>15</v>
      </c>
      <c r="M66">
        <f t="shared" si="6"/>
        <v>7.9513860548439438E-2</v>
      </c>
      <c r="N66">
        <f t="shared" si="7"/>
        <v>-1.5707963250000001</v>
      </c>
      <c r="O66">
        <f t="shared" si="8"/>
        <v>4.7548957877245908</v>
      </c>
      <c r="P66">
        <f t="shared" si="9"/>
        <v>1.3589047448849894</v>
      </c>
      <c r="Q66">
        <f t="shared" si="10"/>
        <v>4.2249310913331657</v>
      </c>
      <c r="R66">
        <f t="shared" si="11"/>
        <v>1.3318384425914112</v>
      </c>
      <c r="S66">
        <f t="shared" si="12"/>
        <v>0.99241720348227447</v>
      </c>
      <c r="T66">
        <f t="shared" si="13"/>
        <v>-0.12322661300852203</v>
      </c>
      <c r="U66">
        <f t="shared" si="14"/>
        <v>0.99500477960981526</v>
      </c>
      <c r="V66">
        <f t="shared" si="15"/>
        <v>-9.9993846242571308E-2</v>
      </c>
      <c r="X66">
        <f t="shared" si="34"/>
        <v>8.4266020438291847</v>
      </c>
      <c r="Y66">
        <f t="shared" si="16"/>
        <v>-114.23712592757873</v>
      </c>
      <c r="Z66">
        <f t="shared" si="35"/>
        <v>65.762874072421269</v>
      </c>
      <c r="AC66">
        <v>1</v>
      </c>
      <c r="AD66">
        <f t="shared" si="17"/>
        <v>4.6485518123520002</v>
      </c>
      <c r="AE66">
        <f t="shared" si="18"/>
        <v>-7.0098509792780275E-5</v>
      </c>
      <c r="AF66">
        <f t="shared" si="19"/>
        <v>6.9869020536000002E-4</v>
      </c>
      <c r="AG66">
        <f t="shared" si="36"/>
        <v>6444.7705916486157</v>
      </c>
      <c r="AH66">
        <f t="shared" si="37"/>
        <v>-2077.843375066177</v>
      </c>
      <c r="AJ66">
        <f t="shared" si="20"/>
        <v>18000</v>
      </c>
      <c r="AK66">
        <f t="shared" si="21"/>
        <v>2229.3746754048002</v>
      </c>
      <c r="AL66">
        <v>1</v>
      </c>
      <c r="AM66">
        <f t="shared" si="22"/>
        <v>4.1048803547136004</v>
      </c>
      <c r="AN66">
        <f t="shared" si="38"/>
        <v>1521.0785052091683</v>
      </c>
      <c r="AO66">
        <f t="shared" si="39"/>
        <v>-4014.4705986054428</v>
      </c>
      <c r="AQ66">
        <f t="shared" si="23"/>
        <v>9.7560975609756095</v>
      </c>
      <c r="AR66">
        <f t="shared" si="24"/>
        <v>-312.19512195121951</v>
      </c>
      <c r="AT66">
        <f t="shared" si="52"/>
        <v>-585816.75522408832</v>
      </c>
      <c r="AU66">
        <f t="shared" si="53"/>
        <v>-2032297.5834909449</v>
      </c>
      <c r="AV66">
        <f t="shared" si="42"/>
        <v>-1.8514419215171067</v>
      </c>
      <c r="AW66">
        <f t="shared" si="25"/>
        <v>-1230056.0603912217</v>
      </c>
      <c r="AX66">
        <f t="shared" si="26"/>
        <v>-528800.71822637273</v>
      </c>
      <c r="AY66">
        <f t="shared" si="50"/>
        <v>-2.7355792558484611</v>
      </c>
      <c r="BA66">
        <f t="shared" si="27"/>
        <v>1.5796818765046059</v>
      </c>
      <c r="BB66">
        <f t="shared" si="43"/>
        <v>3.9713927113764207</v>
      </c>
      <c r="BC66">
        <f t="shared" si="44"/>
        <v>0.88413733433135433</v>
      </c>
      <c r="BD66">
        <f t="shared" si="28"/>
        <v>-129.34266217498194</v>
      </c>
      <c r="BF66">
        <f t="shared" si="29"/>
        <v>8.4395362779859049</v>
      </c>
      <c r="BG66">
        <f t="shared" si="30"/>
        <v>-114.95842644402585</v>
      </c>
      <c r="BH66">
        <f t="shared" si="45"/>
        <v>65.041573555974153</v>
      </c>
      <c r="BI66">
        <f t="shared" si="46"/>
        <v>65.041573555974153</v>
      </c>
      <c r="BJ66">
        <f t="shared" si="31"/>
        <v>0</v>
      </c>
      <c r="BK66">
        <f t="shared" si="47"/>
        <v>0</v>
      </c>
      <c r="BM66">
        <f t="shared" si="48"/>
        <v>4.4681435666094851</v>
      </c>
      <c r="BN66">
        <f t="shared" si="32"/>
        <v>-165.61576426904392</v>
      </c>
      <c r="BQ66" s="56">
        <f t="shared" si="49"/>
        <v>20.873353511661556</v>
      </c>
      <c r="BR66" s="59"/>
      <c r="BS66" s="59"/>
      <c r="BT66" s="59">
        <v>363.07799999999997</v>
      </c>
      <c r="BU66" s="59">
        <v>23.6126</v>
      </c>
      <c r="BV66" s="59">
        <v>-265.39159999999998</v>
      </c>
      <c r="BW66" s="61"/>
      <c r="BY66" s="59"/>
      <c r="BZ66" s="59"/>
      <c r="CA66" s="59"/>
      <c r="CC66" s="59"/>
    </row>
    <row r="67" spans="1:81" x14ac:dyDescent="0.25">
      <c r="A67">
        <f t="shared" si="54"/>
        <v>16500</v>
      </c>
      <c r="B67">
        <f t="shared" si="33"/>
        <v>16.5</v>
      </c>
      <c r="C67">
        <f t="shared" si="0"/>
        <v>1.0093202235914589</v>
      </c>
      <c r="D67">
        <f t="shared" si="1"/>
        <v>0.13600298437008654</v>
      </c>
      <c r="F67">
        <f t="shared" si="2"/>
        <v>0.1033059916947497</v>
      </c>
      <c r="G67">
        <f t="shared" si="3"/>
        <v>0.11478452773410165</v>
      </c>
      <c r="H67">
        <f t="shared" si="4"/>
        <v>-3.0268081222658987</v>
      </c>
      <c r="J67">
        <f t="shared" si="5"/>
        <v>15</v>
      </c>
      <c r="M67">
        <f t="shared" si="6"/>
        <v>7.7104349622729149E-2</v>
      </c>
      <c r="N67">
        <f t="shared" si="7"/>
        <v>-1.5707963250000001</v>
      </c>
      <c r="O67">
        <f t="shared" si="8"/>
        <v>4.8970094084397573</v>
      </c>
      <c r="P67">
        <f t="shared" si="9"/>
        <v>1.3651435091151105</v>
      </c>
      <c r="Q67">
        <f t="shared" si="10"/>
        <v>4.3496695870802498</v>
      </c>
      <c r="R67">
        <f t="shared" si="11"/>
        <v>1.3388188079371703</v>
      </c>
      <c r="S67">
        <f t="shared" si="12"/>
        <v>0.99194167652576237</v>
      </c>
      <c r="T67">
        <f t="shared" si="13"/>
        <v>-0.12703676282404175</v>
      </c>
      <c r="U67">
        <f t="shared" si="14"/>
        <v>0.99469022128539308</v>
      </c>
      <c r="V67">
        <f t="shared" si="15"/>
        <v>-0.10309688974711795</v>
      </c>
      <c r="X67">
        <f t="shared" si="34"/>
        <v>8.077716321156208</v>
      </c>
      <c r="Y67">
        <f t="shared" si="16"/>
        <v>-113.89099211021019</v>
      </c>
      <c r="Z67">
        <f t="shared" si="35"/>
        <v>66.109007889789808</v>
      </c>
      <c r="AC67">
        <v>1</v>
      </c>
      <c r="AD67">
        <f t="shared" si="17"/>
        <v>4.7938190564880001</v>
      </c>
      <c r="AE67">
        <f t="shared" si="18"/>
        <v>-7.4548122230798554E-5</v>
      </c>
      <c r="AF67">
        <f t="shared" si="19"/>
        <v>7.2052427427750007E-4</v>
      </c>
      <c r="AG67">
        <f t="shared" si="36"/>
        <v>6440.696368420201</v>
      </c>
      <c r="AH67">
        <f t="shared" si="37"/>
        <v>-2054.2567030217679</v>
      </c>
      <c r="AJ67">
        <f t="shared" si="20"/>
        <v>18000</v>
      </c>
      <c r="AK67">
        <f t="shared" si="21"/>
        <v>2299.0426340111999</v>
      </c>
      <c r="AL67">
        <v>1</v>
      </c>
      <c r="AM67">
        <f t="shared" si="22"/>
        <v>4.2331578657984004</v>
      </c>
      <c r="AN67">
        <f t="shared" si="38"/>
        <v>1465.7906619445403</v>
      </c>
      <c r="AO67">
        <f t="shared" si="39"/>
        <v>-3905.8806362131745</v>
      </c>
      <c r="AQ67">
        <f t="shared" si="23"/>
        <v>9.1743119266055047</v>
      </c>
      <c r="AR67">
        <f t="shared" si="24"/>
        <v>-302.75229357798167</v>
      </c>
      <c r="AT67">
        <f t="shared" si="52"/>
        <v>-562841.97092934081</v>
      </c>
      <c r="AU67">
        <f t="shared" si="53"/>
        <v>-1968781.9895494352</v>
      </c>
      <c r="AV67">
        <f t="shared" si="42"/>
        <v>-1.8492522743030253</v>
      </c>
      <c r="AW67">
        <f t="shared" si="25"/>
        <v>-1160737.0720374542</v>
      </c>
      <c r="AX67">
        <f t="shared" si="26"/>
        <v>-493976.57810167171</v>
      </c>
      <c r="AY67">
        <f t="shared" si="50"/>
        <v>-2.7392380683747941</v>
      </c>
      <c r="BA67">
        <f t="shared" si="27"/>
        <v>1.6232211596200599</v>
      </c>
      <c r="BB67">
        <f t="shared" si="43"/>
        <v>4.2075539068036685</v>
      </c>
      <c r="BC67">
        <f t="shared" si="44"/>
        <v>0.88998579407176881</v>
      </c>
      <c r="BD67">
        <f t="shared" si="28"/>
        <v>-129.00757011482111</v>
      </c>
      <c r="BF67">
        <f t="shared" si="29"/>
        <v>8.0924688147025581</v>
      </c>
      <c r="BG67">
        <f t="shared" si="30"/>
        <v>-114.638504100246</v>
      </c>
      <c r="BH67">
        <f t="shared" si="45"/>
        <v>65.361495899754004</v>
      </c>
      <c r="BI67">
        <f t="shared" si="46"/>
        <v>65.361495899754004</v>
      </c>
      <c r="BJ67">
        <f t="shared" si="31"/>
        <v>0</v>
      </c>
      <c r="BK67">
        <f t="shared" si="47"/>
        <v>0</v>
      </c>
      <c r="BM67">
        <f t="shared" si="48"/>
        <v>3.8849149078988887</v>
      </c>
      <c r="BN67">
        <f t="shared" si="32"/>
        <v>-165.63093398542492</v>
      </c>
      <c r="BQ67" s="56">
        <f t="shared" si="49"/>
        <v>21.109514707088803</v>
      </c>
      <c r="BR67" s="59"/>
      <c r="BS67" s="59"/>
      <c r="BT67" s="59">
        <v>371.53500000000003</v>
      </c>
      <c r="BU67" s="59">
        <v>23.315999999999999</v>
      </c>
      <c r="BV67" s="59">
        <v>-265.2439</v>
      </c>
      <c r="BW67" s="61"/>
      <c r="BY67" s="59"/>
      <c r="BZ67" s="59"/>
      <c r="CA67" s="59"/>
      <c r="CC67" s="59"/>
    </row>
    <row r="68" spans="1:81" x14ac:dyDescent="0.25">
      <c r="A68">
        <f t="shared" si="54"/>
        <v>17000</v>
      </c>
      <c r="B68">
        <f t="shared" si="33"/>
        <v>17</v>
      </c>
      <c r="C68">
        <f t="shared" si="0"/>
        <v>1.0098908353191183</v>
      </c>
      <c r="D68">
        <f t="shared" si="1"/>
        <v>0.14007136516191915</v>
      </c>
      <c r="F68">
        <f t="shared" si="2"/>
        <v>9.6776071668725594E-2</v>
      </c>
      <c r="G68">
        <f t="shared" si="3"/>
        <v>0.11077078208713874</v>
      </c>
      <c r="H68">
        <f t="shared" si="4"/>
        <v>-3.0308218679128616</v>
      </c>
      <c r="J68">
        <f t="shared" si="5"/>
        <v>15</v>
      </c>
      <c r="M68">
        <f t="shared" si="6"/>
        <v>7.4836574633825356E-2</v>
      </c>
      <c r="N68">
        <f t="shared" si="7"/>
        <v>-1.5707963250000001</v>
      </c>
      <c r="O68">
        <f t="shared" si="8"/>
        <v>5.0393028768879997</v>
      </c>
      <c r="P68">
        <f t="shared" si="9"/>
        <v>1.3710301671260516</v>
      </c>
      <c r="Q68">
        <f t="shared" si="10"/>
        <v>4.4746082003599268</v>
      </c>
      <c r="R68">
        <f t="shared" si="11"/>
        <v>1.3454096724945706</v>
      </c>
      <c r="S68">
        <f t="shared" si="12"/>
        <v>0.99145223270162308</v>
      </c>
      <c r="T68">
        <f t="shared" si="13"/>
        <v>-0.13084320784585687</v>
      </c>
      <c r="U68">
        <f t="shared" si="14"/>
        <v>0.9943662962823433</v>
      </c>
      <c r="V68">
        <f t="shared" si="15"/>
        <v>-0.10619794205731496</v>
      </c>
      <c r="X68">
        <f t="shared" si="34"/>
        <v>7.7438249373149421</v>
      </c>
      <c r="Y68">
        <f t="shared" si="16"/>
        <v>-113.56872280880479</v>
      </c>
      <c r="Z68">
        <f t="shared" si="35"/>
        <v>66.431277191195207</v>
      </c>
      <c r="AC68">
        <v>1</v>
      </c>
      <c r="AD68">
        <f t="shared" si="17"/>
        <v>4.939086300624</v>
      </c>
      <c r="AE68">
        <f t="shared" si="18"/>
        <v>-7.9134645820755874E-5</v>
      </c>
      <c r="AF68">
        <f t="shared" si="19"/>
        <v>7.4235834319499991E-4</v>
      </c>
      <c r="AG68">
        <f t="shared" si="36"/>
        <v>6436.5021723989848</v>
      </c>
      <c r="AH68">
        <f t="shared" si="37"/>
        <v>-2033.1829413289815</v>
      </c>
      <c r="AJ68">
        <f t="shared" si="20"/>
        <v>18000</v>
      </c>
      <c r="AK68">
        <f t="shared" si="21"/>
        <v>2368.7105926176</v>
      </c>
      <c r="AL68">
        <v>1</v>
      </c>
      <c r="AM68">
        <f t="shared" si="22"/>
        <v>4.3614353768832004</v>
      </c>
      <c r="AN68">
        <f t="shared" si="38"/>
        <v>1414.9840392823849</v>
      </c>
      <c r="AO68">
        <f t="shared" si="39"/>
        <v>-3802.6508540336822</v>
      </c>
      <c r="AQ68">
        <f t="shared" si="23"/>
        <v>8.6430423509075194</v>
      </c>
      <c r="AR68">
        <f t="shared" si="24"/>
        <v>-293.86343993085563</v>
      </c>
      <c r="AT68">
        <f t="shared" si="52"/>
        <v>-541847.17227991682</v>
      </c>
      <c r="AU68">
        <f t="shared" si="53"/>
        <v>-1909025.5557726398</v>
      </c>
      <c r="AV68">
        <f t="shared" si="42"/>
        <v>-1.8473571403170512</v>
      </c>
      <c r="AW68">
        <f t="shared" si="25"/>
        <v>-1096967.8999335403</v>
      </c>
      <c r="AX68">
        <f t="shared" si="26"/>
        <v>-462682.20112155186</v>
      </c>
      <c r="AY68">
        <f t="shared" si="50"/>
        <v>-2.7424501494846139</v>
      </c>
      <c r="BA68">
        <f t="shared" si="27"/>
        <v>1.6668185222506138</v>
      </c>
      <c r="BB68">
        <f t="shared" si="43"/>
        <v>4.4377663567815944</v>
      </c>
      <c r="BC68">
        <f t="shared" si="44"/>
        <v>0.89509300916756263</v>
      </c>
      <c r="BD68">
        <f t="shared" si="28"/>
        <v>-128.71494824443226</v>
      </c>
      <c r="BF68">
        <f t="shared" si="29"/>
        <v>7.7604399437296685</v>
      </c>
      <c r="BG68">
        <f t="shared" si="30"/>
        <v>-114.34275186663946</v>
      </c>
      <c r="BH68">
        <f t="shared" si="45"/>
        <v>65.65724813336054</v>
      </c>
      <c r="BI68">
        <f t="shared" si="46"/>
        <v>65.65724813336054</v>
      </c>
      <c r="BJ68">
        <f t="shared" si="31"/>
        <v>0</v>
      </c>
      <c r="BK68">
        <f t="shared" si="47"/>
        <v>0</v>
      </c>
      <c r="BM68">
        <f t="shared" si="48"/>
        <v>3.322673586948075</v>
      </c>
      <c r="BN68">
        <f t="shared" si="32"/>
        <v>-165.62780362220724</v>
      </c>
      <c r="BQ68" s="56">
        <f t="shared" si="49"/>
        <v>21.339727157066729</v>
      </c>
      <c r="BR68" s="59"/>
      <c r="BS68" s="59"/>
      <c r="BT68" s="59">
        <v>380.18900000000002</v>
      </c>
      <c r="BU68" s="59">
        <v>23.2133</v>
      </c>
      <c r="BV68" s="59">
        <v>-265.49869999999999</v>
      </c>
      <c r="BW68" s="61"/>
      <c r="BY68" s="59"/>
      <c r="BZ68" s="59"/>
      <c r="CA68" s="59"/>
      <c r="CC68" s="59"/>
    </row>
    <row r="69" spans="1:81" x14ac:dyDescent="0.25">
      <c r="A69">
        <f t="shared" si="54"/>
        <v>17500</v>
      </c>
      <c r="B69">
        <f t="shared" si="33"/>
        <v>17.5</v>
      </c>
      <c r="C69">
        <f t="shared" si="0"/>
        <v>1.0104781434398857</v>
      </c>
      <c r="D69">
        <f t="shared" si="1"/>
        <v>0.14413508391841051</v>
      </c>
      <c r="F69">
        <f t="shared" si="2"/>
        <v>9.0860952204384532E-2</v>
      </c>
      <c r="G69">
        <f t="shared" si="3"/>
        <v>0.10704462145654169</v>
      </c>
      <c r="H69">
        <f t="shared" si="4"/>
        <v>-3.0345480285434587</v>
      </c>
      <c r="J69">
        <f t="shared" si="5"/>
        <v>15</v>
      </c>
      <c r="M69">
        <f t="shared" si="6"/>
        <v>7.2698386787144631E-2</v>
      </c>
      <c r="N69">
        <f t="shared" si="7"/>
        <v>-1.5707963250000001</v>
      </c>
      <c r="O69">
        <f t="shared" si="8"/>
        <v>5.1817613769946584</v>
      </c>
      <c r="P69">
        <f t="shared" si="9"/>
        <v>1.3765933337350547</v>
      </c>
      <c r="Q69">
        <f t="shared" si="10"/>
        <v>4.5997306243285552</v>
      </c>
      <c r="R69">
        <f t="shared" si="11"/>
        <v>1.3516422246819189</v>
      </c>
      <c r="S69">
        <f t="shared" si="12"/>
        <v>0.9909489351163222</v>
      </c>
      <c r="T69">
        <f t="shared" si="13"/>
        <v>-0.13464584333540966</v>
      </c>
      <c r="U69">
        <f t="shared" si="14"/>
        <v>0.9940330324291059</v>
      </c>
      <c r="V69">
        <f t="shared" si="15"/>
        <v>-0.10929694550495787</v>
      </c>
      <c r="X69">
        <f t="shared" si="34"/>
        <v>7.4236428196178297</v>
      </c>
      <c r="Y69">
        <f t="shared" si="16"/>
        <v>-113.26897203197865</v>
      </c>
      <c r="Z69">
        <f t="shared" si="35"/>
        <v>66.731027968021351</v>
      </c>
      <c r="AC69">
        <v>1</v>
      </c>
      <c r="AD69">
        <f t="shared" si="17"/>
        <v>5.0843535447599999</v>
      </c>
      <c r="AE69">
        <f t="shared" si="18"/>
        <v>-8.385808056265218E-5</v>
      </c>
      <c r="AF69">
        <f t="shared" si="19"/>
        <v>7.6419241211249996E-4</v>
      </c>
      <c r="AG69">
        <f t="shared" si="36"/>
        <v>6432.1884822349575</v>
      </c>
      <c r="AH69">
        <f t="shared" si="37"/>
        <v>-2014.4023357703823</v>
      </c>
      <c r="AJ69">
        <f t="shared" si="20"/>
        <v>18000</v>
      </c>
      <c r="AK69">
        <f t="shared" si="21"/>
        <v>2438.3785512240001</v>
      </c>
      <c r="AL69">
        <v>1</v>
      </c>
      <c r="AM69">
        <f t="shared" si="22"/>
        <v>4.4897128879680004</v>
      </c>
      <c r="AN69">
        <f t="shared" si="38"/>
        <v>1368.1951912135542</v>
      </c>
      <c r="AO69">
        <f t="shared" si="39"/>
        <v>-3704.4250320233368</v>
      </c>
      <c r="AQ69">
        <f t="shared" si="23"/>
        <v>8.1566068515497552</v>
      </c>
      <c r="AR69">
        <f t="shared" si="24"/>
        <v>-285.48123980424145</v>
      </c>
      <c r="AT69">
        <f t="shared" si="52"/>
        <v>-522609.24363563157</v>
      </c>
      <c r="AU69">
        <f t="shared" si="53"/>
        <v>-1852699.8304567202</v>
      </c>
      <c r="AV69">
        <f t="shared" si="42"/>
        <v>-1.8457326075209364</v>
      </c>
      <c r="AW69">
        <f t="shared" si="25"/>
        <v>-1038184.0096174008</v>
      </c>
      <c r="AX69">
        <f t="shared" si="26"/>
        <v>-434466.60038696317</v>
      </c>
      <c r="AY69">
        <f t="shared" si="50"/>
        <v>-2.7452514108829913</v>
      </c>
      <c r="BA69">
        <f t="shared" si="27"/>
        <v>1.7104591690472408</v>
      </c>
      <c r="BB69">
        <f t="shared" si="43"/>
        <v>4.6622542290696991</v>
      </c>
      <c r="BC69">
        <f t="shared" si="44"/>
        <v>0.89951880336205492</v>
      </c>
      <c r="BD69">
        <f t="shared" si="28"/>
        <v>-128.46136891580457</v>
      </c>
      <c r="BF69">
        <f t="shared" si="29"/>
        <v>7.4421635705687894</v>
      </c>
      <c r="BG69">
        <f t="shared" si="30"/>
        <v>-114.06983188203563</v>
      </c>
      <c r="BH69">
        <f t="shared" si="45"/>
        <v>65.930168117964371</v>
      </c>
      <c r="BI69">
        <f t="shared" si="46"/>
        <v>65.930168117964371</v>
      </c>
      <c r="BJ69">
        <f t="shared" si="31"/>
        <v>0</v>
      </c>
      <c r="BK69">
        <f t="shared" si="47"/>
        <v>0</v>
      </c>
      <c r="BM69">
        <f t="shared" si="48"/>
        <v>2.7799093414990894</v>
      </c>
      <c r="BN69">
        <f t="shared" si="32"/>
        <v>-165.60846296623106</v>
      </c>
      <c r="BQ69" s="56">
        <f t="shared" si="49"/>
        <v>21.564215029354834</v>
      </c>
      <c r="BR69" s="59"/>
      <c r="BS69" s="59"/>
      <c r="BT69" s="59">
        <v>389.04500000000002</v>
      </c>
      <c r="BU69" s="59">
        <v>22.955200000000001</v>
      </c>
      <c r="BV69" s="59">
        <v>-266.06720000000001</v>
      </c>
      <c r="BW69" s="61"/>
      <c r="BY69" s="59"/>
      <c r="BZ69" s="59"/>
      <c r="CA69" s="59"/>
      <c r="CC69" s="59"/>
    </row>
    <row r="70" spans="1:81" x14ac:dyDescent="0.25">
      <c r="A70">
        <f t="shared" si="54"/>
        <v>18000</v>
      </c>
      <c r="B70">
        <f t="shared" si="33"/>
        <v>18</v>
      </c>
      <c r="C70">
        <f t="shared" si="0"/>
        <v>1.0110821188584183</v>
      </c>
      <c r="D70">
        <f t="shared" si="1"/>
        <v>0.1481940146682961</v>
      </c>
      <c r="F70">
        <f t="shared" si="2"/>
        <v>8.5484248585106309E-2</v>
      </c>
      <c r="G70">
        <f t="shared" si="3"/>
        <v>0.10357505883172702</v>
      </c>
      <c r="H70">
        <f t="shared" si="4"/>
        <v>-3.0380175911682734</v>
      </c>
      <c r="J70">
        <f t="shared" si="5"/>
        <v>15</v>
      </c>
      <c r="M70">
        <f t="shared" si="6"/>
        <v>7.0678987154168399E-2</v>
      </c>
      <c r="N70">
        <f t="shared" si="7"/>
        <v>-1.5707963250000001</v>
      </c>
      <c r="O70">
        <f t="shared" si="8"/>
        <v>5.3243716620511403</v>
      </c>
      <c r="P70">
        <f t="shared" si="9"/>
        <v>1.3818586435606333</v>
      </c>
      <c r="Q70">
        <f t="shared" si="10"/>
        <v>4.7250222566400515</v>
      </c>
      <c r="R70">
        <f t="shared" si="11"/>
        <v>1.3575444636516509</v>
      </c>
      <c r="S70">
        <f t="shared" si="12"/>
        <v>0.99043184848826615</v>
      </c>
      <c r="T70">
        <f t="shared" si="13"/>
        <v>-0.13844456520434781</v>
      </c>
      <c r="U70">
        <f t="shared" si="14"/>
        <v>0.99369045830576808</v>
      </c>
      <c r="V70">
        <f t="shared" si="15"/>
        <v>-0.11239384265542909</v>
      </c>
      <c r="X70">
        <f t="shared" si="34"/>
        <v>7.1160408694974855</v>
      </c>
      <c r="Y70">
        <f t="shared" si="16"/>
        <v>-112.99044017897882</v>
      </c>
      <c r="Z70">
        <f t="shared" si="35"/>
        <v>67.009559821021185</v>
      </c>
      <c r="AC70">
        <v>1</v>
      </c>
      <c r="AD70">
        <f t="shared" si="17"/>
        <v>5.2296207888959998</v>
      </c>
      <c r="AE70">
        <f t="shared" si="18"/>
        <v>-8.8718426456487541E-5</v>
      </c>
      <c r="AF70">
        <f t="shared" si="19"/>
        <v>7.860264810299999E-4</v>
      </c>
      <c r="AG70">
        <f t="shared" si="36"/>
        <v>6427.7557892324839</v>
      </c>
      <c r="AH70">
        <f t="shared" si="37"/>
        <v>-1997.7194371487756</v>
      </c>
      <c r="AJ70">
        <f t="shared" si="20"/>
        <v>18000</v>
      </c>
      <c r="AK70">
        <f t="shared" si="21"/>
        <v>2508.0465098303998</v>
      </c>
      <c r="AL70">
        <v>1</v>
      </c>
      <c r="AM70">
        <f t="shared" si="22"/>
        <v>4.6179903990528004</v>
      </c>
      <c r="AN70">
        <f t="shared" si="38"/>
        <v>1325.0180461854261</v>
      </c>
      <c r="AO70">
        <f t="shared" si="39"/>
        <v>-3610.8741060255979</v>
      </c>
      <c r="AQ70">
        <f t="shared" si="23"/>
        <v>7.7101002313030067</v>
      </c>
      <c r="AR70">
        <f t="shared" si="24"/>
        <v>-277.56360832690825</v>
      </c>
      <c r="AT70">
        <f t="shared" si="52"/>
        <v>-504935.5740024937</v>
      </c>
      <c r="AU70">
        <f t="shared" si="53"/>
        <v>-1799513.7073979813</v>
      </c>
      <c r="AV70">
        <f t="shared" si="42"/>
        <v>-1.8443572160911679</v>
      </c>
      <c r="AW70">
        <f t="shared" si="25"/>
        <v>-983889.24684237433</v>
      </c>
      <c r="AX70">
        <f t="shared" si="26"/>
        <v>-408946.72192851763</v>
      </c>
      <c r="AY70">
        <f t="shared" si="50"/>
        <v>-2.7476740495934182</v>
      </c>
      <c r="BA70">
        <f t="shared" si="27"/>
        <v>1.7541296521423162</v>
      </c>
      <c r="BB70">
        <f t="shared" si="43"/>
        <v>4.8812338003155968</v>
      </c>
      <c r="BC70">
        <f t="shared" si="44"/>
        <v>0.90331683350225034</v>
      </c>
      <c r="BD70">
        <f t="shared" si="28"/>
        <v>-128.24375781805924</v>
      </c>
      <c r="BF70">
        <f t="shared" si="29"/>
        <v>7.1365095503854805</v>
      </c>
      <c r="BG70">
        <f t="shared" si="30"/>
        <v>-113.8184524781056</v>
      </c>
      <c r="BH70">
        <f t="shared" si="45"/>
        <v>66.181547521894402</v>
      </c>
      <c r="BI70">
        <f t="shared" si="46"/>
        <v>66.181547521894402</v>
      </c>
      <c r="BJ70">
        <f t="shared" si="31"/>
        <v>0</v>
      </c>
      <c r="BK70">
        <f t="shared" si="47"/>
        <v>0</v>
      </c>
      <c r="BM70">
        <f t="shared" si="48"/>
        <v>2.2552757500698832</v>
      </c>
      <c r="BN70">
        <f t="shared" si="32"/>
        <v>-165.57469466004636</v>
      </c>
      <c r="BQ70" s="56">
        <f t="shared" si="49"/>
        <v>21.783194600600734</v>
      </c>
      <c r="BR70" s="59"/>
      <c r="BS70" s="59"/>
      <c r="BT70" s="59">
        <v>398.10700000000003</v>
      </c>
      <c r="BU70" s="59">
        <v>22.738499999999998</v>
      </c>
      <c r="BV70" s="59">
        <v>-265.2319</v>
      </c>
      <c r="BW70" s="61"/>
      <c r="BY70" s="59"/>
      <c r="BZ70" s="59"/>
      <c r="CA70" s="59"/>
      <c r="CC70" s="59"/>
    </row>
    <row r="71" spans="1:81" x14ac:dyDescent="0.25">
      <c r="A71">
        <f t="shared" si="54"/>
        <v>18500</v>
      </c>
      <c r="B71">
        <f t="shared" si="33"/>
        <v>18.5</v>
      </c>
      <c r="C71">
        <f t="shared" si="0"/>
        <v>1.0117027317241349</v>
      </c>
      <c r="D71">
        <f t="shared" si="1"/>
        <v>0.15224803236800008</v>
      </c>
      <c r="F71">
        <f t="shared" si="2"/>
        <v>8.0581280362261018E-2</v>
      </c>
      <c r="G71">
        <f t="shared" si="3"/>
        <v>0.10033550237611387</v>
      </c>
      <c r="H71">
        <f t="shared" si="4"/>
        <v>-3.0412571476238863</v>
      </c>
      <c r="J71">
        <f t="shared" si="5"/>
        <v>15</v>
      </c>
      <c r="M71">
        <f t="shared" si="6"/>
        <v>6.876874425810979E-2</v>
      </c>
      <c r="N71">
        <f t="shared" si="7"/>
        <v>-1.5707963250000001</v>
      </c>
      <c r="O71">
        <f t="shared" si="8"/>
        <v>5.4671218541048265</v>
      </c>
      <c r="P71">
        <f t="shared" si="9"/>
        <v>1.3868491242931453</v>
      </c>
      <c r="Q71">
        <f t="shared" si="10"/>
        <v>4.8504699849398039</v>
      </c>
      <c r="R71">
        <f t="shared" si="11"/>
        <v>1.3631415900228645</v>
      </c>
      <c r="S71">
        <f t="shared" si="12"/>
        <v>0.98990103912524718</v>
      </c>
      <c r="T71">
        <f t="shared" si="13"/>
        <v>-0.14223927003023387</v>
      </c>
      <c r="U71">
        <f t="shared" si="14"/>
        <v>0.99333860323736489</v>
      </c>
      <c r="V71">
        <f t="shared" si="15"/>
        <v>-0.11548857631375972</v>
      </c>
      <c r="X71">
        <f t="shared" si="34"/>
        <v>6.8200221640283107</v>
      </c>
      <c r="Y71">
        <f t="shared" si="16"/>
        <v>-112.7318855329944</v>
      </c>
      <c r="Z71">
        <f t="shared" si="35"/>
        <v>67.268114467005603</v>
      </c>
      <c r="AC71">
        <v>1</v>
      </c>
      <c r="AD71">
        <f t="shared" si="17"/>
        <v>5.3748880330320006</v>
      </c>
      <c r="AE71">
        <f t="shared" si="18"/>
        <v>-9.3715683502261903E-5</v>
      </c>
      <c r="AF71">
        <f t="shared" si="19"/>
        <v>8.0786054994750006E-4</v>
      </c>
      <c r="AG71">
        <f t="shared" si="36"/>
        <v>6423.204597212648</v>
      </c>
      <c r="AH71">
        <f t="shared" si="37"/>
        <v>-1982.9598180116104</v>
      </c>
      <c r="AJ71">
        <f t="shared" si="20"/>
        <v>18000</v>
      </c>
      <c r="AK71">
        <f t="shared" si="21"/>
        <v>2577.7144684368</v>
      </c>
      <c r="AL71">
        <v>1</v>
      </c>
      <c r="AM71">
        <f t="shared" si="22"/>
        <v>4.7462679101376004</v>
      </c>
      <c r="AN71">
        <f t="shared" si="38"/>
        <v>1285.0957430298163</v>
      </c>
      <c r="AO71">
        <f t="shared" si="39"/>
        <v>-3521.6942181600525</v>
      </c>
      <c r="AQ71">
        <f t="shared" si="23"/>
        <v>7.2992700729927007</v>
      </c>
      <c r="AR71">
        <f t="shared" si="24"/>
        <v>-270.07299270072991</v>
      </c>
      <c r="AT71">
        <f t="shared" si="52"/>
        <v>-488659.187366547</v>
      </c>
      <c r="AU71">
        <f t="shared" si="53"/>
        <v>-1749208.2475538654</v>
      </c>
      <c r="AV71">
        <f t="shared" si="42"/>
        <v>-1.8432116564231427</v>
      </c>
      <c r="AW71">
        <f t="shared" si="25"/>
        <v>-933646.3845633379</v>
      </c>
      <c r="AX71">
        <f t="shared" si="26"/>
        <v>-385795.80444584048</v>
      </c>
      <c r="AY71">
        <f t="shared" si="50"/>
        <v>-2.7497470098874826</v>
      </c>
      <c r="BA71">
        <f t="shared" si="27"/>
        <v>1.7978176888082547</v>
      </c>
      <c r="BB71">
        <f t="shared" si="43"/>
        <v>5.0949129831058872</v>
      </c>
      <c r="BC71">
        <f t="shared" si="44"/>
        <v>0.90653535346433989</v>
      </c>
      <c r="BD71">
        <f t="shared" si="28"/>
        <v>-128.05935020774217</v>
      </c>
      <c r="BF71">
        <f t="shared" si="29"/>
        <v>6.8424798900442729</v>
      </c>
      <c r="BG71">
        <f t="shared" si="30"/>
        <v>-113.58737967587183</v>
      </c>
      <c r="BH71">
        <f t="shared" si="45"/>
        <v>66.41262032412817</v>
      </c>
      <c r="BI71">
        <f t="shared" si="46"/>
        <v>66.41262032412817</v>
      </c>
      <c r="BJ71">
        <f t="shared" si="31"/>
        <v>0</v>
      </c>
      <c r="BK71">
        <f t="shared" si="47"/>
        <v>0</v>
      </c>
      <c r="BM71">
        <f t="shared" si="48"/>
        <v>1.747566906938385</v>
      </c>
      <c r="BN71">
        <f t="shared" si="32"/>
        <v>-165.52802946812966</v>
      </c>
      <c r="BQ71" s="56">
        <f t="shared" si="49"/>
        <v>21.996873783391024</v>
      </c>
      <c r="BR71" s="59"/>
      <c r="BS71" s="59"/>
      <c r="BT71" s="59">
        <v>407.38</v>
      </c>
      <c r="BU71" s="59">
        <v>22.7593</v>
      </c>
      <c r="BV71" s="59">
        <v>-265.7319</v>
      </c>
      <c r="BW71" s="61"/>
      <c r="BY71" s="59"/>
      <c r="BZ71" s="59"/>
      <c r="CA71" s="59"/>
      <c r="CC71" s="59"/>
    </row>
    <row r="72" spans="1:81" x14ac:dyDescent="0.25">
      <c r="A72">
        <f t="shared" si="54"/>
        <v>19000</v>
      </c>
      <c r="B72">
        <f t="shared" si="33"/>
        <v>19</v>
      </c>
      <c r="C72">
        <f t="shared" si="0"/>
        <v>1.0123399514383811</v>
      </c>
      <c r="D72">
        <f t="shared" si="1"/>
        <v>0.15629701292240622</v>
      </c>
      <c r="F72">
        <f t="shared" si="2"/>
        <v>7.6096953734924588E-2</v>
      </c>
      <c r="G72">
        <f t="shared" si="3"/>
        <v>9.7302993212067326E-2</v>
      </c>
      <c r="H72">
        <f t="shared" si="4"/>
        <v>-3.044289656787933</v>
      </c>
      <c r="J72">
        <f t="shared" si="5"/>
        <v>15</v>
      </c>
      <c r="M72">
        <f t="shared" si="6"/>
        <v>6.6959040461843741E-2</v>
      </c>
      <c r="N72">
        <f t="shared" si="7"/>
        <v>-1.5707963250000001</v>
      </c>
      <c r="O72">
        <f t="shared" si="8"/>
        <v>5.6100012730877085</v>
      </c>
      <c r="P72">
        <f t="shared" si="9"/>
        <v>1.3915855159539776</v>
      </c>
      <c r="Q72">
        <f t="shared" si="10"/>
        <v>4.976062003588809</v>
      </c>
      <c r="R72">
        <f t="shared" si="11"/>
        <v>1.3684563415425914</v>
      </c>
      <c r="S72">
        <f t="shared" si="12"/>
        <v>0.98935657490143647</v>
      </c>
      <c r="T72">
        <f t="shared" si="13"/>
        <v>-0.14602985507197841</v>
      </c>
      <c r="U72">
        <f t="shared" si="14"/>
        <v>0.99297749728702267</v>
      </c>
      <c r="V72">
        <f t="shared" si="15"/>
        <v>-0.11858108953062417</v>
      </c>
      <c r="X72">
        <f t="shared" si="34"/>
        <v>6.5347024521925032</v>
      </c>
      <c r="Y72">
        <f t="shared" si="16"/>
        <v>-112.49213040872145</v>
      </c>
      <c r="Z72">
        <f t="shared" si="35"/>
        <v>67.507869591278549</v>
      </c>
      <c r="AC72">
        <v>1</v>
      </c>
      <c r="AD72">
        <f t="shared" si="17"/>
        <v>5.5201552771680005</v>
      </c>
      <c r="AE72">
        <f t="shared" si="18"/>
        <v>-9.8849851699975305E-5</v>
      </c>
      <c r="AF72">
        <f t="shared" si="19"/>
        <v>8.2969461886500001E-4</v>
      </c>
      <c r="AG72">
        <f t="shared" si="36"/>
        <v>6418.535422372518</v>
      </c>
      <c r="AH72">
        <f t="shared" si="37"/>
        <v>-1969.9673078131741</v>
      </c>
      <c r="AJ72">
        <f t="shared" si="20"/>
        <v>18000</v>
      </c>
      <c r="AK72">
        <f t="shared" si="21"/>
        <v>2647.3824270431996</v>
      </c>
      <c r="AL72">
        <v>1</v>
      </c>
      <c r="AM72">
        <f t="shared" si="22"/>
        <v>4.8745454212223995</v>
      </c>
      <c r="AN72">
        <f t="shared" si="38"/>
        <v>1248.1137644958235</v>
      </c>
      <c r="AO72">
        <f t="shared" si="39"/>
        <v>-3436.60480884457</v>
      </c>
      <c r="AQ72">
        <f t="shared" si="23"/>
        <v>6.9204152249134951</v>
      </c>
      <c r="AR72">
        <f t="shared" si="24"/>
        <v>-262.97577854671277</v>
      </c>
      <c r="AT72">
        <f t="shared" si="52"/>
        <v>-473634.75622510788</v>
      </c>
      <c r="AU72">
        <f t="shared" si="53"/>
        <v>-1701552.3415776389</v>
      </c>
      <c r="AV72">
        <f t="shared" si="42"/>
        <v>-1.8422785099135175</v>
      </c>
      <c r="AW72">
        <f t="shared" si="25"/>
        <v>-887069.11519159481</v>
      </c>
      <c r="AX72">
        <f t="shared" si="26"/>
        <v>-364733.95620388753</v>
      </c>
      <c r="AY72">
        <f t="shared" si="50"/>
        <v>-2.7514963789273841</v>
      </c>
      <c r="BA72">
        <f t="shared" si="27"/>
        <v>1.8415120079014342</v>
      </c>
      <c r="BB72">
        <f t="shared" si="43"/>
        <v>5.3034911018672855</v>
      </c>
      <c r="BC72">
        <f t="shared" si="44"/>
        <v>0.90921786901386659</v>
      </c>
      <c r="BD72">
        <f t="shared" si="28"/>
        <v>-127.90565338810046</v>
      </c>
      <c r="BF72">
        <f t="shared" si="29"/>
        <v>6.5591892448997982</v>
      </c>
      <c r="BG72">
        <f t="shared" si="30"/>
        <v>-113.37544333550017</v>
      </c>
      <c r="BH72">
        <f t="shared" si="45"/>
        <v>66.624556664499835</v>
      </c>
      <c r="BI72">
        <f t="shared" si="46"/>
        <v>66.624556664499835</v>
      </c>
      <c r="BJ72">
        <f t="shared" si="31"/>
        <v>0</v>
      </c>
      <c r="BK72">
        <f t="shared" si="47"/>
        <v>0</v>
      </c>
      <c r="BM72">
        <f t="shared" si="48"/>
        <v>1.2556981430325129</v>
      </c>
      <c r="BN72">
        <f t="shared" si="32"/>
        <v>-165.4697899473997</v>
      </c>
      <c r="BQ72" s="56">
        <f t="shared" si="49"/>
        <v>22.205451902152422</v>
      </c>
      <c r="BR72" s="59"/>
      <c r="BS72" s="59"/>
      <c r="BT72" s="59">
        <v>416.86900000000003</v>
      </c>
      <c r="BU72" s="59">
        <v>22.4206</v>
      </c>
      <c r="BV72" s="59">
        <v>-265.24939999999998</v>
      </c>
      <c r="BW72" s="61"/>
      <c r="BY72" s="59"/>
      <c r="BZ72" s="59"/>
      <c r="CA72" s="59"/>
      <c r="CC72" s="59"/>
    </row>
    <row r="73" spans="1:81" x14ac:dyDescent="0.25">
      <c r="A73">
        <f t="shared" si="54"/>
        <v>19500</v>
      </c>
      <c r="B73">
        <f t="shared" si="33"/>
        <v>19.5</v>
      </c>
      <c r="C73">
        <f t="shared" ref="C73:C136" si="55">SQRT((A73/Fesr)^2+1)</f>
        <v>1.0129937466617396</v>
      </c>
      <c r="D73">
        <f t="shared" ref="D73:D136" si="56">ATAN(A73/Fesr)</f>
        <v>0.16034083320518536</v>
      </c>
      <c r="F73">
        <f t="shared" ref="F73:F136" si="57">(Ro/(Ro+Rdcr))/SQRT((A73/(Q*Fo))^2+(1-(A73^2/Fo^2))^2)</f>
        <v>7.1984082791800449E-2</v>
      </c>
      <c r="G73">
        <f t="shared" ref="G73:G136" si="58">-ATAN(A73*Fo/(Q*(Fo^2-A73^2)))</f>
        <v>9.4457597571390703E-2</v>
      </c>
      <c r="H73">
        <f t="shared" ref="H73:H136" si="59">IF(G73&gt;0,G73-Pi,G73)</f>
        <v>-3.0471350524286094</v>
      </c>
      <c r="J73">
        <f t="shared" ref="J73:J136" si="60">Vin/Vramp</f>
        <v>15</v>
      </c>
      <c r="M73">
        <f t="shared" ref="M73:M136" si="61">1/(2*Pi*_Rfb1*(Cc1ea_u+Cc2ea_u)*A73)</f>
        <v>6.5242141988463134E-2</v>
      </c>
      <c r="N73">
        <f t="shared" ref="N73:N136" si="62">-Pi/2</f>
        <v>-1.5707963250000001</v>
      </c>
      <c r="O73">
        <f t="shared" ref="O73:O136" si="63">SQRT(1+(A73/Fz1_u)^2)</f>
        <v>5.7530002907090632</v>
      </c>
      <c r="P73">
        <f t="shared" ref="P73:P136" si="64">ATAN2(Fz1_u,A73)</f>
        <v>1.3960865449244271</v>
      </c>
      <c r="Q73">
        <f t="shared" ref="Q73:Q136" si="65">SQRT(1+(A73/Fz2_u)^2)</f>
        <v>5.1017876565002993</v>
      </c>
      <c r="R73">
        <f t="shared" ref="R73:R136" si="66">ATAN2(Fz2_u,A73)</f>
        <v>1.3735092823541639</v>
      </c>
      <c r="S73">
        <f t="shared" ref="S73:S136" si="67">1/SQRT(1+(A73/Fp1_u)^2)</f>
        <v>0.9887985252339343</v>
      </c>
      <c r="T73">
        <f t="shared" ref="T73:T136" si="68">-ATAN2(Fp1_u,A73)</f>
        <v>-0.14981621828499214</v>
      </c>
      <c r="U73">
        <f t="shared" ref="U73:U136" si="69">1/SQRT(1+(A73/Fp2_u)^2)</f>
        <v>0.99260717124895181</v>
      </c>
      <c r="V73">
        <f t="shared" ref="V73:V136" si="70">-ATAN2(Fp2_u,A73)</f>
        <v>-0.12167132560826645</v>
      </c>
      <c r="X73">
        <f t="shared" si="34"/>
        <v>6.2592940612607286</v>
      </c>
      <c r="Y73">
        <f t="shared" ref="Y73:Y136" si="71">(180/Pi)*(D73+H73+N73+P73+R73+T73+V73)</f>
        <v>-112.27006370506264</v>
      </c>
      <c r="Z73">
        <f t="shared" si="35"/>
        <v>67.72993629493736</v>
      </c>
      <c r="AC73">
        <v>1</v>
      </c>
      <c r="AD73">
        <f t="shared" ref="AD73:AD136" si="72">Rcea1_u*Cc1ea_u*A73*2*Pi</f>
        <v>5.6654225213039995</v>
      </c>
      <c r="AE73">
        <f t="shared" ref="AE73:AE136" si="73">-Rcea1_u*Cc1ea_u*Cc2ea_u*(A73*2*Pi)^2</f>
        <v>-1.0412093104962775E-4</v>
      </c>
      <c r="AF73">
        <f t="shared" ref="AF73:AF136" si="74">(Cc2ea_u+Cc1ea_u)*A73*2*Pi</f>
        <v>8.5152868778250006E-4</v>
      </c>
      <c r="AG73">
        <f t="shared" si="36"/>
        <v>6413.7487931414071</v>
      </c>
      <c r="AH73">
        <f t="shared" si="37"/>
        <v>-1958.6016534610344</v>
      </c>
      <c r="AJ73">
        <f t="shared" ref="AJ73:AJ136" si="75">_Rfb1</f>
        <v>18000</v>
      </c>
      <c r="AK73">
        <f t="shared" ref="AK73:AK136" si="76">_Rfb1*Rcea2_u*Cc3ea_u*A73*2*Pi</f>
        <v>2717.0503856495998</v>
      </c>
      <c r="AL73">
        <v>1</v>
      </c>
      <c r="AM73">
        <f t="shared" ref="AM73:AM136" si="77">(_Rfb1+Rcea2_u)*Cc3ea_u*A73*2*Pi</f>
        <v>5.0028229323071995</v>
      </c>
      <c r="AN73">
        <f t="shared" si="38"/>
        <v>1213.7941429959787</v>
      </c>
      <c r="AO73">
        <f t="shared" si="39"/>
        <v>-3355.3467880308458</v>
      </c>
      <c r="AQ73">
        <f t="shared" ref="AQ73:AQ136" si="78">Eadcg/(1+(Eadcg*A73/GBP)^2)</f>
        <v>6.5703022339027592</v>
      </c>
      <c r="AR73">
        <f t="shared" ref="AR73:AR136" si="79">-(A73*Eadcg*Eadcg/GBP)/(1+(Eadcg*A73/GBP)^2)</f>
        <v>-256.2417871222076</v>
      </c>
      <c r="AT73">
        <f t="shared" si="52"/>
        <v>-459735.31992009806</v>
      </c>
      <c r="AU73">
        <f t="shared" si="53"/>
        <v>-1656339.0577265171</v>
      </c>
      <c r="AV73">
        <f t="shared" si="42"/>
        <v>-1.8415420257519548</v>
      </c>
      <c r="AW73">
        <f t="shared" si="25"/>
        <v>-843815.25016490731</v>
      </c>
      <c r="AX73">
        <f t="shared" si="26"/>
        <v>-345520.48728950555</v>
      </c>
      <c r="AY73">
        <f t="shared" si="50"/>
        <v>-2.7529457268086182</v>
      </c>
      <c r="BA73">
        <f t="shared" ref="BA73:BA136" si="80">SQRT(AT73^2+AU73^2)/SQRT(AW73^2+AX73^2)</f>
        <v>1.8852022199344776</v>
      </c>
      <c r="BB73">
        <f t="shared" si="43"/>
        <v>5.507158849894612</v>
      </c>
      <c r="BC73">
        <f t="shared" si="44"/>
        <v>0.91140370105666335</v>
      </c>
      <c r="BD73">
        <f t="shared" ref="BD73:BD136" si="81">BC73*180/Pi-180</f>
        <v>-127.78041443718064</v>
      </c>
      <c r="BF73">
        <f t="shared" ref="BF73:BF136" si="82">20*LOG(BA73*J73*F73*C73)</f>
        <v>6.2858488257142575</v>
      </c>
      <c r="BG73">
        <f t="shared" ref="BG73:BG136" si="83">(180/Pi)*(D73+H73+BC73)</f>
        <v>-113.18153971044491</v>
      </c>
      <c r="BH73">
        <f t="shared" si="45"/>
        <v>66.818460289555091</v>
      </c>
      <c r="BI73">
        <f t="shared" si="46"/>
        <v>66.818460289555091</v>
      </c>
      <c r="BJ73">
        <f t="shared" ref="BJ73:BJ136" si="84">SUM((BF74&lt;0)*(BF73&gt;0))*A73</f>
        <v>0</v>
      </c>
      <c r="BK73">
        <f t="shared" si="47"/>
        <v>0</v>
      </c>
      <c r="BM73">
        <f t="shared" si="48"/>
        <v>0.77868997581964439</v>
      </c>
      <c r="BN73">
        <f t="shared" ref="BN73:BN136" si="85">(H73+D73)*180/Pi</f>
        <v>-165.40112527326426</v>
      </c>
      <c r="BQ73" s="56">
        <f t="shared" si="49"/>
        <v>22.40911965017975</v>
      </c>
      <c r="BR73" s="59"/>
      <c r="BS73" s="59"/>
      <c r="BT73" s="59">
        <v>426.58</v>
      </c>
      <c r="BU73" s="59">
        <v>22.373699999999999</v>
      </c>
      <c r="BV73" s="59">
        <v>-265.14060000000001</v>
      </c>
      <c r="BW73" s="61"/>
      <c r="BY73" s="59"/>
      <c r="BZ73" s="59"/>
      <c r="CA73" s="59"/>
      <c r="CC73" s="59"/>
    </row>
    <row r="74" spans="1:81" x14ac:dyDescent="0.25">
      <c r="A74">
        <f t="shared" si="54"/>
        <v>20000</v>
      </c>
      <c r="B74">
        <f t="shared" ref="B74:B137" si="86">A74/1000</f>
        <v>20</v>
      </c>
      <c r="C74">
        <f t="shared" si="55"/>
        <v>1.0136640853214895</v>
      </c>
      <c r="D74">
        <f t="shared" si="56"/>
        <v>0.16437937107867232</v>
      </c>
      <c r="F74">
        <f t="shared" si="57"/>
        <v>6.8202047735475571E-2</v>
      </c>
      <c r="G74">
        <f t="shared" si="58"/>
        <v>9.1781917904047855E-2</v>
      </c>
      <c r="H74">
        <f t="shared" si="59"/>
        <v>-3.0498107320959522</v>
      </c>
      <c r="J74">
        <f t="shared" si="60"/>
        <v>15</v>
      </c>
      <c r="M74">
        <f t="shared" si="61"/>
        <v>6.3611088438751545E-2</v>
      </c>
      <c r="N74">
        <f t="shared" si="62"/>
        <v>-1.5707963250000001</v>
      </c>
      <c r="O74">
        <f t="shared" si="63"/>
        <v>5.8961102050580054</v>
      </c>
      <c r="P74">
        <f t="shared" si="64"/>
        <v>1.4003691599540691</v>
      </c>
      <c r="Q74">
        <f t="shared" si="65"/>
        <v>5.2276373018962961</v>
      </c>
      <c r="R74">
        <f t="shared" si="66"/>
        <v>1.3783190530548339</v>
      </c>
      <c r="S74">
        <f t="shared" si="67"/>
        <v>0.98822696105889629</v>
      </c>
      <c r="T74">
        <f t="shared" si="68"/>
        <v>-0.15359825833605223</v>
      </c>
      <c r="U74">
        <f t="shared" si="69"/>
        <v>0.99222765664128842</v>
      </c>
      <c r="V74">
        <f t="shared" si="70"/>
        <v>-0.12475922810635634</v>
      </c>
      <c r="X74">
        <f t="shared" ref="X74:X137" si="87">20*LOG(C74*J74*O74*Q74*F74*M74*S74*U74)</f>
        <v>5.993092531844554</v>
      </c>
      <c r="Y74">
        <f t="shared" si="71"/>
        <v>-112.06464106705282</v>
      </c>
      <c r="Z74">
        <f t="shared" ref="Z74:Z137" si="88">Y74+180</f>
        <v>67.935358932947182</v>
      </c>
      <c r="AC74">
        <v>1</v>
      </c>
      <c r="AD74">
        <f t="shared" si="72"/>
        <v>5.8106897654400003</v>
      </c>
      <c r="AE74">
        <f t="shared" si="73"/>
        <v>-1.0952892155121918E-4</v>
      </c>
      <c r="AF74">
        <f t="shared" si="74"/>
        <v>8.733627567E-4</v>
      </c>
      <c r="AG74">
        <f t="shared" ref="AG74:AG137" si="89">AC74*AE74/(AE74^2+AF74^2)+AD74*AF74/(AE74^2+AF74^2)</f>
        <v>6408.8452500342164</v>
      </c>
      <c r="AH74">
        <f t="shared" ref="AH74:AH137" si="90">AD74*AE74/(AE74^2+AF74^2)-AC74*AF74/(AE74^2+AF74^2)</f>
        <v>-1948.7365308039148</v>
      </c>
      <c r="AJ74">
        <f t="shared" si="75"/>
        <v>18000</v>
      </c>
      <c r="AK74">
        <f t="shared" si="76"/>
        <v>2786.7183442559999</v>
      </c>
      <c r="AL74">
        <v>1</v>
      </c>
      <c r="AM74">
        <f t="shared" si="77"/>
        <v>5.1311004433919996</v>
      </c>
      <c r="AN74">
        <f t="shared" ref="AN74:AN137" si="91">AJ74*AL74/(AL74^2+AM74^2)+AK74*AM74/(AL74^2+AM74^2)</f>
        <v>1181.8905551916657</v>
      </c>
      <c r="AO74">
        <f t="shared" ref="AO74:AO137" si="92">AK74*AL74/(AL74^2+AM74^2)-AJ74*AM74/(AL74^2+AM74^2)</f>
        <v>-3277.6808075287731</v>
      </c>
      <c r="AQ74">
        <f t="shared" si="78"/>
        <v>6.2460961898813245</v>
      </c>
      <c r="AR74">
        <f t="shared" si="79"/>
        <v>-249.84384759525295</v>
      </c>
      <c r="AT74">
        <f t="shared" si="52"/>
        <v>-446849.56890769745</v>
      </c>
      <c r="AU74">
        <f t="shared" si="53"/>
        <v>-1613382.5517312465</v>
      </c>
      <c r="AV74">
        <f t="shared" ref="AV74:AV137" si="93">ATAN2(AT74,AU74)</f>
        <v>-1.8409879281231603</v>
      </c>
      <c r="AW74">
        <f t="shared" ref="AW74:AW137" si="94">AG74-AH74*AO74/_Rfb2+AG74*AN74/_Rfb2+AN74-AO74*AR74+AQ74*AN74</f>
        <v>-803580.92995279166</v>
      </c>
      <c r="AX74">
        <f t="shared" ref="AX74:AX137" si="95">AH74+AH74*AN74/_Rfb2+AG74*AO74/_Rfb2+AO74+AO74*AQ74+AN74*AR74</f>
        <v>-327947.63931326108</v>
      </c>
      <c r="AY74">
        <f t="shared" si="50"/>
        <v>-2.7541163997930305</v>
      </c>
      <c r="BA74">
        <f t="shared" si="80"/>
        <v>1.9288787066501902</v>
      </c>
      <c r="BB74">
        <f t="shared" ref="BB74:BB137" si="96">20*LOG(BA74)</f>
        <v>5.7060983767375175</v>
      </c>
      <c r="BC74">
        <f t="shared" ref="BC74:BC137" si="97">AV74-AY74</f>
        <v>0.91312847166987021</v>
      </c>
      <c r="BD74">
        <f t="shared" si="81"/>
        <v>-127.68159236030277</v>
      </c>
      <c r="BF74">
        <f t="shared" si="82"/>
        <v>6.0217530342579595</v>
      </c>
      <c r="BG74">
        <f t="shared" si="83"/>
        <v>-113.00463161019098</v>
      </c>
      <c r="BH74">
        <f t="shared" ref="BH74:BH137" si="98">IF(BG74&gt;180,BG74-180,BG74+180)</f>
        <v>66.995368389809016</v>
      </c>
      <c r="BI74">
        <f t="shared" ref="BI74:BI137" si="99">IF(BH74&gt;180,BH74-360,BH74)</f>
        <v>66.995368389809016</v>
      </c>
      <c r="BJ74">
        <f t="shared" si="84"/>
        <v>0</v>
      </c>
      <c r="BK74">
        <f t="shared" ref="BK74:BK137" si="100">IF(BJ74&gt;0,BI74,0)</f>
        <v>0</v>
      </c>
      <c r="BM74">
        <f t="shared" ref="BM74:BM137" si="101">20*LOG(J74*F74*C74)</f>
        <v>0.31565465752044064</v>
      </c>
      <c r="BN74">
        <f t="shared" si="85"/>
        <v>-165.32303924988821</v>
      </c>
      <c r="BQ74" s="56">
        <f t="shared" ref="BQ74:BQ137" si="102">20*LOG(BA74*7)</f>
        <v>22.608059177022653</v>
      </c>
      <c r="BR74" s="59"/>
      <c r="BS74" s="59"/>
      <c r="BT74" s="59">
        <v>436.51600000000002</v>
      </c>
      <c r="BU74" s="59">
        <v>22.074100000000001</v>
      </c>
      <c r="BV74" s="59">
        <v>-264.9151</v>
      </c>
      <c r="BW74" s="61"/>
      <c r="BY74" s="59"/>
      <c r="BZ74" s="59"/>
      <c r="CA74" s="59"/>
      <c r="CC74" s="59"/>
    </row>
    <row r="75" spans="1:81" x14ac:dyDescent="0.25">
      <c r="A75">
        <f t="shared" si="54"/>
        <v>20500</v>
      </c>
      <c r="B75">
        <f t="shared" si="86"/>
        <v>20.5</v>
      </c>
      <c r="C75">
        <f t="shared" si="55"/>
        <v>1.0143509346192046</v>
      </c>
      <c r="D75">
        <f t="shared" si="56"/>
        <v>0.16841250541328598</v>
      </c>
      <c r="F75">
        <f t="shared" si="57"/>
        <v>6.4715714255103723E-2</v>
      </c>
      <c r="G75">
        <f t="shared" si="58"/>
        <v>8.9260696539785453E-2</v>
      </c>
      <c r="H75">
        <f t="shared" si="59"/>
        <v>-3.0523319534602149</v>
      </c>
      <c r="J75">
        <f t="shared" si="60"/>
        <v>15</v>
      </c>
      <c r="M75">
        <f t="shared" si="61"/>
        <v>6.2059598476830784E-2</v>
      </c>
      <c r="N75">
        <f t="shared" si="62"/>
        <v>-1.5707963250000001</v>
      </c>
      <c r="O75">
        <f t="shared" si="63"/>
        <v>6.0393231325966887</v>
      </c>
      <c r="P75">
        <f t="shared" si="64"/>
        <v>1.4044487360916054</v>
      </c>
      <c r="Q75">
        <f t="shared" si="65"/>
        <v>5.3536021955349442</v>
      </c>
      <c r="R75">
        <f t="shared" si="66"/>
        <v>1.3829025875058252</v>
      </c>
      <c r="S75">
        <f t="shared" si="67"/>
        <v>0.98764195480724981</v>
      </c>
      <c r="T75">
        <f t="shared" si="68"/>
        <v>-0.15737587461787786</v>
      </c>
      <c r="U75">
        <f t="shared" si="69"/>
        <v>0.99183898569879092</v>
      </c>
      <c r="V75">
        <f t="shared" si="70"/>
        <v>-0.12784474084777442</v>
      </c>
      <c r="X75">
        <f t="shared" si="87"/>
        <v>5.7354654521832602</v>
      </c>
      <c r="Y75">
        <f t="shared" si="71"/>
        <v>-111.87488348775169</v>
      </c>
      <c r="Z75">
        <f t="shared" si="88"/>
        <v>68.125116512248312</v>
      </c>
      <c r="AC75">
        <v>1</v>
      </c>
      <c r="AD75">
        <f t="shared" si="72"/>
        <v>5.9559570095760002</v>
      </c>
      <c r="AE75">
        <f t="shared" si="73"/>
        <v>-1.1507382320474966E-4</v>
      </c>
      <c r="AF75">
        <f t="shared" si="74"/>
        <v>8.9519682561749994E-4</v>
      </c>
      <c r="AG75">
        <f t="shared" si="89"/>
        <v>6403.8253455018794</v>
      </c>
      <c r="AH75">
        <f t="shared" si="90"/>
        <v>-1940.2578471435809</v>
      </c>
      <c r="AJ75">
        <f t="shared" si="75"/>
        <v>18000</v>
      </c>
      <c r="AK75">
        <f t="shared" si="76"/>
        <v>2856.3863028624</v>
      </c>
      <c r="AL75">
        <v>1</v>
      </c>
      <c r="AM75">
        <f t="shared" si="77"/>
        <v>5.2593779544767996</v>
      </c>
      <c r="AN75">
        <f t="shared" si="91"/>
        <v>1152.1841557924345</v>
      </c>
      <c r="AO75">
        <f t="shared" si="92"/>
        <v>-3203.3856456097915</v>
      </c>
      <c r="AQ75">
        <f t="shared" si="78"/>
        <v>5.9453032104637336</v>
      </c>
      <c r="AR75">
        <f t="shared" si="79"/>
        <v>-243.75743162901307</v>
      </c>
      <c r="AT75">
        <f t="shared" si="52"/>
        <v>-434879.58613189618</v>
      </c>
      <c r="AU75">
        <f t="shared" si="53"/>
        <v>-1572515.4400280656</v>
      </c>
      <c r="AV75">
        <f t="shared" si="93"/>
        <v>-1.8406032491732438</v>
      </c>
      <c r="AW75">
        <f t="shared" si="94"/>
        <v>-766095.68150696531</v>
      </c>
      <c r="AX75">
        <f t="shared" si="95"/>
        <v>-311835.43352966383</v>
      </c>
      <c r="AY75">
        <f t="shared" ref="AY75:AY138" si="103">ATAN2(AW75,AX75)</f>
        <v>-2.7550277739902951</v>
      </c>
      <c r="BA75">
        <f t="shared" si="80"/>
        <v>1.9725325267747897</v>
      </c>
      <c r="BB75">
        <f t="shared" si="96"/>
        <v>5.9004834678682982</v>
      </c>
      <c r="BC75">
        <f t="shared" si="97"/>
        <v>0.91442452481705128</v>
      </c>
      <c r="BD75">
        <f t="shared" si="81"/>
        <v>-127.60733398485981</v>
      </c>
      <c r="BF75">
        <f t="shared" si="82"/>
        <v>5.7662682981553299</v>
      </c>
      <c r="BG75">
        <f t="shared" si="83"/>
        <v>-112.84374700245684</v>
      </c>
      <c r="BH75">
        <f t="shared" si="98"/>
        <v>67.156252997543163</v>
      </c>
      <c r="BI75">
        <f t="shared" si="99"/>
        <v>67.156252997543163</v>
      </c>
      <c r="BJ75">
        <f t="shared" si="84"/>
        <v>0</v>
      </c>
      <c r="BK75">
        <f t="shared" si="100"/>
        <v>0</v>
      </c>
      <c r="BM75">
        <f t="shared" si="101"/>
        <v>-0.13421516971296721</v>
      </c>
      <c r="BN75">
        <f t="shared" si="85"/>
        <v>-165.23641301759704</v>
      </c>
      <c r="BQ75" s="56">
        <f t="shared" si="102"/>
        <v>22.802444268153437</v>
      </c>
      <c r="BR75" s="59"/>
      <c r="BS75" s="59"/>
      <c r="BT75" s="59">
        <v>446.68400000000003</v>
      </c>
      <c r="BU75" s="59">
        <v>21.761099999999999</v>
      </c>
      <c r="BV75" s="59">
        <v>-265.3082</v>
      </c>
      <c r="BW75" s="61"/>
      <c r="BY75" s="59"/>
      <c r="BZ75" s="59"/>
      <c r="CA75" s="59"/>
      <c r="CC75" s="59"/>
    </row>
    <row r="76" spans="1:81" x14ac:dyDescent="0.25">
      <c r="A76">
        <f t="shared" si="54"/>
        <v>21000</v>
      </c>
      <c r="B76">
        <f t="shared" si="86"/>
        <v>21</v>
      </c>
      <c r="C76">
        <f t="shared" si="55"/>
        <v>1.0150542610384896</v>
      </c>
      <c r="D76">
        <f t="shared" si="56"/>
        <v>0.17244011610648602</v>
      </c>
      <c r="F76">
        <f t="shared" si="57"/>
        <v>6.1494557023496696E-2</v>
      </c>
      <c r="G76">
        <f t="shared" si="58"/>
        <v>8.6880492002436249E-2</v>
      </c>
      <c r="H76">
        <f t="shared" si="59"/>
        <v>-3.0547121579975638</v>
      </c>
      <c r="J76">
        <f t="shared" si="60"/>
        <v>15</v>
      </c>
      <c r="M76">
        <f t="shared" si="61"/>
        <v>6.058198898928719E-2</v>
      </c>
      <c r="N76">
        <f t="shared" si="62"/>
        <v>-1.5707963250000001</v>
      </c>
      <c r="O76">
        <f t="shared" si="63"/>
        <v>6.182631914814559</v>
      </c>
      <c r="P76">
        <f t="shared" si="64"/>
        <v>1.408339251455847</v>
      </c>
      <c r="Q76">
        <f t="shared" si="65"/>
        <v>5.4796743895596371</v>
      </c>
      <c r="R76">
        <f t="shared" si="66"/>
        <v>1.3872753013619223</v>
      </c>
      <c r="S76">
        <f t="shared" si="67"/>
        <v>0.9870435803800186</v>
      </c>
      <c r="T76">
        <f t="shared" si="68"/>
        <v>-0.1611489672634106</v>
      </c>
      <c r="U76">
        <f t="shared" si="69"/>
        <v>0.9914411913653941</v>
      </c>
      <c r="V76">
        <f t="shared" si="70"/>
        <v>-0.13092780792432418</v>
      </c>
      <c r="X76">
        <f t="shared" si="87"/>
        <v>5.4858430770130635</v>
      </c>
      <c r="Y76">
        <f t="shared" si="71"/>
        <v>-111.69987492394587</v>
      </c>
      <c r="Z76">
        <f t="shared" si="88"/>
        <v>68.30012507605413</v>
      </c>
      <c r="AC76">
        <v>1</v>
      </c>
      <c r="AD76">
        <f t="shared" si="72"/>
        <v>6.1012242537120001</v>
      </c>
      <c r="AE76">
        <f t="shared" si="73"/>
        <v>-1.2075563601021916E-4</v>
      </c>
      <c r="AF76">
        <f t="shared" si="74"/>
        <v>9.1703089453499999E-4</v>
      </c>
      <c r="AG76">
        <f t="shared" si="89"/>
        <v>6398.6896437790674</v>
      </c>
      <c r="AH76">
        <f t="shared" si="90"/>
        <v>-1933.0622862661767</v>
      </c>
      <c r="AJ76">
        <f t="shared" si="75"/>
        <v>18000</v>
      </c>
      <c r="AK76">
        <f t="shared" si="76"/>
        <v>2926.0542614688002</v>
      </c>
      <c r="AL76">
        <v>1</v>
      </c>
      <c r="AM76">
        <f t="shared" si="77"/>
        <v>5.3876554655616005</v>
      </c>
      <c r="AN76">
        <f t="shared" si="91"/>
        <v>1124.4800281122916</v>
      </c>
      <c r="AO76">
        <f t="shared" si="92"/>
        <v>-3132.2567079052506</v>
      </c>
      <c r="AQ76">
        <f t="shared" si="78"/>
        <v>5.6657223796033991</v>
      </c>
      <c r="AR76">
        <f t="shared" si="79"/>
        <v>-237.96033994334277</v>
      </c>
      <c r="AT76">
        <f t="shared" si="52"/>
        <v>-423738.95965665922</v>
      </c>
      <c r="AU76">
        <f t="shared" si="53"/>
        <v>-1533586.5570820794</v>
      </c>
      <c r="AV76">
        <f t="shared" si="93"/>
        <v>-1.8403761838732005</v>
      </c>
      <c r="AW76">
        <f t="shared" si="94"/>
        <v>-731118.18807248154</v>
      </c>
      <c r="AX76">
        <f t="shared" si="95"/>
        <v>-297027.41862454539</v>
      </c>
      <c r="AY76">
        <f t="shared" si="103"/>
        <v>-2.7556974755036312</v>
      </c>
      <c r="BA76">
        <f t="shared" si="80"/>
        <v>2.0161553352601995</v>
      </c>
      <c r="BB76">
        <f t="shared" si="96"/>
        <v>6.0904797880838153</v>
      </c>
      <c r="BC76">
        <f t="shared" si="97"/>
        <v>0.91532129163043074</v>
      </c>
      <c r="BD76">
        <f t="shared" si="81"/>
        <v>-127.55595303118706</v>
      </c>
      <c r="BF76">
        <f t="shared" si="82"/>
        <v>5.5188236903240862</v>
      </c>
      <c r="BG76">
        <f t="shared" si="83"/>
        <v>-112.69797662880208</v>
      </c>
      <c r="BH76">
        <f t="shared" si="98"/>
        <v>67.302023371197919</v>
      </c>
      <c r="BI76">
        <f t="shared" si="99"/>
        <v>67.302023371197919</v>
      </c>
      <c r="BJ76">
        <f t="shared" si="84"/>
        <v>0</v>
      </c>
      <c r="BK76">
        <f t="shared" si="100"/>
        <v>0</v>
      </c>
      <c r="BM76">
        <f t="shared" si="101"/>
        <v>-0.57165609775972948</v>
      </c>
      <c r="BN76">
        <f t="shared" si="85"/>
        <v>-165.14202359761504</v>
      </c>
      <c r="BQ76" s="56">
        <f t="shared" si="102"/>
        <v>22.99244058836895</v>
      </c>
      <c r="BR76" s="59"/>
      <c r="BS76" s="59"/>
      <c r="BT76" s="59">
        <v>457.08800000000002</v>
      </c>
      <c r="BU76" s="59">
        <v>21.6126</v>
      </c>
      <c r="BV76" s="59">
        <v>-265.65139999999997</v>
      </c>
      <c r="BW76" s="61"/>
      <c r="BY76" s="59"/>
      <c r="BZ76" s="59"/>
      <c r="CA76" s="59"/>
      <c r="CC76" s="59"/>
    </row>
    <row r="77" spans="1:81" x14ac:dyDescent="0.25">
      <c r="A77">
        <f t="shared" si="54"/>
        <v>21500</v>
      </c>
      <c r="B77">
        <f t="shared" si="86"/>
        <v>21.5</v>
      </c>
      <c r="C77">
        <f t="shared" si="55"/>
        <v>1.01577403035285</v>
      </c>
      <c r="D77">
        <f t="shared" si="56"/>
        <v>0.17646208410126055</v>
      </c>
      <c r="F77">
        <f t="shared" si="57"/>
        <v>5.8511944029927779E-2</v>
      </c>
      <c r="G77">
        <f t="shared" si="58"/>
        <v>8.462941283139909E-2</v>
      </c>
      <c r="H77">
        <f t="shared" si="59"/>
        <v>-3.0569632371686013</v>
      </c>
      <c r="J77">
        <f t="shared" si="60"/>
        <v>15</v>
      </c>
      <c r="M77">
        <f t="shared" si="61"/>
        <v>5.9173105524420053E-2</v>
      </c>
      <c r="N77">
        <f t="shared" si="62"/>
        <v>-1.5707963250000001</v>
      </c>
      <c r="O77">
        <f t="shared" si="63"/>
        <v>6.3260300372893701</v>
      </c>
      <c r="P77">
        <f t="shared" si="64"/>
        <v>1.4120534409313121</v>
      </c>
      <c r="Q77">
        <f t="shared" si="65"/>
        <v>5.6058466446073263</v>
      </c>
      <c r="R77">
        <f t="shared" si="66"/>
        <v>1.3914512564712762</v>
      </c>
      <c r="S77">
        <f t="shared" si="67"/>
        <v>0.98643191312326817</v>
      </c>
      <c r="T77">
        <f t="shared" si="68"/>
        <v>-0.1649174371597959</v>
      </c>
      <c r="U77">
        <f t="shared" si="69"/>
        <v>0.99103430728662278</v>
      </c>
      <c r="V77">
        <f t="shared" si="70"/>
        <v>-0.13400837370237037</v>
      </c>
      <c r="X77">
        <f t="shared" si="87"/>
        <v>5.2437104038102369</v>
      </c>
      <c r="Y77">
        <f t="shared" si="71"/>
        <v>-111.5387593215961</v>
      </c>
      <c r="Z77">
        <f t="shared" si="88"/>
        <v>68.461240678403897</v>
      </c>
      <c r="AC77">
        <v>1</v>
      </c>
      <c r="AD77">
        <f t="shared" si="72"/>
        <v>6.246491497848</v>
      </c>
      <c r="AE77">
        <f t="shared" si="73"/>
        <v>-1.2657435996762768E-4</v>
      </c>
      <c r="AF77">
        <f t="shared" si="74"/>
        <v>9.3886496345249994E-4</v>
      </c>
      <c r="AG77">
        <f t="shared" si="89"/>
        <v>6393.4387207291675</v>
      </c>
      <c r="AH77">
        <f t="shared" si="90"/>
        <v>-1927.0560565125168</v>
      </c>
      <c r="AJ77">
        <f t="shared" si="75"/>
        <v>18000</v>
      </c>
      <c r="AK77">
        <f t="shared" si="76"/>
        <v>2995.7222200751999</v>
      </c>
      <c r="AL77">
        <v>1</v>
      </c>
      <c r="AM77">
        <f t="shared" si="77"/>
        <v>5.5159329766464005</v>
      </c>
      <c r="AN77">
        <f t="shared" si="91"/>
        <v>1098.6041508526355</v>
      </c>
      <c r="AO77">
        <f t="shared" si="92"/>
        <v>-3064.1046438934691</v>
      </c>
      <c r="AQ77">
        <f t="shared" si="78"/>
        <v>5.4054054054054053</v>
      </c>
      <c r="AR77">
        <f t="shared" si="79"/>
        <v>-232.43243243243242</v>
      </c>
      <c r="AT77">
        <f t="shared" si="52"/>
        <v>-413351.19842869759</v>
      </c>
      <c r="AU77">
        <f t="shared" si="53"/>
        <v>-1496459.0326911714</v>
      </c>
      <c r="AV77">
        <f t="shared" si="93"/>
        <v>-1.8402959635503884</v>
      </c>
      <c r="AW77">
        <f t="shared" si="94"/>
        <v>-698432.65923375636</v>
      </c>
      <c r="AX77">
        <f t="shared" si="95"/>
        <v>-283387.14574509673</v>
      </c>
      <c r="AY77">
        <f t="shared" si="103"/>
        <v>-2.7561415720443763</v>
      </c>
      <c r="BA77">
        <f t="shared" si="80"/>
        <v>2.0597393138251405</v>
      </c>
      <c r="BB77">
        <f t="shared" si="96"/>
        <v>6.2762451672731787</v>
      </c>
      <c r="BC77">
        <f t="shared" si="97"/>
        <v>0.91584560849398788</v>
      </c>
      <c r="BD77">
        <f t="shared" si="81"/>
        <v>-127.52591188774338</v>
      </c>
      <c r="BF77">
        <f t="shared" si="82"/>
        <v>5.2789030057988473</v>
      </c>
      <c r="BG77">
        <f t="shared" si="83"/>
        <v>-112.56647102965545</v>
      </c>
      <c r="BH77">
        <f t="shared" si="98"/>
        <v>67.433528970344554</v>
      </c>
      <c r="BI77">
        <f t="shared" si="99"/>
        <v>67.433528970344554</v>
      </c>
      <c r="BJ77">
        <f t="shared" si="84"/>
        <v>0</v>
      </c>
      <c r="BK77">
        <f t="shared" si="100"/>
        <v>0</v>
      </c>
      <c r="BM77">
        <f t="shared" si="101"/>
        <v>-0.99734216147433186</v>
      </c>
      <c r="BN77">
        <f t="shared" si="85"/>
        <v>-165.04055914191207</v>
      </c>
      <c r="BQ77" s="56">
        <f t="shared" si="102"/>
        <v>23.178205967558316</v>
      </c>
      <c r="BR77" s="58"/>
      <c r="BS77" s="58"/>
      <c r="BT77" s="58">
        <v>467.73500000000001</v>
      </c>
      <c r="BU77" s="58">
        <v>21.3672</v>
      </c>
      <c r="BV77" s="58">
        <v>-265.05009999999999</v>
      </c>
      <c r="BW77" s="61"/>
      <c r="BY77" s="58"/>
      <c r="BZ77" s="58"/>
      <c r="CA77" s="58"/>
      <c r="CC77" s="58"/>
    </row>
    <row r="78" spans="1:81" x14ac:dyDescent="0.25">
      <c r="A78">
        <f t="shared" si="54"/>
        <v>22000</v>
      </c>
      <c r="B78">
        <f t="shared" si="86"/>
        <v>22</v>
      </c>
      <c r="C78">
        <f t="shared" si="55"/>
        <v>1.0165102076336907</v>
      </c>
      <c r="D78">
        <f t="shared" si="56"/>
        <v>0.18047829140413918</v>
      </c>
      <c r="F78">
        <f t="shared" si="57"/>
        <v>5.5744548593965666E-2</v>
      </c>
      <c r="G78">
        <f t="shared" si="58"/>
        <v>8.2496897277311604E-2</v>
      </c>
      <c r="H78">
        <f t="shared" si="59"/>
        <v>-3.0590957527226887</v>
      </c>
      <c r="J78">
        <f t="shared" si="60"/>
        <v>15</v>
      </c>
      <c r="M78">
        <f t="shared" si="61"/>
        <v>5.7828262217046865E-2</v>
      </c>
      <c r="N78">
        <f t="shared" si="62"/>
        <v>-1.5707963250000001</v>
      </c>
      <c r="O78">
        <f t="shared" si="63"/>
        <v>6.4695115592855137</v>
      </c>
      <c r="P78">
        <f t="shared" si="64"/>
        <v>1.4156029301933062</v>
      </c>
      <c r="Q78">
        <f t="shared" si="65"/>
        <v>5.7321123532093186</v>
      </c>
      <c r="R78">
        <f t="shared" si="66"/>
        <v>1.3954433046248567</v>
      </c>
      <c r="S78">
        <f t="shared" si="67"/>
        <v>0.98580702980268953</v>
      </c>
      <c r="T78">
        <f t="shared" si="68"/>
        <v>-0.16868118596206097</v>
      </c>
      <c r="U78">
        <f t="shared" si="69"/>
        <v>0.99061836780186918</v>
      </c>
      <c r="V78">
        <f t="shared" si="70"/>
        <v>-0.1370863828284018</v>
      </c>
      <c r="X78">
        <f t="shared" si="87"/>
        <v>5.0086004463663709</v>
      </c>
      <c r="Y78">
        <f t="shared" si="71"/>
        <v>-111.39073732310676</v>
      </c>
      <c r="Z78">
        <f t="shared" si="88"/>
        <v>68.609262676893238</v>
      </c>
      <c r="AC78">
        <v>1</v>
      </c>
      <c r="AD78">
        <f t="shared" si="72"/>
        <v>6.3917587419839998</v>
      </c>
      <c r="AE78">
        <f t="shared" si="73"/>
        <v>-1.3252999507697521E-4</v>
      </c>
      <c r="AF78">
        <f t="shared" si="74"/>
        <v>9.6069903236999988E-4</v>
      </c>
      <c r="AG78">
        <f t="shared" si="89"/>
        <v>6388.073163686613</v>
      </c>
      <c r="AH78">
        <f t="shared" si="90"/>
        <v>-1922.1538095851306</v>
      </c>
      <c r="AJ78">
        <f t="shared" si="75"/>
        <v>18000</v>
      </c>
      <c r="AK78">
        <f t="shared" si="76"/>
        <v>3065.3901786816</v>
      </c>
      <c r="AL78">
        <v>1</v>
      </c>
      <c r="AM78">
        <f t="shared" si="77"/>
        <v>5.6442104877312005</v>
      </c>
      <c r="AN78">
        <f t="shared" si="91"/>
        <v>1074.4007983254824</v>
      </c>
      <c r="AO78">
        <f t="shared" si="92"/>
        <v>-2998.7540752538607</v>
      </c>
      <c r="AQ78">
        <f t="shared" si="78"/>
        <v>5.1626226122870422</v>
      </c>
      <c r="AR78">
        <f t="shared" si="79"/>
        <v>-227.15539494062983</v>
      </c>
      <c r="AT78">
        <f t="shared" si="52"/>
        <v>-403648.39678915404</v>
      </c>
      <c r="AU78">
        <f t="shared" si="53"/>
        <v>-1461008.6371285291</v>
      </c>
      <c r="AV78">
        <f t="shared" si="93"/>
        <v>-1.8403527453832476</v>
      </c>
      <c r="AW78">
        <f t="shared" si="94"/>
        <v>-667845.70795868849</v>
      </c>
      <c r="AX78">
        <f t="shared" si="95"/>
        <v>-270795.23415660177</v>
      </c>
      <c r="AY78">
        <f t="shared" si="103"/>
        <v>-2.7563747401937877</v>
      </c>
      <c r="BA78">
        <f t="shared" si="80"/>
        <v>2.1032771110025541</v>
      </c>
      <c r="BB78">
        <f t="shared" si="96"/>
        <v>6.4579299126033067</v>
      </c>
      <c r="BC78">
        <f t="shared" si="97"/>
        <v>0.91602199481054014</v>
      </c>
      <c r="BD78">
        <f t="shared" si="81"/>
        <v>-127.51580569622952</v>
      </c>
      <c r="BF78">
        <f t="shared" si="82"/>
        <v>5.0460380358970767</v>
      </c>
      <c r="BG78">
        <f t="shared" si="83"/>
        <v>-112.44843725090892</v>
      </c>
      <c r="BH78">
        <f t="shared" si="98"/>
        <v>67.551562749091076</v>
      </c>
      <c r="BI78">
        <f t="shared" si="99"/>
        <v>67.551562749091076</v>
      </c>
      <c r="BJ78">
        <f t="shared" si="84"/>
        <v>0</v>
      </c>
      <c r="BK78">
        <f t="shared" si="100"/>
        <v>0</v>
      </c>
      <c r="BM78">
        <f t="shared" si="101"/>
        <v>-1.4118918767062283</v>
      </c>
      <c r="BN78">
        <f t="shared" si="85"/>
        <v>-164.93263155467943</v>
      </c>
      <c r="BQ78" s="56">
        <f t="shared" si="102"/>
        <v>23.359890712888443</v>
      </c>
      <c r="BR78" s="58"/>
      <c r="BS78" s="58"/>
      <c r="BT78" s="58">
        <v>478.63</v>
      </c>
      <c r="BU78" s="58">
        <v>21.195799999999998</v>
      </c>
      <c r="BV78" s="58">
        <v>-264.35129999999998</v>
      </c>
      <c r="BW78" s="61"/>
      <c r="BY78" s="58"/>
      <c r="BZ78" s="58"/>
      <c r="CA78" s="58"/>
      <c r="CC78" s="58"/>
    </row>
    <row r="79" spans="1:81" x14ac:dyDescent="0.25">
      <c r="A79">
        <f t="shared" si="54"/>
        <v>22500</v>
      </c>
      <c r="B79">
        <f t="shared" si="86"/>
        <v>22.5</v>
      </c>
      <c r="C79">
        <f t="shared" si="55"/>
        <v>1.0172627572584403</v>
      </c>
      <c r="D79">
        <f t="shared" si="56"/>
        <v>0.18448862110272696</v>
      </c>
      <c r="F79">
        <f t="shared" si="57"/>
        <v>5.3171863455306521E-2</v>
      </c>
      <c r="G79">
        <f t="shared" si="58"/>
        <v>8.0473529859775961E-2</v>
      </c>
      <c r="H79">
        <f t="shared" si="59"/>
        <v>-3.0611191201402241</v>
      </c>
      <c r="J79">
        <f t="shared" si="60"/>
        <v>15</v>
      </c>
      <c r="M79">
        <f t="shared" si="61"/>
        <v>5.6543189723334712E-2</v>
      </c>
      <c r="N79">
        <f t="shared" si="62"/>
        <v>-1.5707963250000001</v>
      </c>
      <c r="O79">
        <f t="shared" si="63"/>
        <v>6.6130710523332619</v>
      </c>
      <c r="P79">
        <f t="shared" si="64"/>
        <v>1.4189983529109009</v>
      </c>
      <c r="Q79">
        <f t="shared" si="65"/>
        <v>5.8584654728413952</v>
      </c>
      <c r="R79">
        <f t="shared" si="66"/>
        <v>1.3992632135813861</v>
      </c>
      <c r="S79">
        <f t="shared" si="67"/>
        <v>0.98516900857783918</v>
      </c>
      <c r="T79">
        <f t="shared" si="68"/>
        <v>-0.17244011610648602</v>
      </c>
      <c r="U79">
        <f t="shared" si="69"/>
        <v>0.99019340793653876</v>
      </c>
      <c r="V79">
        <f t="shared" si="70"/>
        <v>-0.14016178023451778</v>
      </c>
      <c r="X79">
        <f t="shared" si="87"/>
        <v>4.7800884976481592</v>
      </c>
      <c r="Y79">
        <f t="shared" si="71"/>
        <v>-111.25506284193735</v>
      </c>
      <c r="Z79">
        <f t="shared" si="88"/>
        <v>68.744937158062655</v>
      </c>
      <c r="AC79">
        <v>1</v>
      </c>
      <c r="AD79">
        <f t="shared" si="72"/>
        <v>6.5370259861200006</v>
      </c>
      <c r="AE79">
        <f t="shared" si="73"/>
        <v>-1.3862254133826179E-4</v>
      </c>
      <c r="AF79">
        <f t="shared" si="74"/>
        <v>9.8253310128749993E-4</v>
      </c>
      <c r="AG79">
        <f t="shared" si="89"/>
        <v>6382.5935712967012</v>
      </c>
      <c r="AH79">
        <f t="shared" si="90"/>
        <v>-1918.2777035324493</v>
      </c>
      <c r="AJ79">
        <f t="shared" si="75"/>
        <v>18000</v>
      </c>
      <c r="AK79">
        <f t="shared" si="76"/>
        <v>3135.0581372879997</v>
      </c>
      <c r="AL79">
        <v>1</v>
      </c>
      <c r="AM79">
        <f t="shared" si="77"/>
        <v>5.7724879988160005</v>
      </c>
      <c r="AN79">
        <f t="shared" si="91"/>
        <v>1051.7303057306949</v>
      </c>
      <c r="AO79">
        <f t="shared" si="92"/>
        <v>-2936.04243053352</v>
      </c>
      <c r="AQ79">
        <f t="shared" si="78"/>
        <v>4.9358341559723593</v>
      </c>
      <c r="AR79">
        <f t="shared" si="79"/>
        <v>-222.11253701875617</v>
      </c>
      <c r="AT79">
        <f t="shared" si="52"/>
        <v>-394570.10408520984</v>
      </c>
      <c r="AU79">
        <f t="shared" si="53"/>
        <v>-1427122.3514900494</v>
      </c>
      <c r="AV79">
        <f t="shared" si="93"/>
        <v>-1.840537515586691</v>
      </c>
      <c r="AW79">
        <f t="shared" si="94"/>
        <v>-639183.65695488267</v>
      </c>
      <c r="AX79">
        <f t="shared" si="95"/>
        <v>-259146.9187400798</v>
      </c>
      <c r="AY79">
        <f t="shared" si="103"/>
        <v>-2.7564104118127983</v>
      </c>
      <c r="BA79">
        <f t="shared" si="80"/>
        <v>2.1467617902192391</v>
      </c>
      <c r="BB79">
        <f t="shared" si="96"/>
        <v>6.6356771352753841</v>
      </c>
      <c r="BC79">
        <f t="shared" si="97"/>
        <v>0.91587289622610735</v>
      </c>
      <c r="BD79">
        <f t="shared" si="81"/>
        <v>-127.52434841585865</v>
      </c>
      <c r="BF79">
        <f t="shared" si="82"/>
        <v>4.8198028316794259</v>
      </c>
      <c r="BG79">
        <f t="shared" si="83"/>
        <v>-112.34313541765198</v>
      </c>
      <c r="BH79">
        <f t="shared" si="98"/>
        <v>67.656864582348021</v>
      </c>
      <c r="BI79">
        <f t="shared" si="99"/>
        <v>67.656864582348021</v>
      </c>
      <c r="BJ79">
        <f t="shared" si="84"/>
        <v>0</v>
      </c>
      <c r="BK79">
        <f t="shared" si="100"/>
        <v>0</v>
      </c>
      <c r="BM79">
        <f t="shared" si="101"/>
        <v>-1.8158743035959579</v>
      </c>
      <c r="BN79">
        <f t="shared" si="85"/>
        <v>-164.81878700179331</v>
      </c>
      <c r="BQ79" s="56">
        <f t="shared" si="102"/>
        <v>23.537637935560522</v>
      </c>
      <c r="BR79" s="59"/>
      <c r="BS79" s="59"/>
      <c r="BT79" s="59">
        <v>489.779</v>
      </c>
      <c r="BU79" s="59">
        <v>20.944800000000001</v>
      </c>
      <c r="BV79" s="59">
        <v>-263.91079999999999</v>
      </c>
      <c r="BW79" s="61"/>
      <c r="BY79" s="59"/>
      <c r="BZ79" s="59"/>
      <c r="CA79" s="59"/>
      <c r="CC79" s="59"/>
    </row>
    <row r="80" spans="1:81" x14ac:dyDescent="0.25">
      <c r="A80">
        <f t="shared" si="54"/>
        <v>23000</v>
      </c>
      <c r="B80">
        <f t="shared" si="86"/>
        <v>23</v>
      </c>
      <c r="C80">
        <f t="shared" si="55"/>
        <v>1.0180316429187934</v>
      </c>
      <c r="D80">
        <f t="shared" si="56"/>
        <v>0.18849295738275343</v>
      </c>
      <c r="F80">
        <f t="shared" si="57"/>
        <v>5.0775797010198707E-2</v>
      </c>
      <c r="G80">
        <f t="shared" si="58"/>
        <v>7.8550887748880485E-2</v>
      </c>
      <c r="H80">
        <f t="shared" si="59"/>
        <v>-3.0630417622511197</v>
      </c>
      <c r="J80">
        <f t="shared" si="60"/>
        <v>15</v>
      </c>
      <c r="M80">
        <f t="shared" si="61"/>
        <v>5.5313989946740486E-2</v>
      </c>
      <c r="N80">
        <f t="shared" si="62"/>
        <v>-1.5707963250000001</v>
      </c>
      <c r="O80">
        <f t="shared" si="63"/>
        <v>6.7567035464881213</v>
      </c>
      <c r="P80">
        <f t="shared" si="64"/>
        <v>1.4222494535189274</v>
      </c>
      <c r="Q80">
        <f t="shared" si="65"/>
        <v>5.9849004672454544</v>
      </c>
      <c r="R80">
        <f t="shared" si="66"/>
        <v>1.4029217778356005</v>
      </c>
      <c r="S80">
        <f t="shared" si="67"/>
        <v>0.98451792897604851</v>
      </c>
      <c r="T80">
        <f t="shared" si="68"/>
        <v>-0.17619413082366456</v>
      </c>
      <c r="U80">
        <f t="shared" si="69"/>
        <v>0.9897594633940644</v>
      </c>
      <c r="V80">
        <f t="shared" si="70"/>
        <v>-0.14323451114383676</v>
      </c>
      <c r="X80">
        <f t="shared" si="87"/>
        <v>4.5577872144389469</v>
      </c>
      <c r="Y80">
        <f t="shared" si="71"/>
        <v>-111.13103962941891</v>
      </c>
      <c r="Z80">
        <f t="shared" si="88"/>
        <v>68.868960370581092</v>
      </c>
      <c r="AC80">
        <v>1</v>
      </c>
      <c r="AD80">
        <f t="shared" si="72"/>
        <v>6.6822932302560005</v>
      </c>
      <c r="AE80">
        <f t="shared" si="73"/>
        <v>-1.448519987514874E-4</v>
      </c>
      <c r="AF80">
        <f t="shared" si="74"/>
        <v>1.004367170205E-3</v>
      </c>
      <c r="AG80">
        <f t="shared" si="89"/>
        <v>6377.0005533529065</v>
      </c>
      <c r="AH80">
        <f t="shared" si="90"/>
        <v>-1915.3565879695789</v>
      </c>
      <c r="AJ80">
        <f t="shared" si="75"/>
        <v>18000</v>
      </c>
      <c r="AK80">
        <f t="shared" si="76"/>
        <v>3204.7260958943998</v>
      </c>
      <c r="AL80">
        <v>1</v>
      </c>
      <c r="AM80">
        <f t="shared" si="77"/>
        <v>5.9007655099008005</v>
      </c>
      <c r="AN80">
        <f t="shared" si="91"/>
        <v>1030.4671428212819</v>
      </c>
      <c r="AO80">
        <f t="shared" si="92"/>
        <v>-2875.8188795514425</v>
      </c>
      <c r="AQ80">
        <f t="shared" si="78"/>
        <v>4.7236655644780345</v>
      </c>
      <c r="AR80">
        <f t="shared" si="79"/>
        <v>-217.28861596598961</v>
      </c>
      <c r="AT80">
        <f t="shared" si="52"/>
        <v>-386062.36416271952</v>
      </c>
      <c r="AU80">
        <f t="shared" si="53"/>
        <v>-1394697.128210691</v>
      </c>
      <c r="AV80">
        <f t="shared" si="93"/>
        <v>-1.8408420043729099</v>
      </c>
      <c r="AW80">
        <f t="shared" si="94"/>
        <v>-612290.20946894819</v>
      </c>
      <c r="AX80">
        <f t="shared" si="95"/>
        <v>-248349.99228870947</v>
      </c>
      <c r="AY80">
        <f t="shared" si="103"/>
        <v>-2.7562609025426155</v>
      </c>
      <c r="BA80">
        <f t="shared" si="80"/>
        <v>2.1901867846896299</v>
      </c>
      <c r="BB80">
        <f t="shared" si="96"/>
        <v>6.8096230831116902</v>
      </c>
      <c r="BC80">
        <f t="shared" si="97"/>
        <v>0.91541889816970556</v>
      </c>
      <c r="BD80">
        <f t="shared" si="81"/>
        <v>-127.55036058842734</v>
      </c>
      <c r="BF80">
        <f t="shared" si="82"/>
        <v>4.599808789201429</v>
      </c>
      <c r="BG80">
        <f t="shared" si="83"/>
        <v>-112.24987529995617</v>
      </c>
      <c r="BH80">
        <f t="shared" si="98"/>
        <v>67.750124700043827</v>
      </c>
      <c r="BI80">
        <f t="shared" si="99"/>
        <v>67.750124700043827</v>
      </c>
      <c r="BJ80">
        <f t="shared" si="84"/>
        <v>0</v>
      </c>
      <c r="BK80">
        <f t="shared" si="100"/>
        <v>0</v>
      </c>
      <c r="BM80">
        <f t="shared" si="101"/>
        <v>-2.2098142939102607</v>
      </c>
      <c r="BN80">
        <f t="shared" si="85"/>
        <v>-164.69951471152882</v>
      </c>
      <c r="BQ80" s="56">
        <f t="shared" si="102"/>
        <v>23.711583883396827</v>
      </c>
      <c r="BR80" s="59"/>
      <c r="BS80" s="59"/>
      <c r="BT80" s="59">
        <v>501.18700000000001</v>
      </c>
      <c r="BU80" s="59">
        <v>20.7819</v>
      </c>
      <c r="BV80" s="59">
        <v>-264.7826</v>
      </c>
      <c r="BW80" s="61"/>
      <c r="BY80" s="59"/>
      <c r="BZ80" s="59"/>
      <c r="CA80" s="59"/>
      <c r="CC80" s="59"/>
    </row>
    <row r="81" spans="1:81" x14ac:dyDescent="0.25">
      <c r="A81">
        <f t="shared" si="54"/>
        <v>23500</v>
      </c>
      <c r="B81">
        <f t="shared" si="86"/>
        <v>23.5</v>
      </c>
      <c r="C81">
        <f t="shared" si="55"/>
        <v>1.0188168276290734</v>
      </c>
      <c r="D81">
        <f t="shared" si="56"/>
        <v>0.19249118554463379</v>
      </c>
      <c r="F81">
        <f t="shared" si="57"/>
        <v>4.8540336068382539E-2</v>
      </c>
      <c r="G81">
        <f t="shared" si="58"/>
        <v>7.6721411431995762E-2</v>
      </c>
      <c r="H81">
        <f t="shared" si="59"/>
        <v>-3.0648712385680046</v>
      </c>
      <c r="J81">
        <f t="shared" si="60"/>
        <v>15</v>
      </c>
      <c r="M81">
        <f t="shared" si="61"/>
        <v>5.4137096543618347E-2</v>
      </c>
      <c r="N81">
        <f t="shared" si="62"/>
        <v>-1.5707963250000001</v>
      </c>
      <c r="O81">
        <f t="shared" si="63"/>
        <v>6.9004044831792219</v>
      </c>
      <c r="P81">
        <f t="shared" si="64"/>
        <v>1.4253651775729392</v>
      </c>
      <c r="Q81">
        <f t="shared" si="65"/>
        <v>6.1114122548634517</v>
      </c>
      <c r="R81">
        <f t="shared" si="66"/>
        <v>1.4064289162176107</v>
      </c>
      <c r="S81">
        <f t="shared" si="67"/>
        <v>0.98385387186602036</v>
      </c>
      <c r="T81">
        <f t="shared" si="68"/>
        <v>-0.1799431341512501</v>
      </c>
      <c r="U81">
        <f t="shared" si="69"/>
        <v>0.98931657054779787</v>
      </c>
      <c r="V81">
        <f t="shared" si="70"/>
        <v>-0.14630452107582592</v>
      </c>
      <c r="X81">
        <f t="shared" si="87"/>
        <v>4.3413423880963533</v>
      </c>
      <c r="Y81">
        <f t="shared" si="71"/>
        <v>-111.01801791609789</v>
      </c>
      <c r="Z81">
        <f t="shared" si="88"/>
        <v>68.981982083902111</v>
      </c>
      <c r="AC81">
        <v>1</v>
      </c>
      <c r="AD81">
        <f t="shared" si="72"/>
        <v>6.8275604743920004</v>
      </c>
      <c r="AE81">
        <f t="shared" si="73"/>
        <v>-1.5121836731665198E-4</v>
      </c>
      <c r="AF81">
        <f t="shared" si="74"/>
        <v>1.0262012391224998E-3</v>
      </c>
      <c r="AG81">
        <f t="shared" si="89"/>
        <v>6371.2947306318238</v>
      </c>
      <c r="AH81">
        <f t="shared" si="90"/>
        <v>-1913.3252933296744</v>
      </c>
      <c r="AJ81">
        <f t="shared" si="75"/>
        <v>18000</v>
      </c>
      <c r="AK81">
        <f t="shared" si="76"/>
        <v>3274.3940545007999</v>
      </c>
      <c r="AL81">
        <v>1</v>
      </c>
      <c r="AM81">
        <f t="shared" si="77"/>
        <v>6.0290430209856005</v>
      </c>
      <c r="AN81">
        <f t="shared" si="91"/>
        <v>1010.4982488585019</v>
      </c>
      <c r="AO81">
        <f t="shared" si="92"/>
        <v>-2817.9433604977216</v>
      </c>
      <c r="AQ81">
        <f t="shared" si="78"/>
        <v>4.5248868778280542</v>
      </c>
      <c r="AR81">
        <f t="shared" si="79"/>
        <v>-212.66968325791856</v>
      </c>
      <c r="AT81">
        <f t="shared" si="52"/>
        <v>-378076.89618037501</v>
      </c>
      <c r="AU81">
        <f t="shared" si="53"/>
        <v>-1363638.8128191195</v>
      </c>
      <c r="AV81">
        <f t="shared" si="93"/>
        <v>-1.8412586110686187</v>
      </c>
      <c r="AW81">
        <f t="shared" si="94"/>
        <v>-587024.43023913575</v>
      </c>
      <c r="AX81">
        <f t="shared" si="95"/>
        <v>-238323.07263563681</v>
      </c>
      <c r="AY81">
        <f t="shared" si="103"/>
        <v>-2.7559375248782678</v>
      </c>
      <c r="BA81">
        <f t="shared" si="80"/>
        <v>2.233545858112814</v>
      </c>
      <c r="BB81">
        <f t="shared" si="96"/>
        <v>6.9798974725877905</v>
      </c>
      <c r="BC81">
        <f t="shared" si="97"/>
        <v>0.91467891380964916</v>
      </c>
      <c r="BD81">
        <f t="shared" si="81"/>
        <v>-127.59275856921272</v>
      </c>
      <c r="BF81">
        <f t="shared" si="82"/>
        <v>4.3857004208905543</v>
      </c>
      <c r="BG81">
        <f t="shared" si="83"/>
        <v>-112.1680129530701</v>
      </c>
      <c r="BH81">
        <f t="shared" si="98"/>
        <v>67.831987046929896</v>
      </c>
      <c r="BI81">
        <f t="shared" si="99"/>
        <v>67.831987046929896</v>
      </c>
      <c r="BJ81">
        <f t="shared" si="84"/>
        <v>0</v>
      </c>
      <c r="BK81">
        <f t="shared" si="100"/>
        <v>0</v>
      </c>
      <c r="BM81">
        <f t="shared" si="101"/>
        <v>-2.5941970516972352</v>
      </c>
      <c r="BN81">
        <f t="shared" si="85"/>
        <v>-164.57525438385741</v>
      </c>
      <c r="BQ81" s="56">
        <f t="shared" si="102"/>
        <v>23.881858272872929</v>
      </c>
      <c r="BR81" s="59"/>
      <c r="BS81" s="59"/>
      <c r="BT81" s="59">
        <v>512.86099999999999</v>
      </c>
      <c r="BU81" s="59">
        <v>20.634799999999998</v>
      </c>
      <c r="BV81" s="59">
        <v>-265.04300000000001</v>
      </c>
      <c r="BW81" s="61"/>
      <c r="BY81" s="59"/>
      <c r="BZ81" s="59"/>
      <c r="CA81" s="59"/>
      <c r="CC81" s="59"/>
    </row>
    <row r="82" spans="1:81" x14ac:dyDescent="0.25">
      <c r="A82">
        <f t="shared" si="54"/>
        <v>24000</v>
      </c>
      <c r="B82">
        <f t="shared" si="86"/>
        <v>24</v>
      </c>
      <c r="C82">
        <f t="shared" si="55"/>
        <v>1.0196182737347048</v>
      </c>
      <c r="D82">
        <f t="shared" si="56"/>
        <v>0.19648319201953715</v>
      </c>
      <c r="F82">
        <f t="shared" si="57"/>
        <v>4.6451262793602066E-2</v>
      </c>
      <c r="G82">
        <f t="shared" si="58"/>
        <v>7.4978295276261903E-2</v>
      </c>
      <c r="H82">
        <f t="shared" si="59"/>
        <v>-3.0666143547237383</v>
      </c>
      <c r="J82">
        <f t="shared" si="60"/>
        <v>15</v>
      </c>
      <c r="M82">
        <f t="shared" si="61"/>
        <v>5.3009240365626299E-2</v>
      </c>
      <c r="N82">
        <f t="shared" si="62"/>
        <v>-1.5707963250000001</v>
      </c>
      <c r="O82">
        <f t="shared" si="63"/>
        <v>7.0441696737282236</v>
      </c>
      <c r="P82">
        <f t="shared" si="64"/>
        <v>1.4283537513889326</v>
      </c>
      <c r="Q82">
        <f t="shared" si="65"/>
        <v>6.2379961634050174</v>
      </c>
      <c r="R82">
        <f t="shared" si="66"/>
        <v>1.4097937580947932</v>
      </c>
      <c r="S82">
        <f t="shared" si="67"/>
        <v>0.98317691943113039</v>
      </c>
      <c r="T82">
        <f t="shared" si="68"/>
        <v>-0.18368703094638561</v>
      </c>
      <c r="U82">
        <f t="shared" si="69"/>
        <v>0.98886476643277521</v>
      </c>
      <c r="V82">
        <f t="shared" si="70"/>
        <v>-0.14937175585155085</v>
      </c>
      <c r="X82">
        <f t="shared" si="87"/>
        <v>4.1304292909231091</v>
      </c>
      <c r="Y82">
        <f t="shared" si="71"/>
        <v>-110.91539118011177</v>
      </c>
      <c r="Z82">
        <f t="shared" si="88"/>
        <v>69.084608819888231</v>
      </c>
      <c r="AC82">
        <v>1</v>
      </c>
      <c r="AD82">
        <f t="shared" si="72"/>
        <v>6.9728277185279994</v>
      </c>
      <c r="AE82">
        <f t="shared" si="73"/>
        <v>-1.5772164703375564E-4</v>
      </c>
      <c r="AF82">
        <f t="shared" si="74"/>
        <v>1.0480353080400001E-3</v>
      </c>
      <c r="AG82">
        <f t="shared" si="89"/>
        <v>6365.4767347257875</v>
      </c>
      <c r="AH82">
        <f t="shared" si="90"/>
        <v>-1912.1240089742462</v>
      </c>
      <c r="AJ82">
        <f t="shared" si="75"/>
        <v>18000</v>
      </c>
      <c r="AK82">
        <f t="shared" si="76"/>
        <v>3344.0620131071996</v>
      </c>
      <c r="AL82">
        <v>1</v>
      </c>
      <c r="AM82">
        <f t="shared" si="77"/>
        <v>6.1573205320704005</v>
      </c>
      <c r="AN82">
        <f t="shared" si="91"/>
        <v>991.72158959224021</v>
      </c>
      <c r="AO82">
        <f t="shared" si="92"/>
        <v>-2762.2856925865972</v>
      </c>
      <c r="AQ82">
        <f t="shared" si="78"/>
        <v>4.3383947939262475</v>
      </c>
      <c r="AR82">
        <f t="shared" si="79"/>
        <v>-208.24295010845987</v>
      </c>
      <c r="AT82">
        <f t="shared" si="52"/>
        <v>-370570.3934752192</v>
      </c>
      <c r="AU82">
        <f t="shared" si="53"/>
        <v>-1333861.2029319394</v>
      </c>
      <c r="AV82">
        <f t="shared" si="93"/>
        <v>-1.8417803380161941</v>
      </c>
      <c r="AW82">
        <f t="shared" si="94"/>
        <v>-563258.99105906591</v>
      </c>
      <c r="AX82">
        <f t="shared" si="95"/>
        <v>-228994.13811989961</v>
      </c>
      <c r="AY82">
        <f t="shared" si="103"/>
        <v>-2.7554506879151957</v>
      </c>
      <c r="BA82">
        <f t="shared" si="80"/>
        <v>2.2768330703301474</v>
      </c>
      <c r="BB82">
        <f t="shared" si="96"/>
        <v>7.1466238157106599</v>
      </c>
      <c r="BC82">
        <f t="shared" si="97"/>
        <v>0.91367034989900153</v>
      </c>
      <c r="BD82">
        <f t="shared" si="81"/>
        <v>-127.65054502472806</v>
      </c>
      <c r="BF82">
        <f t="shared" si="82"/>
        <v>4.1771517025453733</v>
      </c>
      <c r="BG82">
        <f t="shared" si="83"/>
        <v>-112.09694748456197</v>
      </c>
      <c r="BH82">
        <f t="shared" si="98"/>
        <v>67.903052515438034</v>
      </c>
      <c r="BI82">
        <f t="shared" si="99"/>
        <v>67.903052515438034</v>
      </c>
      <c r="BJ82">
        <f t="shared" si="84"/>
        <v>0</v>
      </c>
      <c r="BK82">
        <f t="shared" si="100"/>
        <v>0</v>
      </c>
      <c r="BM82">
        <f t="shared" si="101"/>
        <v>-2.9694721131652857</v>
      </c>
      <c r="BN82">
        <f t="shared" si="85"/>
        <v>-164.44640245983391</v>
      </c>
      <c r="BQ82" s="56">
        <f t="shared" si="102"/>
        <v>24.0485846159958</v>
      </c>
      <c r="BR82" s="59"/>
      <c r="BS82" s="59"/>
      <c r="BT82" s="59">
        <v>524.80700000000002</v>
      </c>
      <c r="BU82" s="59">
        <v>20.243600000000001</v>
      </c>
      <c r="BV82" s="59">
        <v>-263.95569999999998</v>
      </c>
      <c r="BW82" s="61"/>
      <c r="BY82" s="59"/>
      <c r="BZ82" s="59"/>
      <c r="CA82" s="59"/>
      <c r="CC82" s="59"/>
    </row>
    <row r="83" spans="1:81" x14ac:dyDescent="0.25">
      <c r="A83">
        <f t="shared" si="54"/>
        <v>24500</v>
      </c>
      <c r="B83">
        <f t="shared" si="86"/>
        <v>24.5</v>
      </c>
      <c r="C83">
        <f t="shared" si="55"/>
        <v>1.0204359429207928</v>
      </c>
      <c r="D83">
        <f t="shared" si="56"/>
        <v>0.20046886438495914</v>
      </c>
      <c r="F83">
        <f t="shared" si="57"/>
        <v>4.4495916023809402E-2</v>
      </c>
      <c r="G83">
        <f t="shared" si="58"/>
        <v>7.3315394484264551E-2</v>
      </c>
      <c r="H83">
        <f t="shared" si="59"/>
        <v>-3.0682772555157358</v>
      </c>
      <c r="J83">
        <f t="shared" si="60"/>
        <v>15</v>
      </c>
      <c r="M83">
        <f t="shared" si="61"/>
        <v>5.1927419133674733E-2</v>
      </c>
      <c r="N83">
        <f t="shared" si="62"/>
        <v>-1.5707963250000001</v>
      </c>
      <c r="O83">
        <f t="shared" si="63"/>
        <v>7.1879952627629491</v>
      </c>
      <c r="P83">
        <f t="shared" si="64"/>
        <v>1.4312227524103558</v>
      </c>
      <c r="Q83">
        <f t="shared" si="65"/>
        <v>6.3646478897199401</v>
      </c>
      <c r="R83">
        <f t="shared" si="66"/>
        <v>1.4130247196835111</v>
      </c>
      <c r="S83">
        <f t="shared" si="67"/>
        <v>0.98248715514244711</v>
      </c>
      <c r="T83">
        <f t="shared" si="68"/>
        <v>-0.18742572689781348</v>
      </c>
      <c r="U83">
        <f t="shared" si="69"/>
        <v>0.98840408873736596</v>
      </c>
      <c r="V83">
        <f t="shared" si="70"/>
        <v>-0.15243616159884413</v>
      </c>
      <c r="X83">
        <f t="shared" si="87"/>
        <v>3.9247495076604002</v>
      </c>
      <c r="Y83">
        <f t="shared" si="71"/>
        <v>-110.8225930742619</v>
      </c>
      <c r="Z83">
        <f t="shared" si="88"/>
        <v>69.177406925738097</v>
      </c>
      <c r="AC83">
        <v>1</v>
      </c>
      <c r="AD83">
        <f t="shared" si="72"/>
        <v>7.1180949626639993</v>
      </c>
      <c r="AE83">
        <f t="shared" si="73"/>
        <v>-1.6436183790279825E-4</v>
      </c>
      <c r="AF83">
        <f t="shared" si="74"/>
        <v>1.0698693769574999E-3</v>
      </c>
      <c r="AG83">
        <f t="shared" si="89"/>
        <v>6359.5472078732691</v>
      </c>
      <c r="AH83">
        <f t="shared" si="90"/>
        <v>-1911.6977374677272</v>
      </c>
      <c r="AJ83">
        <f t="shared" si="75"/>
        <v>18000</v>
      </c>
      <c r="AK83">
        <f t="shared" si="76"/>
        <v>3413.7299717135998</v>
      </c>
      <c r="AL83">
        <v>1</v>
      </c>
      <c r="AM83">
        <f t="shared" si="77"/>
        <v>6.2855980431551997</v>
      </c>
      <c r="AN83">
        <f t="shared" si="91"/>
        <v>974.04490343530483</v>
      </c>
      <c r="AO83">
        <f t="shared" si="92"/>
        <v>-2708.7247672646481</v>
      </c>
      <c r="AQ83">
        <f t="shared" si="78"/>
        <v>4.1631973355537051</v>
      </c>
      <c r="AR83">
        <f t="shared" si="79"/>
        <v>-203.99666944213155</v>
      </c>
      <c r="AT83">
        <f t="shared" si="52"/>
        <v>-363503.9214323287</v>
      </c>
      <c r="AU83">
        <f t="shared" si="53"/>
        <v>-1305285.2244931636</v>
      </c>
      <c r="AV83">
        <f t="shared" si="93"/>
        <v>-1.8424007320917433</v>
      </c>
      <c r="AW83">
        <f t="shared" si="94"/>
        <v>-540878.64265710756</v>
      </c>
      <c r="AX83">
        <f t="shared" si="95"/>
        <v>-220299.28558027299</v>
      </c>
      <c r="AY83">
        <f t="shared" si="103"/>
        <v>-2.7548099855512893</v>
      </c>
      <c r="BA83">
        <f t="shared" si="80"/>
        <v>2.3200427472382619</v>
      </c>
      <c r="BB83">
        <f t="shared" si="96"/>
        <v>7.3099197384961121</v>
      </c>
      <c r="BC83">
        <f t="shared" si="97"/>
        <v>0.91240925345954604</v>
      </c>
      <c r="BD83">
        <f t="shared" si="81"/>
        <v>-127.7228005283504</v>
      </c>
      <c r="BF83">
        <f t="shared" si="82"/>
        <v>3.9738629054658547</v>
      </c>
      <c r="BG83">
        <f t="shared" si="83"/>
        <v>-112.03611798010206</v>
      </c>
      <c r="BH83">
        <f t="shared" si="98"/>
        <v>67.963882019897937</v>
      </c>
      <c r="BI83">
        <f t="shared" si="99"/>
        <v>67.963882019897937</v>
      </c>
      <c r="BJ83">
        <f t="shared" si="84"/>
        <v>0</v>
      </c>
      <c r="BK83">
        <f t="shared" si="100"/>
        <v>0</v>
      </c>
      <c r="BM83">
        <f t="shared" si="101"/>
        <v>-3.3360568330302582</v>
      </c>
      <c r="BN83">
        <f t="shared" si="85"/>
        <v>-164.31331745175169</v>
      </c>
      <c r="BQ83" s="56">
        <f t="shared" si="102"/>
        <v>24.211880538781251</v>
      </c>
      <c r="BR83" s="59"/>
      <c r="BS83" s="59"/>
      <c r="BT83" s="59">
        <v>537.03200000000004</v>
      </c>
      <c r="BU83" s="59">
        <v>20.2926</v>
      </c>
      <c r="BV83" s="59">
        <v>-264.56819999999999</v>
      </c>
      <c r="BW83" s="61"/>
      <c r="BY83" s="59"/>
      <c r="BZ83" s="59"/>
      <c r="CA83" s="59"/>
      <c r="CC83" s="59"/>
    </row>
    <row r="84" spans="1:81" x14ac:dyDescent="0.25">
      <c r="A84">
        <f t="shared" si="54"/>
        <v>25000</v>
      </c>
      <c r="B84">
        <f t="shared" si="86"/>
        <v>25</v>
      </c>
      <c r="C84">
        <f t="shared" si="55"/>
        <v>1.0212697962208097</v>
      </c>
      <c r="D84">
        <f t="shared" si="56"/>
        <v>0.20444809137979539</v>
      </c>
      <c r="F84">
        <f t="shared" si="57"/>
        <v>4.2662989131968018E-2</v>
      </c>
      <c r="G84">
        <f t="shared" si="58"/>
        <v>7.1727145630360034E-2</v>
      </c>
      <c r="H84">
        <f t="shared" si="59"/>
        <v>-3.0698655043696403</v>
      </c>
      <c r="J84">
        <f t="shared" si="60"/>
        <v>15</v>
      </c>
      <c r="M84">
        <f t="shared" si="61"/>
        <v>5.0888870751001236E-2</v>
      </c>
      <c r="N84">
        <f t="shared" si="62"/>
        <v>-1.5707963250000001</v>
      </c>
      <c r="O84">
        <f t="shared" si="63"/>
        <v>7.3318776958682657</v>
      </c>
      <c r="P84">
        <f t="shared" si="64"/>
        <v>1.4339791715289105</v>
      </c>
      <c r="Q84">
        <f t="shared" si="65"/>
        <v>6.4913634642713909</v>
      </c>
      <c r="R84">
        <f t="shared" si="66"/>
        <v>1.4161295717568085</v>
      </c>
      <c r="S84">
        <f t="shared" si="67"/>
        <v>0.98178466373148876</v>
      </c>
      <c r="T84">
        <f t="shared" si="68"/>
        <v>-0.19115912853766223</v>
      </c>
      <c r="U84">
        <f t="shared" si="69"/>
        <v>0.98793457579480626</v>
      </c>
      <c r="V84">
        <f t="shared" si="70"/>
        <v>-0.15549768475739134</v>
      </c>
      <c r="X84">
        <f t="shared" si="87"/>
        <v>3.7240281776226549</v>
      </c>
      <c r="Y84">
        <f t="shared" si="71"/>
        <v>-110.73909452896518</v>
      </c>
      <c r="Z84">
        <f t="shared" si="88"/>
        <v>69.260905471034818</v>
      </c>
      <c r="AC84">
        <v>1</v>
      </c>
      <c r="AD84">
        <f t="shared" si="72"/>
        <v>7.2633622068000001</v>
      </c>
      <c r="AE84">
        <f t="shared" si="73"/>
        <v>-1.7113893992377996E-4</v>
      </c>
      <c r="AF84">
        <f t="shared" si="74"/>
        <v>1.091703445875E-3</v>
      </c>
      <c r="AG84">
        <f t="shared" si="89"/>
        <v>6353.5068027871266</v>
      </c>
      <c r="AH84">
        <f t="shared" si="90"/>
        <v>-1911.9958143527863</v>
      </c>
      <c r="AJ84">
        <f t="shared" si="75"/>
        <v>18000</v>
      </c>
      <c r="AK84">
        <f t="shared" si="76"/>
        <v>3483.3979303199999</v>
      </c>
      <c r="AL84">
        <v>1</v>
      </c>
      <c r="AM84">
        <f t="shared" si="77"/>
        <v>6.4138755542399997</v>
      </c>
      <c r="AN84">
        <f t="shared" si="91"/>
        <v>957.38460929909138</v>
      </c>
      <c r="AO84">
        <f t="shared" si="92"/>
        <v>-2657.1478112690547</v>
      </c>
      <c r="AQ84">
        <f t="shared" si="78"/>
        <v>3.9984006397441023</v>
      </c>
      <c r="AR84">
        <f t="shared" si="79"/>
        <v>-199.92003198720511</v>
      </c>
      <c r="AT84">
        <f t="shared" si="52"/>
        <v>-356842.39869992877</v>
      </c>
      <c r="AU84">
        <f t="shared" si="53"/>
        <v>-1277838.2085314239</v>
      </c>
      <c r="AV84">
        <f t="shared" si="93"/>
        <v>-1.8431138328451233</v>
      </c>
      <c r="AW84">
        <f t="shared" si="94"/>
        <v>-519778.88061199913</v>
      </c>
      <c r="AX84">
        <f t="shared" si="95"/>
        <v>-212181.67357566039</v>
      </c>
      <c r="AY84">
        <f t="shared" si="103"/>
        <v>-2.7540242746616475</v>
      </c>
      <c r="BA84">
        <f t="shared" si="80"/>
        <v>2.3631694543649759</v>
      </c>
      <c r="BB84">
        <f t="shared" si="96"/>
        <v>7.4698972888220103</v>
      </c>
      <c r="BC84">
        <f t="shared" si="97"/>
        <v>0.91091044181652414</v>
      </c>
      <c r="BD84">
        <f t="shared" si="81"/>
        <v>-127.80867610987875</v>
      </c>
      <c r="BF84">
        <f t="shared" si="82"/>
        <v>3.775557839233322</v>
      </c>
      <c r="BG84">
        <f t="shared" si="83"/>
        <v>-111.98500060509045</v>
      </c>
      <c r="BH84">
        <f t="shared" si="98"/>
        <v>68.014999394909552</v>
      </c>
      <c r="BI84">
        <f t="shared" si="99"/>
        <v>68.014999394909552</v>
      </c>
      <c r="BJ84">
        <f t="shared" si="84"/>
        <v>0</v>
      </c>
      <c r="BK84">
        <f t="shared" si="100"/>
        <v>0</v>
      </c>
      <c r="BM84">
        <f t="shared" si="101"/>
        <v>-3.6943394495886874</v>
      </c>
      <c r="BN84">
        <f t="shared" si="85"/>
        <v>-164.1763244952117</v>
      </c>
      <c r="BQ84" s="56">
        <f t="shared" si="102"/>
        <v>24.37185808910715</v>
      </c>
      <c r="BR84" s="59"/>
      <c r="BS84" s="59"/>
      <c r="BT84" s="59">
        <v>549.54100000000005</v>
      </c>
      <c r="BU84" s="59">
        <v>19.992000000000001</v>
      </c>
      <c r="BV84" s="59">
        <v>-264.47620000000001</v>
      </c>
      <c r="BW84" s="61"/>
      <c r="BY84" s="59"/>
      <c r="BZ84" s="59"/>
      <c r="CA84" s="59"/>
      <c r="CC84" s="59"/>
    </row>
    <row r="85" spans="1:81" x14ac:dyDescent="0.25">
      <c r="A85">
        <f t="shared" si="54"/>
        <v>25500</v>
      </c>
      <c r="B85">
        <f t="shared" si="86"/>
        <v>25.5</v>
      </c>
      <c r="C85">
        <f t="shared" si="55"/>
        <v>1.022119794025377</v>
      </c>
      <c r="D85">
        <f t="shared" si="56"/>
        <v>0.20842076291891298</v>
      </c>
      <c r="F85">
        <f t="shared" si="57"/>
        <v>4.0942358122701084E-2</v>
      </c>
      <c r="G85">
        <f t="shared" si="58"/>
        <v>7.0208498505504868E-2</v>
      </c>
      <c r="H85">
        <f t="shared" si="59"/>
        <v>-3.0713841514944953</v>
      </c>
      <c r="J85">
        <f t="shared" si="60"/>
        <v>15</v>
      </c>
      <c r="M85">
        <f t="shared" si="61"/>
        <v>4.9891049755883564E-2</v>
      </c>
      <c r="N85">
        <f t="shared" si="62"/>
        <v>-1.5707963250000001</v>
      </c>
      <c r="O85">
        <f t="shared" si="63"/>
        <v>7.475813690915273</v>
      </c>
      <c r="P85">
        <f t="shared" si="64"/>
        <v>1.4366294684050529</v>
      </c>
      <c r="Q85">
        <f t="shared" si="65"/>
        <v>6.6181392196098958</v>
      </c>
      <c r="R85">
        <f t="shared" si="66"/>
        <v>1.4191154998484994</v>
      </c>
      <c r="S85">
        <f t="shared" si="67"/>
        <v>0.98106953116273377</v>
      </c>
      <c r="T85">
        <f t="shared" si="68"/>
        <v>-0.19488714325290896</v>
      </c>
      <c r="U85">
        <f t="shared" si="69"/>
        <v>0.98745626657461949</v>
      </c>
      <c r="V85">
        <f t="shared" si="70"/>
        <v>-0.15855627208373438</v>
      </c>
      <c r="X85">
        <f t="shared" si="87"/>
        <v>3.5280115858719818</v>
      </c>
      <c r="Y85">
        <f t="shared" si="71"/>
        <v>-110.66440103829537</v>
      </c>
      <c r="Z85">
        <f t="shared" si="88"/>
        <v>69.335598961704633</v>
      </c>
      <c r="AC85">
        <v>1</v>
      </c>
      <c r="AD85">
        <f t="shared" si="72"/>
        <v>7.408629450936</v>
      </c>
      <c r="AE85">
        <f t="shared" si="73"/>
        <v>-1.7805295309670071E-4</v>
      </c>
      <c r="AF85">
        <f t="shared" si="74"/>
        <v>1.1135375147925E-3</v>
      </c>
      <c r="AG85">
        <f t="shared" si="89"/>
        <v>6347.3561824807894</v>
      </c>
      <c r="AH85">
        <f t="shared" si="90"/>
        <v>-1912.9714844355708</v>
      </c>
      <c r="AJ85">
        <f t="shared" si="75"/>
        <v>18000</v>
      </c>
      <c r="AK85">
        <f t="shared" si="76"/>
        <v>3553.0658889264</v>
      </c>
      <c r="AL85">
        <v>1</v>
      </c>
      <c r="AM85">
        <f t="shared" si="77"/>
        <v>6.5421530653247997</v>
      </c>
      <c r="AN85">
        <f t="shared" si="91"/>
        <v>941.66485293539938</v>
      </c>
      <c r="AO85">
        <f t="shared" si="92"/>
        <v>-2607.4497152135496</v>
      </c>
      <c r="AQ85">
        <f t="shared" si="78"/>
        <v>3.8431975403535743</v>
      </c>
      <c r="AR85">
        <f t="shared" si="79"/>
        <v>-196.0030745580323</v>
      </c>
      <c r="AT85">
        <f t="shared" si="52"/>
        <v>-350554.14882295666</v>
      </c>
      <c r="AU85">
        <f t="shared" si="53"/>
        <v>-1251453.2543849188</v>
      </c>
      <c r="AV85">
        <f t="shared" si="93"/>
        <v>-1.8439141264112697</v>
      </c>
      <c r="AW85">
        <f t="shared" si="94"/>
        <v>-499864.77803045086</v>
      </c>
      <c r="AX85">
        <f t="shared" si="95"/>
        <v>-204590.62033757177</v>
      </c>
      <c r="AY85">
        <f t="shared" si="103"/>
        <v>-2.753101744541389</v>
      </c>
      <c r="BA85">
        <f t="shared" si="80"/>
        <v>2.4062079736084385</v>
      </c>
      <c r="BB85">
        <f t="shared" si="96"/>
        <v>7.626663232205054</v>
      </c>
      <c r="BC85">
        <f t="shared" si="97"/>
        <v>0.90918761813011928</v>
      </c>
      <c r="BD85">
        <f t="shared" si="81"/>
        <v>-127.90738663606771</v>
      </c>
      <c r="BF85">
        <f t="shared" si="82"/>
        <v>3.5819814435380155</v>
      </c>
      <c r="BG85">
        <f t="shared" si="83"/>
        <v>-111.94310588935942</v>
      </c>
      <c r="BH85">
        <f t="shared" si="98"/>
        <v>68.056894110640584</v>
      </c>
      <c r="BI85">
        <f t="shared" si="99"/>
        <v>68.056894110640584</v>
      </c>
      <c r="BJ85">
        <f t="shared" si="84"/>
        <v>0</v>
      </c>
      <c r="BK85">
        <f t="shared" si="100"/>
        <v>0</v>
      </c>
      <c r="BM85">
        <f t="shared" si="101"/>
        <v>-4.044681788667039</v>
      </c>
      <c r="BN85">
        <f t="shared" si="85"/>
        <v>-164.03571925329172</v>
      </c>
      <c r="BQ85" s="56">
        <f t="shared" si="102"/>
        <v>24.528624032490193</v>
      </c>
      <c r="BR85" s="59"/>
      <c r="BS85" s="59"/>
      <c r="BT85" s="59">
        <v>562.34100000000001</v>
      </c>
      <c r="BU85" s="59">
        <v>19.682300000000001</v>
      </c>
      <c r="BV85" s="59">
        <v>-264.60399999999998</v>
      </c>
      <c r="BW85" s="61"/>
      <c r="BY85" s="59"/>
      <c r="BZ85" s="59"/>
      <c r="CA85" s="59"/>
      <c r="CC85" s="59"/>
    </row>
    <row r="86" spans="1:81" x14ac:dyDescent="0.25">
      <c r="A86">
        <f t="shared" si="54"/>
        <v>26000</v>
      </c>
      <c r="B86">
        <f t="shared" si="86"/>
        <v>26</v>
      </c>
      <c r="C86">
        <f t="shared" si="55"/>
        <v>1.0229858960911447</v>
      </c>
      <c r="D86">
        <f t="shared" si="56"/>
        <v>0.21238677010721776</v>
      </c>
      <c r="F86">
        <f t="shared" si="57"/>
        <v>3.9324934865924706E-2</v>
      </c>
      <c r="G86">
        <f t="shared" si="58"/>
        <v>6.8754857424496746E-2</v>
      </c>
      <c r="H86">
        <f t="shared" si="59"/>
        <v>-3.0728377925755033</v>
      </c>
      <c r="J86">
        <f t="shared" si="60"/>
        <v>15</v>
      </c>
      <c r="M86">
        <f t="shared" si="61"/>
        <v>4.8931606491347347E-2</v>
      </c>
      <c r="N86">
        <f t="shared" si="62"/>
        <v>-1.5707963250000001</v>
      </c>
      <c r="O86">
        <f t="shared" si="63"/>
        <v>7.6198002125921702</v>
      </c>
      <c r="P86">
        <f t="shared" si="64"/>
        <v>1.4391796206826477</v>
      </c>
      <c r="Q86">
        <f t="shared" si="65"/>
        <v>6.7449717623352674</v>
      </c>
      <c r="R86">
        <f t="shared" si="66"/>
        <v>1.421989157897656</v>
      </c>
      <c r="S86">
        <f t="shared" si="67"/>
        <v>0.98034184460589968</v>
      </c>
      <c r="T86">
        <f t="shared" si="68"/>
        <v>-0.19860967929651394</v>
      </c>
      <c r="U86">
        <f t="shared" si="69"/>
        <v>0.98696920067393012</v>
      </c>
      <c r="V86">
        <f t="shared" si="70"/>
        <v>-0.16161187065619007</v>
      </c>
      <c r="X86">
        <f t="shared" si="87"/>
        <v>3.3364650522472261</v>
      </c>
      <c r="Y86">
        <f t="shared" si="71"/>
        <v>-110.59805012954921</v>
      </c>
      <c r="Z86">
        <f t="shared" si="88"/>
        <v>69.401949870450792</v>
      </c>
      <c r="AC86">
        <v>1</v>
      </c>
      <c r="AD86">
        <f t="shared" si="72"/>
        <v>7.5538966950720008</v>
      </c>
      <c r="AE86">
        <f t="shared" si="73"/>
        <v>-1.8510387742156045E-4</v>
      </c>
      <c r="AF86">
        <f t="shared" si="74"/>
        <v>1.1353715837099999E-3</v>
      </c>
      <c r="AG86">
        <f t="shared" si="89"/>
        <v>6341.0960200924646</v>
      </c>
      <c r="AH86">
        <f t="shared" si="90"/>
        <v>-1914.5815269732605</v>
      </c>
      <c r="AJ86">
        <f t="shared" si="75"/>
        <v>18000</v>
      </c>
      <c r="AK86">
        <f t="shared" si="76"/>
        <v>3622.7338475327997</v>
      </c>
      <c r="AL86">
        <v>1</v>
      </c>
      <c r="AM86">
        <f t="shared" si="77"/>
        <v>6.6704305764095997</v>
      </c>
      <c r="AN86">
        <f t="shared" si="91"/>
        <v>926.81667225582601</v>
      </c>
      <c r="AO86">
        <f t="shared" si="92"/>
        <v>-2559.5324218086562</v>
      </c>
      <c r="AQ86">
        <f t="shared" si="78"/>
        <v>3.6968576709796674</v>
      </c>
      <c r="AR86">
        <f t="shared" si="79"/>
        <v>-192.2365988909427</v>
      </c>
      <c r="AT86">
        <f t="shared" ref="AT86:AT149" si="104">-AR86*AH86+AG86*AQ86</f>
        <v>-344610.51158046979</v>
      </c>
      <c r="AU86">
        <f t="shared" ref="AU86:AU149" si="105">AQ86*AH86+AG86*AR86</f>
        <v>-1226068.6675481752</v>
      </c>
      <c r="AV86">
        <f t="shared" si="93"/>
        <v>-1.8447965044636283</v>
      </c>
      <c r="AW86">
        <f t="shared" si="94"/>
        <v>-481049.96188594657</v>
      </c>
      <c r="AX86">
        <f t="shared" si="95"/>
        <v>-197480.83142878735</v>
      </c>
      <c r="AY86">
        <f t="shared" si="103"/>
        <v>-2.7520499787254979</v>
      </c>
      <c r="BA86">
        <f t="shared" si="80"/>
        <v>2.449153282716606</v>
      </c>
      <c r="BB86">
        <f t="shared" si="96"/>
        <v>7.7803193346280475</v>
      </c>
      <c r="BC86">
        <f t="shared" si="97"/>
        <v>0.90725347426186964</v>
      </c>
      <c r="BD86">
        <f t="shared" si="81"/>
        <v>-128.01820491681616</v>
      </c>
      <c r="BF86">
        <f t="shared" si="82"/>
        <v>3.3928976778687465</v>
      </c>
      <c r="BG86">
        <f t="shared" si="83"/>
        <v>-111.90997619540356</v>
      </c>
      <c r="BH86">
        <f t="shared" si="98"/>
        <v>68.090023804596441</v>
      </c>
      <c r="BI86">
        <f t="shared" si="99"/>
        <v>68.090023804596441</v>
      </c>
      <c r="BJ86">
        <f t="shared" si="84"/>
        <v>0</v>
      </c>
      <c r="BK86">
        <f t="shared" si="100"/>
        <v>0</v>
      </c>
      <c r="BM86">
        <f t="shared" si="101"/>
        <v>-4.3874216567593001</v>
      </c>
      <c r="BN86">
        <f t="shared" si="85"/>
        <v>-163.89177127858741</v>
      </c>
      <c r="BQ86" s="56">
        <f t="shared" si="102"/>
        <v>24.682280134913185</v>
      </c>
      <c r="BR86" s="59"/>
      <c r="BS86" s="59"/>
      <c r="BT86" s="59">
        <v>575.44000000000005</v>
      </c>
      <c r="BU86" s="59">
        <v>19.596</v>
      </c>
      <c r="BV86" s="59">
        <v>-264.9076</v>
      </c>
      <c r="BW86" s="61"/>
      <c r="BY86" s="59"/>
      <c r="BZ86" s="59"/>
      <c r="CA86" s="59"/>
      <c r="CC86" s="59"/>
    </row>
    <row r="87" spans="1:81" x14ac:dyDescent="0.25">
      <c r="A87">
        <f t="shared" si="54"/>
        <v>26500</v>
      </c>
      <c r="B87">
        <f t="shared" si="86"/>
        <v>26.5</v>
      </c>
      <c r="C87">
        <f t="shared" si="55"/>
        <v>1.0238680615497604</v>
      </c>
      <c r="D87">
        <f t="shared" si="56"/>
        <v>0.21634600525321562</v>
      </c>
      <c r="F87">
        <f t="shared" si="57"/>
        <v>3.7802541322139505E-2</v>
      </c>
      <c r="G87">
        <f t="shared" si="58"/>
        <v>6.7362030487542912E-2</v>
      </c>
      <c r="H87">
        <f t="shared" si="59"/>
        <v>-3.0742306195124574</v>
      </c>
      <c r="J87">
        <f t="shared" si="60"/>
        <v>15</v>
      </c>
      <c r="M87">
        <f t="shared" si="61"/>
        <v>4.8008368633020035E-2</v>
      </c>
      <c r="N87">
        <f t="shared" si="62"/>
        <v>-1.5707963250000001</v>
      </c>
      <c r="O87">
        <f t="shared" si="63"/>
        <v>7.7638344497291314</v>
      </c>
      <c r="P87">
        <f t="shared" si="64"/>
        <v>1.4416351678648416</v>
      </c>
      <c r="Q87">
        <f t="shared" si="65"/>
        <v>6.8718579481070305</v>
      </c>
      <c r="R87">
        <f t="shared" si="66"/>
        <v>1.4247567161454127</v>
      </c>
      <c r="S87">
        <f t="shared" si="67"/>
        <v>0.97960169240800965</v>
      </c>
      <c r="T87">
        <f t="shared" si="68"/>
        <v>-0.2023266457982264</v>
      </c>
      <c r="U87">
        <f t="shared" si="69"/>
        <v>0.98647341830867241</v>
      </c>
      <c r="V87">
        <f t="shared" si="70"/>
        <v>-0.16466442787968408</v>
      </c>
      <c r="X87">
        <f t="shared" si="87"/>
        <v>3.1491710755299218</v>
      </c>
      <c r="Y87">
        <f t="shared" si="71"/>
        <v>-110.53960901227649</v>
      </c>
      <c r="Z87">
        <f t="shared" si="88"/>
        <v>69.460390987723514</v>
      </c>
      <c r="AC87">
        <v>1</v>
      </c>
      <c r="AD87">
        <f t="shared" si="72"/>
        <v>7.6991639392080007</v>
      </c>
      <c r="AE87">
        <f t="shared" si="73"/>
        <v>-1.9229171289835922E-4</v>
      </c>
      <c r="AF87">
        <f t="shared" si="74"/>
        <v>1.1572056526274999E-3</v>
      </c>
      <c r="AG87">
        <f t="shared" si="89"/>
        <v>6334.7269987074424</v>
      </c>
      <c r="AH87">
        <f t="shared" si="90"/>
        <v>-1916.7859233046272</v>
      </c>
      <c r="AJ87">
        <f t="shared" si="75"/>
        <v>18000</v>
      </c>
      <c r="AK87">
        <f t="shared" si="76"/>
        <v>3692.4018061392003</v>
      </c>
      <c r="AL87">
        <v>1</v>
      </c>
      <c r="AM87">
        <f t="shared" si="77"/>
        <v>6.7987080874943997</v>
      </c>
      <c r="AN87">
        <f t="shared" si="91"/>
        <v>912.77726511352614</v>
      </c>
      <c r="AO87">
        <f t="shared" si="92"/>
        <v>-2513.30436826915</v>
      </c>
      <c r="AQ87">
        <f t="shared" si="78"/>
        <v>3.5587188612099645</v>
      </c>
      <c r="AR87">
        <f t="shared" si="79"/>
        <v>-188.61209964412811</v>
      </c>
      <c r="AT87">
        <f t="shared" si="104"/>
        <v>-338985.50511187827</v>
      </c>
      <c r="AU87">
        <f t="shared" si="105"/>
        <v>-1201627.4621167227</v>
      </c>
      <c r="AV87">
        <f t="shared" si="93"/>
        <v>-1.8457562275829649</v>
      </c>
      <c r="AW87">
        <f t="shared" si="94"/>
        <v>-463255.71340591402</v>
      </c>
      <c r="AX87">
        <f t="shared" si="95"/>
        <v>-190811.7364936916</v>
      </c>
      <c r="AY87">
        <f t="shared" si="103"/>
        <v>-2.7508760101376968</v>
      </c>
      <c r="BA87">
        <f t="shared" si="80"/>
        <v>2.4920005371479244</v>
      </c>
      <c r="BB87">
        <f t="shared" si="96"/>
        <v>7.9309626319766231</v>
      </c>
      <c r="BC87">
        <f t="shared" si="97"/>
        <v>0.90511978255473191</v>
      </c>
      <c r="BD87">
        <f t="shared" si="81"/>
        <v>-128.1404564465569</v>
      </c>
      <c r="BF87">
        <f t="shared" si="82"/>
        <v>3.2080876663466924</v>
      </c>
      <c r="BG87">
        <f t="shared" si="83"/>
        <v>-111.88518336609035</v>
      </c>
      <c r="BH87">
        <f t="shared" si="98"/>
        <v>68.114816633909655</v>
      </c>
      <c r="BI87">
        <f t="shared" si="99"/>
        <v>68.114816633909655</v>
      </c>
      <c r="BJ87">
        <f t="shared" si="84"/>
        <v>0</v>
      </c>
      <c r="BK87">
        <f t="shared" si="100"/>
        <v>0</v>
      </c>
      <c r="BM87">
        <f t="shared" si="101"/>
        <v>-4.7228749656299307</v>
      </c>
      <c r="BN87">
        <f t="shared" si="85"/>
        <v>-163.74472691953346</v>
      </c>
      <c r="BQ87" s="56">
        <f t="shared" si="102"/>
        <v>24.832923432261758</v>
      </c>
      <c r="BR87" s="59"/>
      <c r="BS87" s="59"/>
      <c r="BT87" s="59">
        <v>588.84400000000005</v>
      </c>
      <c r="BU87" s="59">
        <v>19.373200000000001</v>
      </c>
      <c r="BV87" s="59">
        <v>-263.88170000000002</v>
      </c>
      <c r="BW87" s="61"/>
      <c r="BY87" s="59"/>
      <c r="BZ87" s="59"/>
      <c r="CA87" s="59"/>
      <c r="CC87" s="59"/>
    </row>
    <row r="88" spans="1:81" x14ac:dyDescent="0.25">
      <c r="A88">
        <f t="shared" si="54"/>
        <v>27000</v>
      </c>
      <c r="B88">
        <f t="shared" si="86"/>
        <v>27</v>
      </c>
      <c r="C88">
        <f t="shared" si="55"/>
        <v>1.0247662489169245</v>
      </c>
      <c r="D88">
        <f t="shared" si="56"/>
        <v>0.2202983618820655</v>
      </c>
      <c r="F88">
        <f t="shared" si="57"/>
        <v>3.6367801372403641E-2</v>
      </c>
      <c r="G88">
        <f t="shared" si="58"/>
        <v>6.6026185557831504E-2</v>
      </c>
      <c r="H88">
        <f t="shared" si="59"/>
        <v>-3.0755664644421685</v>
      </c>
      <c r="J88">
        <f t="shared" si="60"/>
        <v>15</v>
      </c>
      <c r="M88">
        <f t="shared" si="61"/>
        <v>4.7119324769445595E-2</v>
      </c>
      <c r="N88">
        <f t="shared" si="62"/>
        <v>-1.5707963250000001</v>
      </c>
      <c r="O88">
        <f t="shared" si="63"/>
        <v>7.9079137950675547</v>
      </c>
      <c r="P88">
        <f t="shared" si="64"/>
        <v>1.4440012505107329</v>
      </c>
      <c r="Q88">
        <f t="shared" si="65"/>
        <v>6.9987948593256855</v>
      </c>
      <c r="R88">
        <f t="shared" si="66"/>
        <v>1.4274239039841516</v>
      </c>
      <c r="S88">
        <f t="shared" si="67"/>
        <v>0.97884916406525802</v>
      </c>
      <c r="T88">
        <f t="shared" si="68"/>
        <v>-0.20603795277505899</v>
      </c>
      <c r="U88">
        <f t="shared" si="69"/>
        <v>0.98596896030469816</v>
      </c>
      <c r="V88">
        <f t="shared" si="70"/>
        <v>-0.16771389149049848</v>
      </c>
      <c r="X88">
        <f t="shared" si="87"/>
        <v>2.9659276969461397</v>
      </c>
      <c r="Y88">
        <f t="shared" si="71"/>
        <v>-110.48867239982231</v>
      </c>
      <c r="Z88">
        <f t="shared" si="88"/>
        <v>69.511327600177694</v>
      </c>
      <c r="AC88">
        <v>1</v>
      </c>
      <c r="AD88">
        <f t="shared" si="72"/>
        <v>7.8444311833440006</v>
      </c>
      <c r="AE88">
        <f t="shared" si="73"/>
        <v>-1.9961645952709694E-4</v>
      </c>
      <c r="AF88">
        <f t="shared" si="74"/>
        <v>1.179039721545E-3</v>
      </c>
      <c r="AG88">
        <f t="shared" si="89"/>
        <v>6328.2498111786026</v>
      </c>
      <c r="AH88">
        <f t="shared" si="90"/>
        <v>-1919.5475614212482</v>
      </c>
      <c r="AJ88">
        <f t="shared" si="75"/>
        <v>18000</v>
      </c>
      <c r="AK88">
        <f t="shared" si="76"/>
        <v>3762.0697647456</v>
      </c>
      <c r="AL88">
        <v>1</v>
      </c>
      <c r="AM88">
        <f t="shared" si="77"/>
        <v>6.9269855985791997</v>
      </c>
      <c r="AN88">
        <f t="shared" si="91"/>
        <v>899.48934554300001</v>
      </c>
      <c r="AO88">
        <f t="shared" si="92"/>
        <v>-2468.6799779061903</v>
      </c>
      <c r="AQ88">
        <f t="shared" si="78"/>
        <v>3.4281796366129584</v>
      </c>
      <c r="AR88">
        <f t="shared" si="79"/>
        <v>-185.12170037709976</v>
      </c>
      <c r="AT88">
        <f t="shared" si="104"/>
        <v>-333655.53138693451</v>
      </c>
      <c r="AU88">
        <f t="shared" si="105"/>
        <v>-1178076.9193180175</v>
      </c>
      <c r="AV88">
        <f t="shared" si="93"/>
        <v>-1.8467888925015497</v>
      </c>
      <c r="AW88">
        <f t="shared" si="94"/>
        <v>-446410.17581624148</v>
      </c>
      <c r="AX88">
        <f t="shared" si="95"/>
        <v>-184546.91805845776</v>
      </c>
      <c r="AY88">
        <f t="shared" si="103"/>
        <v>-2.7495863703877803</v>
      </c>
      <c r="BA88">
        <f t="shared" si="80"/>
        <v>2.5347450540071836</v>
      </c>
      <c r="BB88">
        <f t="shared" si="96"/>
        <v>8.0786856859638441</v>
      </c>
      <c r="BC88">
        <f t="shared" si="97"/>
        <v>0.90279747788623066</v>
      </c>
      <c r="BD88">
        <f t="shared" si="81"/>
        <v>-128.27351470295758</v>
      </c>
      <c r="BF88">
        <f t="shared" si="82"/>
        <v>3.0273480619018525</v>
      </c>
      <c r="BG88">
        <f t="shared" si="83"/>
        <v>-111.86832654491251</v>
      </c>
      <c r="BH88">
        <f t="shared" si="98"/>
        <v>68.131673455087494</v>
      </c>
      <c r="BI88">
        <f t="shared" si="99"/>
        <v>68.131673455087494</v>
      </c>
      <c r="BJ88">
        <f t="shared" si="84"/>
        <v>0</v>
      </c>
      <c r="BK88">
        <f t="shared" si="100"/>
        <v>0</v>
      </c>
      <c r="BM88">
        <f t="shared" si="101"/>
        <v>-5.0513376240619916</v>
      </c>
      <c r="BN88">
        <f t="shared" si="85"/>
        <v>-163.59481184195494</v>
      </c>
      <c r="BQ88" s="56">
        <f t="shared" si="102"/>
        <v>24.980646486248979</v>
      </c>
      <c r="BR88" s="59"/>
      <c r="BS88" s="59"/>
      <c r="BT88" s="59">
        <v>602.55999999999995</v>
      </c>
      <c r="BU88" s="59">
        <v>19.198</v>
      </c>
      <c r="BV88" s="59">
        <v>-264.00260000000003</v>
      </c>
      <c r="BW88" s="61"/>
      <c r="BY88" s="59"/>
      <c r="BZ88" s="59"/>
      <c r="CA88" s="59"/>
      <c r="CC88" s="59"/>
    </row>
    <row r="89" spans="1:81" x14ac:dyDescent="0.25">
      <c r="A89">
        <f t="shared" si="54"/>
        <v>27500</v>
      </c>
      <c r="B89">
        <f t="shared" si="86"/>
        <v>27.5</v>
      </c>
      <c r="C89">
        <f t="shared" si="55"/>
        <v>1.0256804161015272</v>
      </c>
      <c r="D89">
        <f t="shared" si="56"/>
        <v>0.22424373474812351</v>
      </c>
      <c r="F89">
        <f t="shared" si="57"/>
        <v>3.5014047472448115E-2</v>
      </c>
      <c r="G89">
        <f t="shared" si="58"/>
        <v>6.4743811933292567E-2</v>
      </c>
      <c r="H89">
        <f t="shared" si="59"/>
        <v>-3.0768488380667076</v>
      </c>
      <c r="J89">
        <f t="shared" si="60"/>
        <v>15</v>
      </c>
      <c r="M89">
        <f t="shared" si="61"/>
        <v>4.6262609773637491E-2</v>
      </c>
      <c r="N89">
        <f t="shared" si="62"/>
        <v>-1.5707963250000001</v>
      </c>
      <c r="O89">
        <f t="shared" si="63"/>
        <v>8.0520358271729258</v>
      </c>
      <c r="P89">
        <f t="shared" si="64"/>
        <v>1.4462826453214799</v>
      </c>
      <c r="Q89">
        <f t="shared" si="65"/>
        <v>7.1257797851593576</v>
      </c>
      <c r="R89">
        <f t="shared" si="66"/>
        <v>1.4299960483641598</v>
      </c>
      <c r="S89">
        <f t="shared" si="67"/>
        <v>0.97808435019469919</v>
      </c>
      <c r="T89">
        <f t="shared" si="68"/>
        <v>-0.20974351114142961</v>
      </c>
      <c r="U89">
        <f t="shared" si="69"/>
        <v>0.98545586808878805</v>
      </c>
      <c r="V89">
        <f t="shared" si="70"/>
        <v>-0.17076020956093263</v>
      </c>
      <c r="X89">
        <f t="shared" si="87"/>
        <v>2.7865470528788943</v>
      </c>
      <c r="Y89">
        <f t="shared" si="71"/>
        <v>-110.44486049467781</v>
      </c>
      <c r="Z89">
        <f t="shared" si="88"/>
        <v>69.555139505322188</v>
      </c>
      <c r="AC89">
        <v>1</v>
      </c>
      <c r="AD89">
        <f t="shared" si="72"/>
        <v>7.9896984274799996</v>
      </c>
      <c r="AE89">
        <f t="shared" si="73"/>
        <v>-2.0707811730777376E-4</v>
      </c>
      <c r="AF89">
        <f t="shared" si="74"/>
        <v>1.2008737904624998E-3</v>
      </c>
      <c r="AG89">
        <f t="shared" si="89"/>
        <v>6321.665159945167</v>
      </c>
      <c r="AH89">
        <f t="shared" si="90"/>
        <v>-1922.8319727773246</v>
      </c>
      <c r="AJ89">
        <f t="shared" si="75"/>
        <v>18000</v>
      </c>
      <c r="AK89">
        <f t="shared" si="76"/>
        <v>3831.7377233519996</v>
      </c>
      <c r="AL89">
        <v>1</v>
      </c>
      <c r="AM89">
        <f t="shared" si="77"/>
        <v>7.0552631096639997</v>
      </c>
      <c r="AN89">
        <f t="shared" si="91"/>
        <v>886.90057655154339</v>
      </c>
      <c r="AO89">
        <f t="shared" si="92"/>
        <v>-2425.5791963318361</v>
      </c>
      <c r="AQ89">
        <f t="shared" si="78"/>
        <v>3.3046926635822866</v>
      </c>
      <c r="AR89">
        <f t="shared" si="79"/>
        <v>-181.75809649702578</v>
      </c>
      <c r="AT89">
        <f t="shared" si="104"/>
        <v>-328599.11877993291</v>
      </c>
      <c r="AU89">
        <f t="shared" si="105"/>
        <v>-1155368.1948769381</v>
      </c>
      <c r="AV89">
        <f t="shared" si="93"/>
        <v>-1.8478904027562677</v>
      </c>
      <c r="AW89">
        <f t="shared" si="94"/>
        <v>-430447.6552053499</v>
      </c>
      <c r="AX89">
        <f t="shared" si="95"/>
        <v>-178653.61824380531</v>
      </c>
      <c r="AY89">
        <f t="shared" si="103"/>
        <v>-2.7481871339245059</v>
      </c>
      <c r="BA89">
        <f t="shared" si="80"/>
        <v>2.5773822977949696</v>
      </c>
      <c r="BB89">
        <f t="shared" si="96"/>
        <v>8.2235768266545701</v>
      </c>
      <c r="BC89">
        <f t="shared" si="97"/>
        <v>0.90029673116823816</v>
      </c>
      <c r="BD89">
        <f t="shared" si="81"/>
        <v>-128.41679693569347</v>
      </c>
      <c r="BF89">
        <f t="shared" si="82"/>
        <v>2.8504895996665058</v>
      </c>
      <c r="BG89">
        <f t="shared" si="83"/>
        <v>-111.85903016008845</v>
      </c>
      <c r="BH89">
        <f t="shared" si="98"/>
        <v>68.140969839911548</v>
      </c>
      <c r="BI89">
        <f t="shared" si="99"/>
        <v>68.140969839911548</v>
      </c>
      <c r="BJ89">
        <f t="shared" si="84"/>
        <v>0</v>
      </c>
      <c r="BK89">
        <f t="shared" si="100"/>
        <v>0</v>
      </c>
      <c r="BM89">
        <f t="shared" si="101"/>
        <v>-5.3730872269880638</v>
      </c>
      <c r="BN89">
        <f t="shared" si="85"/>
        <v>-163.44223322439498</v>
      </c>
      <c r="BQ89" s="56">
        <f t="shared" si="102"/>
        <v>25.125537626939707</v>
      </c>
      <c r="BR89" s="59"/>
      <c r="BS89" s="59"/>
      <c r="BT89" s="59">
        <v>616.59500000000003</v>
      </c>
      <c r="BU89" s="59">
        <v>18.983699999999999</v>
      </c>
      <c r="BV89" s="59">
        <v>-264.13310000000001</v>
      </c>
      <c r="BW89" s="61"/>
      <c r="BY89" s="59"/>
      <c r="BZ89" s="59"/>
      <c r="CA89" s="59"/>
      <c r="CC89" s="59"/>
    </row>
    <row r="90" spans="1:81" x14ac:dyDescent="0.25">
      <c r="A90">
        <f t="shared" si="54"/>
        <v>28000</v>
      </c>
      <c r="B90">
        <f t="shared" si="86"/>
        <v>28</v>
      </c>
      <c r="C90">
        <f t="shared" si="55"/>
        <v>1.0266105204148643</v>
      </c>
      <c r="D90">
        <f t="shared" si="56"/>
        <v>0.22818201984697678</v>
      </c>
      <c r="F90">
        <f t="shared" si="57"/>
        <v>3.3735239837894601E-2</v>
      </c>
      <c r="G90">
        <f t="shared" si="58"/>
        <v>6.3511686865444519E-2</v>
      </c>
      <c r="H90">
        <f t="shared" si="59"/>
        <v>-3.0780809631345556</v>
      </c>
      <c r="J90">
        <f t="shared" si="60"/>
        <v>15</v>
      </c>
      <c r="M90">
        <f t="shared" si="61"/>
        <v>4.5436491741965394E-2</v>
      </c>
      <c r="N90">
        <f t="shared" si="62"/>
        <v>-1.5707963250000001</v>
      </c>
      <c r="O90">
        <f t="shared" si="63"/>
        <v>8.1961982942319516</v>
      </c>
      <c r="P90">
        <f t="shared" si="64"/>
        <v>1.4484837966073205</v>
      </c>
      <c r="Q90">
        <f t="shared" si="65"/>
        <v>7.2528102036347306</v>
      </c>
      <c r="R90">
        <f t="shared" si="66"/>
        <v>1.4324781082820055</v>
      </c>
      <c r="S90">
        <f t="shared" si="67"/>
        <v>0.97730734250576823</v>
      </c>
      <c r="T90">
        <f t="shared" si="68"/>
        <v>-0.21344323271896959</v>
      </c>
      <c r="U90">
        <f t="shared" si="69"/>
        <v>0.9849341836795692</v>
      </c>
      <c r="V90">
        <f t="shared" si="70"/>
        <v>-0.17380333050387634</v>
      </c>
      <c r="X90">
        <f t="shared" si="87"/>
        <v>2.6108540913441995</v>
      </c>
      <c r="Y90">
        <f t="shared" si="71"/>
        <v>-110.40781712797735</v>
      </c>
      <c r="Z90">
        <f t="shared" si="88"/>
        <v>69.592182872022647</v>
      </c>
      <c r="AC90">
        <v>1</v>
      </c>
      <c r="AD90">
        <f t="shared" si="72"/>
        <v>8.1349656716159995</v>
      </c>
      <c r="AE90">
        <f t="shared" si="73"/>
        <v>-2.1467668624038959E-4</v>
      </c>
      <c r="AF90">
        <f t="shared" si="74"/>
        <v>1.2227078593800001E-3</v>
      </c>
      <c r="AG90">
        <f t="shared" si="89"/>
        <v>6314.9737568498404</v>
      </c>
      <c r="AH90">
        <f t="shared" si="90"/>
        <v>-1926.6070973078095</v>
      </c>
      <c r="AJ90">
        <f t="shared" si="75"/>
        <v>18000</v>
      </c>
      <c r="AK90">
        <f t="shared" si="76"/>
        <v>3901.4056819583993</v>
      </c>
      <c r="AL90">
        <v>1</v>
      </c>
      <c r="AM90">
        <f t="shared" si="77"/>
        <v>7.1835406207487997</v>
      </c>
      <c r="AN90">
        <f t="shared" si="91"/>
        <v>874.96306931377489</v>
      </c>
      <c r="AO90">
        <f t="shared" si="92"/>
        <v>-2383.9270681121511</v>
      </c>
      <c r="AQ90">
        <f t="shared" si="78"/>
        <v>3.1877590054191902</v>
      </c>
      <c r="AR90">
        <f t="shared" si="79"/>
        <v>-178.51450430347467</v>
      </c>
      <c r="AT90">
        <f t="shared" si="104"/>
        <v>-323796.69650107587</v>
      </c>
      <c r="AU90">
        <f t="shared" si="105"/>
        <v>-1133455.9690178479</v>
      </c>
      <c r="AV90">
        <f t="shared" si="93"/>
        <v>-1.8490569423467964</v>
      </c>
      <c r="AW90">
        <f t="shared" si="94"/>
        <v>-415308.00233463652</v>
      </c>
      <c r="AX90">
        <f t="shared" si="95"/>
        <v>-173102.31162315758</v>
      </c>
      <c r="AY90">
        <f t="shared" si="103"/>
        <v>-2.7466839576557449</v>
      </c>
      <c r="BA90">
        <f t="shared" si="80"/>
        <v>2.6199078677464303</v>
      </c>
      <c r="BB90">
        <f t="shared" si="96"/>
        <v>8.3657203818692061</v>
      </c>
      <c r="BC90">
        <f t="shared" si="97"/>
        <v>0.89762701530894851</v>
      </c>
      <c r="BD90">
        <f t="shared" si="81"/>
        <v>-128.56976038710468</v>
      </c>
      <c r="BF90">
        <f t="shared" si="82"/>
        <v>2.6773358141383441</v>
      </c>
      <c r="BG90">
        <f t="shared" si="83"/>
        <v>-111.85694206285892</v>
      </c>
      <c r="BH90">
        <f t="shared" si="98"/>
        <v>68.14305793714108</v>
      </c>
      <c r="BI90">
        <f t="shared" si="99"/>
        <v>68.14305793714108</v>
      </c>
      <c r="BJ90">
        <f t="shared" si="84"/>
        <v>0</v>
      </c>
      <c r="BK90">
        <f t="shared" si="100"/>
        <v>0</v>
      </c>
      <c r="BM90">
        <f t="shared" si="101"/>
        <v>-5.6883845677308633</v>
      </c>
      <c r="BN90">
        <f t="shared" si="85"/>
        <v>-163.2871816757542</v>
      </c>
      <c r="BQ90" s="56">
        <f t="shared" si="102"/>
        <v>25.267681182154345</v>
      </c>
      <c r="BR90" s="59"/>
      <c r="BS90" s="59"/>
      <c r="BT90" s="59">
        <v>630.95699999999999</v>
      </c>
      <c r="BU90" s="59">
        <v>18.802900000000001</v>
      </c>
      <c r="BV90" s="59">
        <v>-263.74850000000004</v>
      </c>
      <c r="BW90" s="61"/>
      <c r="BY90" s="59"/>
      <c r="BZ90" s="59"/>
      <c r="CA90" s="59"/>
      <c r="CC90" s="59"/>
    </row>
    <row r="91" spans="1:81" x14ac:dyDescent="0.25">
      <c r="A91">
        <f t="shared" si="54"/>
        <v>28500</v>
      </c>
      <c r="B91">
        <f t="shared" si="86"/>
        <v>28.5</v>
      </c>
      <c r="C91">
        <f t="shared" si="55"/>
        <v>1.0275565185799238</v>
      </c>
      <c r="D91">
        <f t="shared" si="56"/>
        <v>0.23211311442696705</v>
      </c>
      <c r="F91">
        <f t="shared" si="57"/>
        <v>3.2525896261380402E-2</v>
      </c>
      <c r="G91">
        <f t="shared" si="58"/>
        <v>6.2326846219928865E-2</v>
      </c>
      <c r="H91">
        <f t="shared" si="59"/>
        <v>-3.0792658037800713</v>
      </c>
      <c r="J91">
        <f t="shared" si="60"/>
        <v>15</v>
      </c>
      <c r="M91">
        <f t="shared" si="61"/>
        <v>4.463936030789583E-2</v>
      </c>
      <c r="N91">
        <f t="shared" si="62"/>
        <v>-1.5707963250000001</v>
      </c>
      <c r="O91">
        <f t="shared" si="63"/>
        <v>8.3403990995097388</v>
      </c>
      <c r="P91">
        <f t="shared" si="64"/>
        <v>1.4506088445613328</v>
      </c>
      <c r="Q91">
        <f t="shared" si="65"/>
        <v>7.379883765548791</v>
      </c>
      <c r="R91">
        <f t="shared" si="66"/>
        <v>1.4348747058058928</v>
      </c>
      <c r="S91">
        <f t="shared" si="67"/>
        <v>0.9765182337716547</v>
      </c>
      <c r="T91">
        <f t="shared" si="68"/>
        <v>-0.2171370302459962</v>
      </c>
      <c r="U91">
        <f t="shared" si="69"/>
        <v>0.98440394967834388</v>
      </c>
      <c r="V91">
        <f t="shared" si="70"/>
        <v>-0.17684320307729443</v>
      </c>
      <c r="X91">
        <f t="shared" si="87"/>
        <v>2.4386854306560961</v>
      </c>
      <c r="Y91">
        <f t="shared" si="71"/>
        <v>-110.37720804307665</v>
      </c>
      <c r="Z91">
        <f t="shared" si="88"/>
        <v>69.622791956923351</v>
      </c>
      <c r="AC91">
        <v>1</v>
      </c>
      <c r="AD91">
        <f t="shared" si="72"/>
        <v>8.2802329157520003</v>
      </c>
      <c r="AE91">
        <f t="shared" si="73"/>
        <v>-2.2241216632494444E-4</v>
      </c>
      <c r="AF91">
        <f t="shared" si="74"/>
        <v>1.2445419282974999E-3</v>
      </c>
      <c r="AG91">
        <f t="shared" si="89"/>
        <v>6308.1763229543621</v>
      </c>
      <c r="AH91">
        <f t="shared" si="90"/>
        <v>-1930.8430731901999</v>
      </c>
      <c r="AJ91">
        <f t="shared" si="75"/>
        <v>18000</v>
      </c>
      <c r="AK91">
        <f t="shared" si="76"/>
        <v>3971.0736405647999</v>
      </c>
      <c r="AL91">
        <v>1</v>
      </c>
      <c r="AM91">
        <f t="shared" si="77"/>
        <v>7.3118181318335997</v>
      </c>
      <c r="AN91">
        <f t="shared" si="91"/>
        <v>863.63294009732022</v>
      </c>
      <c r="AO91">
        <f t="shared" si="92"/>
        <v>-2343.6533500875462</v>
      </c>
      <c r="AQ91">
        <f t="shared" si="78"/>
        <v>3.0769230769230771</v>
      </c>
      <c r="AR91">
        <f t="shared" si="79"/>
        <v>-175.38461538461539</v>
      </c>
      <c r="AT91">
        <f t="shared" si="104"/>
        <v>-319230.39645811397</v>
      </c>
      <c r="AU91">
        <f t="shared" si="105"/>
        <v>-1112298.1337895042</v>
      </c>
      <c r="AV91">
        <f t="shared" si="93"/>
        <v>-1.8502849520483524</v>
      </c>
      <c r="AW91">
        <f t="shared" si="94"/>
        <v>-400936.06496367214</v>
      </c>
      <c r="AX91">
        <f t="shared" si="95"/>
        <v>-167866.3343999596</v>
      </c>
      <c r="AY91">
        <f t="shared" si="103"/>
        <v>-2.7450821165663357</v>
      </c>
      <c r="BA91">
        <f t="shared" si="80"/>
        <v>2.662317486566494</v>
      </c>
      <c r="BB91">
        <f t="shared" si="96"/>
        <v>8.5051968938639693</v>
      </c>
      <c r="BC91">
        <f t="shared" si="97"/>
        <v>0.8947971645179833</v>
      </c>
      <c r="BD91">
        <f t="shared" si="81"/>
        <v>-128.73189889426402</v>
      </c>
      <c r="BF91">
        <f t="shared" si="82"/>
        <v>2.5077218985382679</v>
      </c>
      <c r="BG91">
        <f t="shared" si="83"/>
        <v>-111.86173180992186</v>
      </c>
      <c r="BH91">
        <f t="shared" si="98"/>
        <v>68.138268190078136</v>
      </c>
      <c r="BI91">
        <f t="shared" si="99"/>
        <v>68.138268190078136</v>
      </c>
      <c r="BJ91">
        <f t="shared" si="84"/>
        <v>0</v>
      </c>
      <c r="BK91">
        <f t="shared" si="100"/>
        <v>0</v>
      </c>
      <c r="BM91">
        <f t="shared" si="101"/>
        <v>-5.9974749953257032</v>
      </c>
      <c r="BN91">
        <f t="shared" si="85"/>
        <v>-163.12983291565786</v>
      </c>
      <c r="BQ91" s="56">
        <f t="shared" si="102"/>
        <v>25.407157694149106</v>
      </c>
      <c r="BR91" s="59"/>
      <c r="BS91" s="59"/>
      <c r="BT91" s="59">
        <v>645.654</v>
      </c>
      <c r="BU91" s="59">
        <v>18.598600000000001</v>
      </c>
      <c r="BV91" s="59">
        <v>-263.7636</v>
      </c>
      <c r="BW91" s="61"/>
      <c r="BY91" s="59"/>
      <c r="BZ91" s="59"/>
      <c r="CA91" s="59"/>
      <c r="CC91" s="59"/>
    </row>
    <row r="92" spans="1:81" x14ac:dyDescent="0.25">
      <c r="A92">
        <f t="shared" si="54"/>
        <v>29000</v>
      </c>
      <c r="B92">
        <f t="shared" si="86"/>
        <v>29</v>
      </c>
      <c r="C92">
        <f t="shared" si="55"/>
        <v>1.0285183667407434</v>
      </c>
      <c r="D92">
        <f t="shared" si="56"/>
        <v>0.23603691700020288</v>
      </c>
      <c r="F92">
        <f t="shared" si="57"/>
        <v>3.138103098209416E-2</v>
      </c>
      <c r="G92">
        <f t="shared" si="58"/>
        <v>6.1186558688833818E-2</v>
      </c>
      <c r="H92">
        <f t="shared" si="59"/>
        <v>-3.0804060913111666</v>
      </c>
      <c r="J92">
        <f t="shared" si="60"/>
        <v>15</v>
      </c>
      <c r="M92">
        <f t="shared" si="61"/>
        <v>4.3869716164656243E-2</v>
      </c>
      <c r="N92">
        <f t="shared" si="62"/>
        <v>-1.5707963250000001</v>
      </c>
      <c r="O92">
        <f t="shared" si="63"/>
        <v>8.4846362882726272</v>
      </c>
      <c r="P92">
        <f t="shared" si="64"/>
        <v>1.4526616507097558</v>
      </c>
      <c r="Q92">
        <f t="shared" si="65"/>
        <v>7.5069982799900368</v>
      </c>
      <c r="R92">
        <f t="shared" si="66"/>
        <v>1.4371901540342253</v>
      </c>
      <c r="S92">
        <f t="shared" si="67"/>
        <v>0.97571711780054271</v>
      </c>
      <c r="T92">
        <f t="shared" si="68"/>
        <v>-0.22082481738664989</v>
      </c>
      <c r="U92">
        <f t="shared" si="69"/>
        <v>0.98386520925983123</v>
      </c>
      <c r="V92">
        <f t="shared" si="70"/>
        <v>-0.1798797763886224</v>
      </c>
      <c r="X92">
        <f t="shared" si="87"/>
        <v>2.2698883419245357</v>
      </c>
      <c r="Y92">
        <f t="shared" si="71"/>
        <v>-110.35271931311843</v>
      </c>
      <c r="Z92">
        <f t="shared" si="88"/>
        <v>69.647280686881572</v>
      </c>
      <c r="AC92">
        <v>1</v>
      </c>
      <c r="AD92">
        <f t="shared" si="72"/>
        <v>8.4255001598879993</v>
      </c>
      <c r="AE92">
        <f t="shared" si="73"/>
        <v>-2.3028455756143838E-4</v>
      </c>
      <c r="AF92">
        <f t="shared" si="74"/>
        <v>1.266375997215E-3</v>
      </c>
      <c r="AG92">
        <f t="shared" si="89"/>
        <v>6301.2735883536125</v>
      </c>
      <c r="AH92">
        <f t="shared" si="90"/>
        <v>-1935.5120483631954</v>
      </c>
      <c r="AJ92">
        <f t="shared" si="75"/>
        <v>18000</v>
      </c>
      <c r="AK92">
        <f t="shared" si="76"/>
        <v>4040.7415991711996</v>
      </c>
      <c r="AL92">
        <v>1</v>
      </c>
      <c r="AM92">
        <f t="shared" si="77"/>
        <v>7.4400956429183998</v>
      </c>
      <c r="AN92">
        <f t="shared" si="91"/>
        <v>852.86991749148899</v>
      </c>
      <c r="AO92">
        <f t="shared" si="92"/>
        <v>-2304.6921579334021</v>
      </c>
      <c r="AQ92">
        <f t="shared" si="78"/>
        <v>2.9717682020802378</v>
      </c>
      <c r="AR92">
        <f t="shared" si="79"/>
        <v>-172.3625557206538</v>
      </c>
      <c r="AT92">
        <f t="shared" si="104"/>
        <v>-314883.87880152074</v>
      </c>
      <c r="AU92">
        <f t="shared" si="105"/>
        <v>-1091855.5131437525</v>
      </c>
      <c r="AV92">
        <f t="shared" si="93"/>
        <v>-1.8515711080741299</v>
      </c>
      <c r="AW92">
        <f t="shared" si="94"/>
        <v>-387281.20173098502</v>
      </c>
      <c r="AX92">
        <f t="shared" si="95"/>
        <v>-162921.56167290694</v>
      </c>
      <c r="AY92">
        <f t="shared" si="103"/>
        <v>-2.7433865357947065</v>
      </c>
      <c r="BA92">
        <f t="shared" si="80"/>
        <v>2.7046069903951793</v>
      </c>
      <c r="BB92">
        <f t="shared" si="96"/>
        <v>8.6420833237641386</v>
      </c>
      <c r="BC92">
        <f t="shared" si="97"/>
        <v>0.89181542772057654</v>
      </c>
      <c r="BD92">
        <f t="shared" si="81"/>
        <v>-128.90273982856951</v>
      </c>
      <c r="BF92">
        <f t="shared" si="82"/>
        <v>2.3414936880062358</v>
      </c>
      <c r="BG92">
        <f t="shared" si="83"/>
        <v>-111.87308907991928</v>
      </c>
      <c r="BH92">
        <f t="shared" si="98"/>
        <v>68.126910920080718</v>
      </c>
      <c r="BI92">
        <f t="shared" si="99"/>
        <v>68.126910920080718</v>
      </c>
      <c r="BJ92">
        <f t="shared" si="84"/>
        <v>0</v>
      </c>
      <c r="BK92">
        <f t="shared" si="100"/>
        <v>0</v>
      </c>
      <c r="BM92">
        <f t="shared" si="101"/>
        <v>-6.3005896357579037</v>
      </c>
      <c r="BN92">
        <f t="shared" si="85"/>
        <v>-162.97034925134977</v>
      </c>
      <c r="BQ92" s="56">
        <f t="shared" si="102"/>
        <v>25.544044124049275</v>
      </c>
      <c r="BR92" s="59"/>
      <c r="BS92" s="59"/>
      <c r="BT92" s="59">
        <v>660.69299999999998</v>
      </c>
      <c r="BU92" s="59">
        <v>18.468</v>
      </c>
      <c r="BV92" s="59">
        <v>-263.60980000000001</v>
      </c>
      <c r="BW92" s="61"/>
      <c r="BY92" s="59"/>
      <c r="BZ92" s="59"/>
      <c r="CA92" s="59"/>
      <c r="CC92" s="59"/>
    </row>
    <row r="93" spans="1:81" x14ac:dyDescent="0.25">
      <c r="A93">
        <f t="shared" si="54"/>
        <v>29500</v>
      </c>
      <c r="B93">
        <f t="shared" si="86"/>
        <v>29.5</v>
      </c>
      <c r="C93">
        <f t="shared" si="55"/>
        <v>1.0294960204718315</v>
      </c>
      <c r="D93">
        <f t="shared" si="56"/>
        <v>0.23995332735306185</v>
      </c>
      <c r="F93">
        <f t="shared" si="57"/>
        <v>3.0296101288919929E-2</v>
      </c>
      <c r="G93">
        <f t="shared" si="58"/>
        <v>6.0088303059489576E-2</v>
      </c>
      <c r="H93">
        <f t="shared" si="59"/>
        <v>-3.0815043469405108</v>
      </c>
      <c r="J93">
        <f t="shared" si="60"/>
        <v>15</v>
      </c>
      <c r="M93">
        <f t="shared" si="61"/>
        <v>4.3126161653390886E-2</v>
      </c>
      <c r="N93">
        <f t="shared" si="62"/>
        <v>-1.5707963250000001</v>
      </c>
      <c r="O93">
        <f t="shared" si="63"/>
        <v>8.6289080360078181</v>
      </c>
      <c r="P93">
        <f t="shared" si="64"/>
        <v>1.4546458208607955</v>
      </c>
      <c r="Q93">
        <f t="shared" si="65"/>
        <v>7.6341517012852416</v>
      </c>
      <c r="R93">
        <f t="shared" si="66"/>
        <v>1.4394284823329935</v>
      </c>
      <c r="S93">
        <f t="shared" si="67"/>
        <v>0.9749040894067369</v>
      </c>
      <c r="T93">
        <f t="shared" si="68"/>
        <v>-0.22450650873969374</v>
      </c>
      <c r="U93">
        <f t="shared" si="69"/>
        <v>0.9833180061628275</v>
      </c>
      <c r="V93">
        <f t="shared" si="70"/>
        <v>-0.18291299989907192</v>
      </c>
      <c r="X93">
        <f t="shared" si="87"/>
        <v>2.1043198397150249</v>
      </c>
      <c r="Y93">
        <f t="shared" si="71"/>
        <v>-110.33405588271813</v>
      </c>
      <c r="Z93">
        <f t="shared" si="88"/>
        <v>69.665944117281867</v>
      </c>
      <c r="AC93">
        <v>1</v>
      </c>
      <c r="AD93">
        <f t="shared" si="72"/>
        <v>8.5707674040240001</v>
      </c>
      <c r="AE93">
        <f t="shared" si="73"/>
        <v>-2.382938599498712E-4</v>
      </c>
      <c r="AF93">
        <f t="shared" si="74"/>
        <v>1.2882100661325E-3</v>
      </c>
      <c r="AG93">
        <f t="shared" si="89"/>
        <v>6294.2662919883142</v>
      </c>
      <c r="AH93">
        <f t="shared" si="90"/>
        <v>-1940.5880112204702</v>
      </c>
      <c r="AJ93">
        <f t="shared" si="75"/>
        <v>18000</v>
      </c>
      <c r="AK93">
        <f t="shared" si="76"/>
        <v>4110.4095577775997</v>
      </c>
      <c r="AL93">
        <v>1</v>
      </c>
      <c r="AM93">
        <f t="shared" si="77"/>
        <v>7.5683731540031998</v>
      </c>
      <c r="AN93">
        <f t="shared" si="91"/>
        <v>842.63699356106099</v>
      </c>
      <c r="AO93">
        <f t="shared" si="92"/>
        <v>-2266.9816428599001</v>
      </c>
      <c r="AQ93">
        <f t="shared" si="78"/>
        <v>2.8719126938541066</v>
      </c>
      <c r="AR93">
        <f t="shared" si="79"/>
        <v>-169.44284893739231</v>
      </c>
      <c r="AT93">
        <f t="shared" si="104"/>
        <v>-310742.17797248543</v>
      </c>
      <c r="AU93">
        <f t="shared" si="105"/>
        <v>-1072091.6118280615</v>
      </c>
      <c r="AV93">
        <f t="shared" si="93"/>
        <v>-1.8529123028216645</v>
      </c>
      <c r="AW93">
        <f t="shared" si="94"/>
        <v>-374296.84987900523</v>
      </c>
      <c r="AX93">
        <f t="shared" si="95"/>
        <v>-158246.12587294957</v>
      </c>
      <c r="AY93">
        <f t="shared" si="103"/>
        <v>-2.7416018195699126</v>
      </c>
      <c r="BA93">
        <f t="shared" si="80"/>
        <v>2.7467723198591831</v>
      </c>
      <c r="BB93">
        <f t="shared" si="96"/>
        <v>8.7764532442774428</v>
      </c>
      <c r="BC93">
        <f t="shared" si="97"/>
        <v>0.88868951674824803</v>
      </c>
      <c r="BD93">
        <f t="shared" si="81"/>
        <v>-129.08184133462223</v>
      </c>
      <c r="BF93">
        <f t="shared" si="82"/>
        <v>2.178506750963805</v>
      </c>
      <c r="BG93">
        <f t="shared" si="83"/>
        <v>-111.89072221411523</v>
      </c>
      <c r="BH93">
        <f t="shared" si="98"/>
        <v>68.109277785884771</v>
      </c>
      <c r="BI93">
        <f t="shared" si="99"/>
        <v>68.109277785884771</v>
      </c>
      <c r="BJ93">
        <f t="shared" si="84"/>
        <v>0</v>
      </c>
      <c r="BK93">
        <f t="shared" si="100"/>
        <v>0</v>
      </c>
      <c r="BM93">
        <f t="shared" si="101"/>
        <v>-6.5979464933136365</v>
      </c>
      <c r="BN93">
        <f t="shared" si="85"/>
        <v>-162.80888087949302</v>
      </c>
      <c r="BQ93" s="56">
        <f t="shared" si="102"/>
        <v>25.678414044562579</v>
      </c>
      <c r="BR93" s="59"/>
      <c r="BS93" s="59"/>
      <c r="BT93" s="59">
        <v>676.08299999999997</v>
      </c>
      <c r="BU93" s="59">
        <v>18.2744</v>
      </c>
      <c r="BV93" s="59">
        <v>-263.3252</v>
      </c>
      <c r="BW93" s="61"/>
      <c r="BY93" s="59"/>
      <c r="BZ93" s="59"/>
      <c r="CA93" s="59"/>
      <c r="CC93" s="59"/>
    </row>
    <row r="94" spans="1:81" x14ac:dyDescent="0.25">
      <c r="A94">
        <f t="shared" si="54"/>
        <v>30000</v>
      </c>
      <c r="B94">
        <f t="shared" si="86"/>
        <v>30</v>
      </c>
      <c r="C94">
        <f t="shared" si="55"/>
        <v>1.0304894347876488</v>
      </c>
      <c r="D94">
        <f t="shared" si="56"/>
        <v>0.24386224655618216</v>
      </c>
      <c r="F94">
        <f t="shared" si="57"/>
        <v>2.926696075189171E-2</v>
      </c>
      <c r="G94">
        <f t="shared" si="58"/>
        <v>5.9029748122215571E-2</v>
      </c>
      <c r="H94">
        <f t="shared" si="59"/>
        <v>-3.0825629018777847</v>
      </c>
      <c r="J94">
        <f t="shared" si="60"/>
        <v>15</v>
      </c>
      <c r="M94">
        <f t="shared" si="61"/>
        <v>4.2407392292501039E-2</v>
      </c>
      <c r="N94">
        <f t="shared" si="62"/>
        <v>-1.5707963250000001</v>
      </c>
      <c r="O94">
        <f t="shared" si="63"/>
        <v>8.7732126377927031</v>
      </c>
      <c r="P94">
        <f t="shared" si="64"/>
        <v>1.456564725832773</v>
      </c>
      <c r="Q94">
        <f t="shared" si="65"/>
        <v>7.7613421172114014</v>
      </c>
      <c r="R94">
        <f t="shared" si="66"/>
        <v>1.4415934591540904</v>
      </c>
      <c r="S94">
        <f t="shared" si="67"/>
        <v>0.97407924438168558</v>
      </c>
      <c r="T94">
        <f t="shared" si="68"/>
        <v>-0.22818201984697678</v>
      </c>
      <c r="U94">
        <f t="shared" si="69"/>
        <v>0.98276238468078847</v>
      </c>
      <c r="V94">
        <f t="shared" si="70"/>
        <v>-0.18594282342784588</v>
      </c>
      <c r="X94">
        <f t="shared" si="87"/>
        <v>1.9418458674478325</v>
      </c>
      <c r="Y94">
        <f t="shared" si="71"/>
        <v>-110.32094022429074</v>
      </c>
      <c r="Z94">
        <f t="shared" si="88"/>
        <v>69.679059775709263</v>
      </c>
      <c r="AC94">
        <v>1</v>
      </c>
      <c r="AD94">
        <f t="shared" si="72"/>
        <v>8.7160346481600008</v>
      </c>
      <c r="AE94">
        <f t="shared" si="73"/>
        <v>-2.4644007349024314E-4</v>
      </c>
      <c r="AF94">
        <f t="shared" si="74"/>
        <v>1.3100441350499998E-3</v>
      </c>
      <c r="AG94">
        <f t="shared" si="89"/>
        <v>6287.1551814564236</v>
      </c>
      <c r="AH94">
        <f t="shared" si="90"/>
        <v>-1946.0466382419872</v>
      </c>
      <c r="AJ94">
        <f t="shared" si="75"/>
        <v>18000</v>
      </c>
      <c r="AK94">
        <f t="shared" si="76"/>
        <v>4180.0775163839999</v>
      </c>
      <c r="AL94">
        <v>1</v>
      </c>
      <c r="AM94">
        <f t="shared" si="77"/>
        <v>7.6966506650880007</v>
      </c>
      <c r="AN94">
        <f t="shared" si="91"/>
        <v>832.90011343637866</v>
      </c>
      <c r="AO94">
        <f t="shared" si="92"/>
        <v>-2230.4636956479744</v>
      </c>
      <c r="AQ94">
        <f t="shared" si="78"/>
        <v>2.7770063871146902</v>
      </c>
      <c r="AR94">
        <f t="shared" si="79"/>
        <v>-166.62038322688142</v>
      </c>
      <c r="AT94">
        <f t="shared" si="104"/>
        <v>-306791.56654557848</v>
      </c>
      <c r="AU94">
        <f t="shared" si="105"/>
        <v>-1052972.3896851635</v>
      </c>
      <c r="AV94">
        <f t="shared" si="93"/>
        <v>-1.8543056274709253</v>
      </c>
      <c r="AW94">
        <f t="shared" si="94"/>
        <v>-361940.1401714636</v>
      </c>
      <c r="AX94">
        <f t="shared" si="95"/>
        <v>-153820.17054380436</v>
      </c>
      <c r="AY94">
        <f t="shared" si="103"/>
        <v>-2.7397322773597788</v>
      </c>
      <c r="BA94">
        <f t="shared" si="80"/>
        <v>2.7888095120849767</v>
      </c>
      <c r="BB94">
        <f t="shared" si="96"/>
        <v>8.908377021243286</v>
      </c>
      <c r="BC94">
        <f t="shared" si="97"/>
        <v>0.88542664988885345</v>
      </c>
      <c r="BD94">
        <f t="shared" si="81"/>
        <v>-129.26878983499225</v>
      </c>
      <c r="BF94">
        <f t="shared" si="82"/>
        <v>2.0186255752205984</v>
      </c>
      <c r="BG94">
        <f t="shared" si="83"/>
        <v>-111.91435687179074</v>
      </c>
      <c r="BH94">
        <f t="shared" si="98"/>
        <v>68.085643128209256</v>
      </c>
      <c r="BI94">
        <f t="shared" si="99"/>
        <v>68.085643128209256</v>
      </c>
      <c r="BJ94">
        <f t="shared" si="84"/>
        <v>0</v>
      </c>
      <c r="BK94">
        <f t="shared" si="100"/>
        <v>0</v>
      </c>
      <c r="BM94">
        <f t="shared" si="101"/>
        <v>-6.8897514460226885</v>
      </c>
      <c r="BN94">
        <f t="shared" si="85"/>
        <v>-162.6455670367985</v>
      </c>
      <c r="BQ94" s="56">
        <f t="shared" si="102"/>
        <v>25.810337821528421</v>
      </c>
      <c r="BR94" s="59"/>
      <c r="BS94" s="59"/>
      <c r="BT94" s="59">
        <v>691.83100000000002</v>
      </c>
      <c r="BU94" s="59">
        <v>18.092600000000001</v>
      </c>
      <c r="BV94" s="59">
        <v>-263.57819999999998</v>
      </c>
      <c r="BW94" s="61"/>
      <c r="BY94" s="59"/>
      <c r="BZ94" s="59"/>
      <c r="CA94" s="59"/>
      <c r="CC94" s="59"/>
    </row>
    <row r="95" spans="1:81" x14ac:dyDescent="0.25">
      <c r="A95">
        <f t="shared" si="54"/>
        <v>30500</v>
      </c>
      <c r="B95">
        <f t="shared" si="86"/>
        <v>30.5</v>
      </c>
      <c r="C95">
        <f t="shared" si="55"/>
        <v>1.0314985641521446</v>
      </c>
      <c r="D95">
        <f t="shared" si="56"/>
        <v>0.24776357697394499</v>
      </c>
      <c r="F95">
        <f t="shared" si="57"/>
        <v>2.8289818152246696E-2</v>
      </c>
      <c r="G95">
        <f t="shared" si="58"/>
        <v>5.8008734863768875E-2</v>
      </c>
      <c r="H95">
        <f t="shared" si="59"/>
        <v>-3.0835839151362312</v>
      </c>
      <c r="J95">
        <f t="shared" si="60"/>
        <v>15</v>
      </c>
      <c r="M95">
        <f t="shared" si="61"/>
        <v>4.1712189140164953E-2</v>
      </c>
      <c r="N95">
        <f t="shared" si="62"/>
        <v>-1.5707963250000001</v>
      </c>
      <c r="O95">
        <f t="shared" si="63"/>
        <v>8.9175484986855356</v>
      </c>
      <c r="P95">
        <f t="shared" si="64"/>
        <v>1.4584215202071797</v>
      </c>
      <c r="Q95">
        <f t="shared" si="65"/>
        <v>7.8885677383326689</v>
      </c>
      <c r="R95">
        <f t="shared" si="66"/>
        <v>1.4436886126991793</v>
      </c>
      <c r="S95">
        <f t="shared" si="67"/>
        <v>0.97324267946492204</v>
      </c>
      <c r="T95">
        <f t="shared" si="68"/>
        <v>-0.23185126720155877</v>
      </c>
      <c r="U95">
        <f t="shared" si="69"/>
        <v>0.98219838965233686</v>
      </c>
      <c r="V95">
        <f t="shared" si="70"/>
        <v>-0.18896919715626245</v>
      </c>
      <c r="X95">
        <f t="shared" si="87"/>
        <v>1.7823405660043599</v>
      </c>
      <c r="Y95">
        <f t="shared" si="71"/>
        <v>-110.31311110002586</v>
      </c>
      <c r="Z95">
        <f t="shared" si="88"/>
        <v>69.686888899974136</v>
      </c>
      <c r="AC95">
        <v>1</v>
      </c>
      <c r="AD95">
        <f t="shared" si="72"/>
        <v>8.8613018922959998</v>
      </c>
      <c r="AE95">
        <f t="shared" si="73"/>
        <v>-2.5472319818255407E-4</v>
      </c>
      <c r="AF95">
        <f t="shared" si="74"/>
        <v>1.3318782039675001E-3</v>
      </c>
      <c r="AG95">
        <f t="shared" si="89"/>
        <v>6279.9410128233267</v>
      </c>
      <c r="AH95">
        <f t="shared" si="90"/>
        <v>-1951.8651566187659</v>
      </c>
      <c r="AJ95">
        <f t="shared" si="75"/>
        <v>18000</v>
      </c>
      <c r="AK95">
        <f t="shared" si="76"/>
        <v>4249.7454749904</v>
      </c>
      <c r="AL95">
        <v>1</v>
      </c>
      <c r="AM95">
        <f t="shared" si="77"/>
        <v>7.8249281761728007</v>
      </c>
      <c r="AN95">
        <f t="shared" si="91"/>
        <v>823.62789860546195</v>
      </c>
      <c r="AO95">
        <f t="shared" si="92"/>
        <v>-2195.083675489474</v>
      </c>
      <c r="AQ95">
        <f t="shared" si="78"/>
        <v>2.6867275658248255</v>
      </c>
      <c r="AR95">
        <f t="shared" si="79"/>
        <v>-163.89038151531435</v>
      </c>
      <c r="AT95">
        <f t="shared" si="104"/>
        <v>-303019.434553792</v>
      </c>
      <c r="AU95">
        <f t="shared" si="105"/>
        <v>-1034466.0584063452</v>
      </c>
      <c r="AV95">
        <f t="shared" si="93"/>
        <v>-1.8557483562308705</v>
      </c>
      <c r="AW95">
        <f t="shared" si="94"/>
        <v>-350171.55325354298</v>
      </c>
      <c r="AX95">
        <f t="shared" si="95"/>
        <v>-149625.634540447</v>
      </c>
      <c r="AY95">
        <f t="shared" si="103"/>
        <v>-2.7377819475369729</v>
      </c>
      <c r="BA95">
        <f t="shared" si="80"/>
        <v>2.8307146935649872</v>
      </c>
      <c r="BB95">
        <f t="shared" si="96"/>
        <v>9.0379219845861787</v>
      </c>
      <c r="BC95">
        <f t="shared" si="97"/>
        <v>0.88203359130610237</v>
      </c>
      <c r="BD95">
        <f t="shared" si="81"/>
        <v>-129.46319777164669</v>
      </c>
      <c r="BF95">
        <f t="shared" si="82"/>
        <v>1.8617228372919994</v>
      </c>
      <c r="BG95">
        <f t="shared" si="83"/>
        <v>-111.94373479136866</v>
      </c>
      <c r="BH95">
        <f t="shared" si="98"/>
        <v>68.056265208631345</v>
      </c>
      <c r="BI95">
        <f t="shared" si="99"/>
        <v>68.056265208631345</v>
      </c>
      <c r="BJ95">
        <f t="shared" si="84"/>
        <v>0</v>
      </c>
      <c r="BK95">
        <f t="shared" si="100"/>
        <v>0</v>
      </c>
      <c r="BM95">
        <f t="shared" si="101"/>
        <v>-7.1761991472941791</v>
      </c>
      <c r="BN95">
        <f t="shared" si="85"/>
        <v>-162.48053701972199</v>
      </c>
      <c r="BQ95" s="56">
        <f t="shared" si="102"/>
        <v>25.939882784871315</v>
      </c>
      <c r="BR95" s="59"/>
      <c r="BS95" s="59"/>
      <c r="BT95" s="59">
        <v>707.94600000000003</v>
      </c>
      <c r="BU95" s="59">
        <v>17.887</v>
      </c>
      <c r="BV95" s="59">
        <v>-262.84989999999999</v>
      </c>
      <c r="BW95" s="61"/>
      <c r="BY95" s="59"/>
      <c r="BZ95" s="59"/>
      <c r="CA95" s="59"/>
      <c r="CC95" s="59"/>
    </row>
    <row r="96" spans="1:81" x14ac:dyDescent="0.25">
      <c r="A96">
        <f t="shared" si="54"/>
        <v>31000</v>
      </c>
      <c r="B96">
        <f t="shared" si="86"/>
        <v>31</v>
      </c>
      <c r="C96">
        <f t="shared" si="55"/>
        <v>1.0325233624883468</v>
      </c>
      <c r="D96">
        <f t="shared" si="56"/>
        <v>0.25165722227344905</v>
      </c>
      <c r="F96">
        <f t="shared" si="57"/>
        <v>2.7361201326344353E-2</v>
      </c>
      <c r="G96">
        <f t="shared" si="58"/>
        <v>5.7023260646551367E-2</v>
      </c>
      <c r="H96">
        <f t="shared" si="59"/>
        <v>-3.0845693893534487</v>
      </c>
      <c r="J96">
        <f t="shared" si="60"/>
        <v>15</v>
      </c>
      <c r="M96">
        <f t="shared" si="61"/>
        <v>4.1039411895968748E-2</v>
      </c>
      <c r="N96">
        <f t="shared" si="62"/>
        <v>-1.5707963250000001</v>
      </c>
      <c r="O96">
        <f t="shared" si="63"/>
        <v>9.0619141250251012</v>
      </c>
      <c r="P96">
        <f t="shared" si="64"/>
        <v>1.4602191593217915</v>
      </c>
      <c r="Q96">
        <f t="shared" si="65"/>
        <v>8.0158268883395092</v>
      </c>
      <c r="R96">
        <f t="shared" si="66"/>
        <v>1.445717249661358</v>
      </c>
      <c r="S96">
        <f t="shared" si="67"/>
        <v>0.97239449231493558</v>
      </c>
      <c r="T96">
        <f t="shared" si="68"/>
        <v>-0.23551416825549795</v>
      </c>
      <c r="U96">
        <f t="shared" si="69"/>
        <v>0.98162606645169848</v>
      </c>
      <c r="V96">
        <f t="shared" si="70"/>
        <v>-0.19199207163178736</v>
      </c>
      <c r="X96">
        <f t="shared" si="87"/>
        <v>1.6256856156024591</v>
      </c>
      <c r="Y96">
        <f t="shared" si="71"/>
        <v>-110.31032242106383</v>
      </c>
      <c r="Z96">
        <f t="shared" si="88"/>
        <v>69.68967757893617</v>
      </c>
      <c r="AC96">
        <v>1</v>
      </c>
      <c r="AD96">
        <f t="shared" si="72"/>
        <v>9.0065691364319989</v>
      </c>
      <c r="AE96">
        <f t="shared" si="73"/>
        <v>-2.6314323402680415E-4</v>
      </c>
      <c r="AF96">
        <f t="shared" si="74"/>
        <v>1.3537122728849999E-3</v>
      </c>
      <c r="AG96">
        <f t="shared" si="89"/>
        <v>6272.6245504308908</v>
      </c>
      <c r="AH96">
        <f t="shared" si="90"/>
        <v>-1958.0222201778661</v>
      </c>
      <c r="AJ96">
        <f t="shared" si="75"/>
        <v>18000</v>
      </c>
      <c r="AK96">
        <f t="shared" si="76"/>
        <v>4319.4134335968001</v>
      </c>
      <c r="AL96">
        <v>1</v>
      </c>
      <c r="AM96">
        <f t="shared" si="77"/>
        <v>7.9532056872576007</v>
      </c>
      <c r="AN96">
        <f t="shared" si="91"/>
        <v>814.79139981565277</v>
      </c>
      <c r="AO96">
        <f t="shared" si="92"/>
        <v>-2160.7901613456311</v>
      </c>
      <c r="AQ96">
        <f t="shared" si="78"/>
        <v>2.6007802340702209</v>
      </c>
      <c r="AR96">
        <f t="shared" si="79"/>
        <v>-161.24837451235371</v>
      </c>
      <c r="AT96">
        <f t="shared" si="104"/>
        <v>-299414.18231624662</v>
      </c>
      <c r="AU96">
        <f t="shared" si="105"/>
        <v>-1016542.8981713734</v>
      </c>
      <c r="AV96">
        <f t="shared" si="93"/>
        <v>-1.8572379320561527</v>
      </c>
      <c r="AW96">
        <f t="shared" si="94"/>
        <v>-338954.61247452669</v>
      </c>
      <c r="AX96">
        <f t="shared" si="95"/>
        <v>-145646.06247144326</v>
      </c>
      <c r="AY96">
        <f t="shared" si="103"/>
        <v>-2.7357546188320288</v>
      </c>
      <c r="BA96">
        <f t="shared" si="80"/>
        <v>2.8724840737823532</v>
      </c>
      <c r="BB96">
        <f t="shared" si="96"/>
        <v>9.1651525892422008</v>
      </c>
      <c r="BC96">
        <f t="shared" si="97"/>
        <v>0.87851668677587602</v>
      </c>
      <c r="BD96">
        <f t="shared" si="81"/>
        <v>-129.66470155840935</v>
      </c>
      <c r="BF96">
        <f t="shared" si="82"/>
        <v>1.7076787449894395</v>
      </c>
      <c r="BG96">
        <f t="shared" si="83"/>
        <v>-111.9786126488239</v>
      </c>
      <c r="BH96">
        <f t="shared" si="98"/>
        <v>68.021387351176102</v>
      </c>
      <c r="BI96">
        <f t="shared" si="99"/>
        <v>68.021387351176102</v>
      </c>
      <c r="BJ96">
        <f t="shared" si="84"/>
        <v>0</v>
      </c>
      <c r="BK96">
        <f t="shared" si="100"/>
        <v>0</v>
      </c>
      <c r="BM96">
        <f t="shared" si="101"/>
        <v>-7.4574738442527622</v>
      </c>
      <c r="BN96">
        <f t="shared" si="85"/>
        <v>-162.31391109041456</v>
      </c>
      <c r="BQ96" s="56">
        <f t="shared" si="102"/>
        <v>26.067113389527336</v>
      </c>
      <c r="BR96" s="59"/>
      <c r="BS96" s="59"/>
      <c r="BT96" s="59">
        <v>724.43600000000004</v>
      </c>
      <c r="BU96" s="59">
        <v>17.753599999999999</v>
      </c>
      <c r="BV96" s="59">
        <v>-262.81690000000003</v>
      </c>
      <c r="BW96" s="61"/>
      <c r="BY96" s="59"/>
      <c r="BZ96" s="59"/>
      <c r="CA96" s="59"/>
      <c r="CC96" s="59"/>
    </row>
    <row r="97" spans="1:81" x14ac:dyDescent="0.25">
      <c r="A97">
        <f t="shared" si="54"/>
        <v>31500</v>
      </c>
      <c r="B97">
        <f t="shared" si="86"/>
        <v>31.5</v>
      </c>
      <c r="C97">
        <f t="shared" si="55"/>
        <v>1.033563783187998</v>
      </c>
      <c r="D97">
        <f t="shared" si="56"/>
        <v>0.25554308743297821</v>
      </c>
      <c r="F97">
        <f t="shared" si="57"/>
        <v>2.6477925258882918E-2</v>
      </c>
      <c r="G97">
        <f t="shared" si="58"/>
        <v>5.6071465118026541E-2</v>
      </c>
      <c r="H97">
        <f t="shared" si="59"/>
        <v>-3.0855211848819737</v>
      </c>
      <c r="J97">
        <f t="shared" si="60"/>
        <v>15</v>
      </c>
      <c r="M97">
        <f t="shared" si="61"/>
        <v>4.0387992659524793E-2</v>
      </c>
      <c r="N97">
        <f t="shared" si="62"/>
        <v>-1.5707963250000001</v>
      </c>
      <c r="O97">
        <f t="shared" si="63"/>
        <v>9.2063081165409617</v>
      </c>
      <c r="P97">
        <f t="shared" si="64"/>
        <v>1.4619604146927443</v>
      </c>
      <c r="Q97">
        <f t="shared" si="65"/>
        <v>8.1431179952823065</v>
      </c>
      <c r="R97">
        <f t="shared" si="66"/>
        <v>1.4476824722488724</v>
      </c>
      <c r="S97">
        <f t="shared" si="67"/>
        <v>0.97153478147998928</v>
      </c>
      <c r="T97">
        <f t="shared" si="68"/>
        <v>-0.23917064142730091</v>
      </c>
      <c r="U97">
        <f t="shared" si="69"/>
        <v>0.98104546097907197</v>
      </c>
      <c r="V97">
        <f t="shared" si="70"/>
        <v>-0.19501139777197377</v>
      </c>
      <c r="X97">
        <f t="shared" si="87"/>
        <v>1.4717696423509126</v>
      </c>
      <c r="Y97">
        <f t="shared" si="71"/>
        <v>-110.31234219598701</v>
      </c>
      <c r="Z97">
        <f t="shared" si="88"/>
        <v>69.687657804012986</v>
      </c>
      <c r="AC97">
        <v>1</v>
      </c>
      <c r="AD97">
        <f t="shared" si="72"/>
        <v>9.1518363805679996</v>
      </c>
      <c r="AE97">
        <f t="shared" si="73"/>
        <v>-2.7170018102299308E-4</v>
      </c>
      <c r="AF97">
        <f t="shared" si="74"/>
        <v>1.3755463418025E-3</v>
      </c>
      <c r="AG97">
        <f t="shared" si="89"/>
        <v>6265.2065667054558</v>
      </c>
      <c r="AH97">
        <f t="shared" si="90"/>
        <v>-1964.4977971293283</v>
      </c>
      <c r="AJ97">
        <f t="shared" si="75"/>
        <v>18000</v>
      </c>
      <c r="AK97">
        <f t="shared" si="76"/>
        <v>4389.0813922032003</v>
      </c>
      <c r="AL97">
        <v>1</v>
      </c>
      <c r="AM97">
        <f t="shared" si="77"/>
        <v>8.0814831983424007</v>
      </c>
      <c r="AN97">
        <f t="shared" si="91"/>
        <v>806.36387603952721</v>
      </c>
      <c r="AO97">
        <f t="shared" si="92"/>
        <v>-2127.5347237604938</v>
      </c>
      <c r="AQ97">
        <f t="shared" si="78"/>
        <v>2.5188916876574305</v>
      </c>
      <c r="AR97">
        <f t="shared" si="79"/>
        <v>-158.69017632241813</v>
      </c>
      <c r="AT97">
        <f t="shared" si="104"/>
        <v>-295965.12506912398</v>
      </c>
      <c r="AU97">
        <f t="shared" si="105"/>
        <v>-999175.09193847107</v>
      </c>
      <c r="AV97">
        <f t="shared" si="93"/>
        <v>-1.8587719536772325</v>
      </c>
      <c r="AW97">
        <f t="shared" si="94"/>
        <v>-328255.60885046917</v>
      </c>
      <c r="AX97">
        <f t="shared" si="95"/>
        <v>-141866.43783826087</v>
      </c>
      <c r="AY97">
        <f t="shared" si="103"/>
        <v>-2.7336538498096679</v>
      </c>
      <c r="BA97">
        <f t="shared" si="80"/>
        <v>2.914113939511636</v>
      </c>
      <c r="BB97">
        <f t="shared" si="96"/>
        <v>9.2901305666189131</v>
      </c>
      <c r="BC97">
        <f t="shared" si="97"/>
        <v>0.87488189613243539</v>
      </c>
      <c r="BD97">
        <f t="shared" si="81"/>
        <v>-129.8729597219301</v>
      </c>
      <c r="BF97">
        <f t="shared" si="82"/>
        <v>1.5563804446929772</v>
      </c>
      <c r="BG97">
        <f t="shared" si="83"/>
        <v>-112.01876100549853</v>
      </c>
      <c r="BH97">
        <f t="shared" si="98"/>
        <v>67.981238994501467</v>
      </c>
      <c r="BI97">
        <f t="shared" si="99"/>
        <v>67.981238994501467</v>
      </c>
      <c r="BJ97">
        <f t="shared" si="84"/>
        <v>0</v>
      </c>
      <c r="BK97">
        <f t="shared" si="100"/>
        <v>0</v>
      </c>
      <c r="BM97">
        <f t="shared" si="101"/>
        <v>-7.7337501219259348</v>
      </c>
      <c r="BN97">
        <f t="shared" si="85"/>
        <v>-162.14580128356846</v>
      </c>
      <c r="BQ97" s="56">
        <f t="shared" si="102"/>
        <v>26.192091366904048</v>
      </c>
      <c r="BR97" s="59"/>
      <c r="BS97" s="59"/>
      <c r="BT97" s="59">
        <v>741.31</v>
      </c>
      <c r="BU97" s="59">
        <v>17.416399999999999</v>
      </c>
      <c r="BV97" s="59">
        <v>-262.19720000000001</v>
      </c>
      <c r="BW97" s="61"/>
      <c r="BY97" s="59"/>
      <c r="BZ97" s="59"/>
      <c r="CA97" s="59"/>
      <c r="CC97" s="59"/>
    </row>
    <row r="98" spans="1:81" x14ac:dyDescent="0.25">
      <c r="A98">
        <f t="shared" si="54"/>
        <v>32000</v>
      </c>
      <c r="B98">
        <f t="shared" si="86"/>
        <v>32</v>
      </c>
      <c r="C98">
        <f t="shared" si="55"/>
        <v>1.0346197791212335</v>
      </c>
      <c r="D98">
        <f t="shared" si="56"/>
        <v>0.2594210787499644</v>
      </c>
      <c r="F98">
        <f t="shared" si="57"/>
        <v>2.5637063860809703E-2</v>
      </c>
      <c r="G98">
        <f t="shared" si="58"/>
        <v>5.5151617631904612E-2</v>
      </c>
      <c r="H98">
        <f t="shared" si="59"/>
        <v>-3.0864410323680955</v>
      </c>
      <c r="J98">
        <f t="shared" si="60"/>
        <v>15</v>
      </c>
      <c r="M98">
        <f t="shared" si="61"/>
        <v>3.9756930274219719E-2</v>
      </c>
      <c r="N98">
        <f t="shared" si="62"/>
        <v>-1.5707963250000001</v>
      </c>
      <c r="O98">
        <f t="shared" si="63"/>
        <v>9.3507291591877593</v>
      </c>
      <c r="P98">
        <f t="shared" si="64"/>
        <v>1.4636478880317463</v>
      </c>
      <c r="Q98">
        <f t="shared" si="65"/>
        <v>8.2704395836046469</v>
      </c>
      <c r="R98">
        <f t="shared" si="66"/>
        <v>1.449587193670824</v>
      </c>
      <c r="S98">
        <f t="shared" si="67"/>
        <v>0.97066364636890223</v>
      </c>
      <c r="T98">
        <f t="shared" si="68"/>
        <v>-0.2428206061090353</v>
      </c>
      <c r="U98">
        <f t="shared" si="69"/>
        <v>0.98045661965093622</v>
      </c>
      <c r="V98">
        <f t="shared" si="70"/>
        <v>-0.19802712686830981</v>
      </c>
      <c r="X98">
        <f t="shared" si="87"/>
        <v>1.3204876820385034</v>
      </c>
      <c r="Y98">
        <f t="shared" si="71"/>
        <v>-110.31895156131174</v>
      </c>
      <c r="Z98">
        <f t="shared" si="88"/>
        <v>69.681048438688265</v>
      </c>
      <c r="AC98">
        <v>1</v>
      </c>
      <c r="AD98">
        <f t="shared" si="72"/>
        <v>9.2971036247040004</v>
      </c>
      <c r="AE98">
        <f t="shared" si="73"/>
        <v>-2.803940391711211E-4</v>
      </c>
      <c r="AF98">
        <f t="shared" si="74"/>
        <v>1.39738041072E-3</v>
      </c>
      <c r="AG98">
        <f t="shared" si="89"/>
        <v>6257.6878419648774</v>
      </c>
      <c r="AH98">
        <f t="shared" si="90"/>
        <v>-1971.273068341663</v>
      </c>
      <c r="AJ98">
        <f t="shared" si="75"/>
        <v>18000</v>
      </c>
      <c r="AK98">
        <f t="shared" si="76"/>
        <v>4458.7493508096004</v>
      </c>
      <c r="AL98">
        <v>1</v>
      </c>
      <c r="AM98">
        <f t="shared" si="77"/>
        <v>8.2097607094272007</v>
      </c>
      <c r="AN98">
        <f t="shared" si="91"/>
        <v>798.32059642744514</v>
      </c>
      <c r="AO98">
        <f t="shared" si="92"/>
        <v>-2095.271715266927</v>
      </c>
      <c r="AQ98">
        <f t="shared" si="78"/>
        <v>2.4408103490358801</v>
      </c>
      <c r="AR98">
        <f t="shared" si="79"/>
        <v>-156.21186233829633</v>
      </c>
      <c r="AT98">
        <f t="shared" si="104"/>
        <v>-292662.40793727501</v>
      </c>
      <c r="AU98">
        <f t="shared" si="105"/>
        <v>-982336.57543103211</v>
      </c>
      <c r="AV98">
        <f t="shared" si="93"/>
        <v>-1.8603481638058796</v>
      </c>
      <c r="AW98">
        <f t="shared" si="94"/>
        <v>-318043.3544079017</v>
      </c>
      <c r="AX98">
        <f t="shared" si="95"/>
        <v>-138273.03584986925</v>
      </c>
      <c r="AY98">
        <f t="shared" si="103"/>
        <v>-2.7314829865764545</v>
      </c>
      <c r="BA98">
        <f t="shared" si="80"/>
        <v>2.9556006497231988</v>
      </c>
      <c r="BB98">
        <f t="shared" si="96"/>
        <v>9.4129150671348114</v>
      </c>
      <c r="BC98">
        <f t="shared" si="97"/>
        <v>0.87113482277057486</v>
      </c>
      <c r="BD98">
        <f t="shared" si="81"/>
        <v>-130.08765121133592</v>
      </c>
      <c r="BF98">
        <f t="shared" si="82"/>
        <v>1.4077214858612452</v>
      </c>
      <c r="BG98">
        <f t="shared" si="83"/>
        <v>-112.06396333800949</v>
      </c>
      <c r="BH98">
        <f t="shared" si="98"/>
        <v>67.936036661990514</v>
      </c>
      <c r="BI98">
        <f t="shared" si="99"/>
        <v>67.936036661990514</v>
      </c>
      <c r="BJ98">
        <f t="shared" si="84"/>
        <v>0</v>
      </c>
      <c r="BK98">
        <f t="shared" si="100"/>
        <v>0</v>
      </c>
      <c r="BM98">
        <f t="shared" si="101"/>
        <v>-8.0051935812735646</v>
      </c>
      <c r="BN98">
        <f t="shared" si="85"/>
        <v>-161.97631212667358</v>
      </c>
      <c r="BQ98" s="56">
        <f t="shared" si="102"/>
        <v>26.31487586741995</v>
      </c>
      <c r="BR98" s="59"/>
      <c r="BS98" s="59"/>
      <c r="BT98" s="59">
        <v>758.57799999999997</v>
      </c>
      <c r="BU98" s="59">
        <v>17.283200000000001</v>
      </c>
      <c r="BV98" s="59">
        <v>-262.56690000000003</v>
      </c>
      <c r="BW98" s="61"/>
      <c r="BY98" s="59"/>
      <c r="BZ98" s="59"/>
      <c r="CA98" s="59"/>
      <c r="CC98" s="59"/>
    </row>
    <row r="99" spans="1:81" x14ac:dyDescent="0.25">
      <c r="A99">
        <f t="shared" si="54"/>
        <v>32500</v>
      </c>
      <c r="B99">
        <f t="shared" si="86"/>
        <v>32.5</v>
      </c>
      <c r="C99">
        <f t="shared" si="55"/>
        <v>1.0356913026463006</v>
      </c>
      <c r="D99">
        <f t="shared" si="56"/>
        <v>0.26329110384844784</v>
      </c>
      <c r="F99">
        <f t="shared" si="57"/>
        <v>2.483592495077443E-2</v>
      </c>
      <c r="G99">
        <f t="shared" si="58"/>
        <v>5.4262105993784886E-2</v>
      </c>
      <c r="H99">
        <f t="shared" si="59"/>
        <v>-3.0873305440062153</v>
      </c>
      <c r="J99">
        <f t="shared" si="60"/>
        <v>15</v>
      </c>
      <c r="M99">
        <f t="shared" si="61"/>
        <v>3.9145285193077875E-2</v>
      </c>
      <c r="N99">
        <f t="shared" si="62"/>
        <v>-1.5707963250000001</v>
      </c>
      <c r="O99">
        <f t="shared" si="63"/>
        <v>9.4951760186274718</v>
      </c>
      <c r="P99">
        <f t="shared" si="64"/>
        <v>1.465284024004901</v>
      </c>
      <c r="Q99">
        <f t="shared" si="65"/>
        <v>8.3977902668927698</v>
      </c>
      <c r="R99">
        <f t="shared" si="66"/>
        <v>1.4514341522437284</v>
      </c>
      <c r="S99">
        <f t="shared" si="67"/>
        <v>0.96978118722180706</v>
      </c>
      <c r="T99">
        <f t="shared" si="68"/>
        <v>-0.24646398267310579</v>
      </c>
      <c r="U99">
        <f t="shared" si="69"/>
        <v>0.97985958939029616</v>
      </c>
      <c r="V99">
        <f t="shared" si="70"/>
        <v>-0.20103921058997257</v>
      </c>
      <c r="X99">
        <f t="shared" si="87"/>
        <v>1.1717406946877444</v>
      </c>
      <c r="Y99">
        <f t="shared" si="71"/>
        <v>-110.3299438872188</v>
      </c>
      <c r="Z99">
        <f t="shared" si="88"/>
        <v>69.670056112781197</v>
      </c>
      <c r="AC99">
        <v>1</v>
      </c>
      <c r="AD99">
        <f t="shared" si="72"/>
        <v>9.4423708688399994</v>
      </c>
      <c r="AE99">
        <f t="shared" si="73"/>
        <v>-2.8922480847118814E-4</v>
      </c>
      <c r="AF99">
        <f t="shared" si="74"/>
        <v>1.4192144796374999E-3</v>
      </c>
      <c r="AG99">
        <f t="shared" si="89"/>
        <v>6250.069164224692</v>
      </c>
      <c r="AH99">
        <f t="shared" si="90"/>
        <v>-1978.3303350115975</v>
      </c>
      <c r="AJ99">
        <f t="shared" si="75"/>
        <v>18000</v>
      </c>
      <c r="AK99">
        <f t="shared" si="76"/>
        <v>4528.4173094159996</v>
      </c>
      <c r="AL99">
        <v>1</v>
      </c>
      <c r="AM99">
        <f t="shared" si="77"/>
        <v>8.3380382205120007</v>
      </c>
      <c r="AN99">
        <f t="shared" si="91"/>
        <v>790.63866256962126</v>
      </c>
      <c r="AO99">
        <f t="shared" si="92"/>
        <v>-2063.9580777039932</v>
      </c>
      <c r="AQ99">
        <f t="shared" si="78"/>
        <v>2.3663038334122102</v>
      </c>
      <c r="AR99">
        <f t="shared" si="79"/>
        <v>-153.80974917179367</v>
      </c>
      <c r="AT99">
        <f t="shared" si="104"/>
        <v>-289496.929984688</v>
      </c>
      <c r="AU99">
        <f t="shared" si="105"/>
        <v>-966002.90111125563</v>
      </c>
      <c r="AV99">
        <f t="shared" si="93"/>
        <v>-1.8619644383942695</v>
      </c>
      <c r="AW99">
        <f t="shared" si="94"/>
        <v>-308288.96063332178</v>
      </c>
      <c r="AX99">
        <f t="shared" si="95"/>
        <v>-134853.29333184383</v>
      </c>
      <c r="AY99">
        <f t="shared" si="103"/>
        <v>-2.7292451789032839</v>
      </c>
      <c r="BA99">
        <f t="shared" si="80"/>
        <v>2.9969406310277242</v>
      </c>
      <c r="BB99">
        <f t="shared" si="96"/>
        <v>9.5335627943654231</v>
      </c>
      <c r="BC99">
        <f t="shared" si="97"/>
        <v>0.86728074050901438</v>
      </c>
      <c r="BD99">
        <f t="shared" si="81"/>
        <v>-130.30847385907191</v>
      </c>
      <c r="BF99">
        <f t="shared" si="82"/>
        <v>1.2616013363084153</v>
      </c>
      <c r="BG99">
        <f t="shared" si="83"/>
        <v>-112.11401514348957</v>
      </c>
      <c r="BH99">
        <f t="shared" si="98"/>
        <v>67.885984856510433</v>
      </c>
      <c r="BI99">
        <f t="shared" si="99"/>
        <v>67.885984856510433</v>
      </c>
      <c r="BJ99">
        <f t="shared" si="84"/>
        <v>0</v>
      </c>
      <c r="BK99">
        <f t="shared" si="100"/>
        <v>0</v>
      </c>
      <c r="BM99">
        <f t="shared" si="101"/>
        <v>-8.2719614580570049</v>
      </c>
      <c r="BN99">
        <f t="shared" si="85"/>
        <v>-161.80554128441767</v>
      </c>
      <c r="BQ99" s="56">
        <f t="shared" si="102"/>
        <v>26.435523594650562</v>
      </c>
      <c r="BR99" s="59"/>
      <c r="BS99" s="59"/>
      <c r="BT99" s="59">
        <v>776.24699999999996</v>
      </c>
      <c r="BU99" s="59">
        <v>17.007100000000001</v>
      </c>
      <c r="BV99" s="59">
        <v>-262.71769999999998</v>
      </c>
      <c r="BW99" s="61"/>
      <c r="BY99" s="59"/>
      <c r="BZ99" s="59"/>
      <c r="CA99" s="59"/>
      <c r="CC99" s="59"/>
    </row>
    <row r="100" spans="1:81" x14ac:dyDescent="0.25">
      <c r="A100">
        <f t="shared" si="54"/>
        <v>33000</v>
      </c>
      <c r="B100">
        <f t="shared" si="86"/>
        <v>33</v>
      </c>
      <c r="C100">
        <f t="shared" si="55"/>
        <v>1.0367783056193118</v>
      </c>
      <c r="D100">
        <f t="shared" si="56"/>
        <v>0.26715307168603764</v>
      </c>
      <c r="F100">
        <f t="shared" si="57"/>
        <v>2.4072028028880567E-2</v>
      </c>
      <c r="G100">
        <f t="shared" si="58"/>
        <v>5.3401426370152369E-2</v>
      </c>
      <c r="H100">
        <f t="shared" si="59"/>
        <v>-3.0881912236298477</v>
      </c>
      <c r="J100">
        <f t="shared" si="60"/>
        <v>15</v>
      </c>
      <c r="M100">
        <f t="shared" si="61"/>
        <v>3.8552174811364574E-2</v>
      </c>
      <c r="N100">
        <f t="shared" si="62"/>
        <v>-1.5707963250000001</v>
      </c>
      <c r="O100">
        <f t="shared" si="63"/>
        <v>9.6396475342924237</v>
      </c>
      <c r="P100">
        <f t="shared" si="64"/>
        <v>1.466871121862485</v>
      </c>
      <c r="Q100">
        <f t="shared" si="65"/>
        <v>8.5251687412674411</v>
      </c>
      <c r="R100">
        <f t="shared" si="66"/>
        <v>1.4532259242593899</v>
      </c>
      <c r="S100">
        <f t="shared" si="67"/>
        <v>0.96888750508090127</v>
      </c>
      <c r="T100">
        <f t="shared" si="68"/>
        <v>-0.25010069247869393</v>
      </c>
      <c r="U100">
        <f t="shared" si="69"/>
        <v>0.9792544176168746</v>
      </c>
      <c r="V100">
        <f t="shared" si="70"/>
        <v>-0.20404760098748881</v>
      </c>
      <c r="X100">
        <f t="shared" si="87"/>
        <v>1.0254351242360162</v>
      </c>
      <c r="Y100">
        <f t="shared" si="71"/>
        <v>-110.34512395229254</v>
      </c>
      <c r="Z100">
        <f t="shared" si="88"/>
        <v>69.654876047707461</v>
      </c>
      <c r="AC100">
        <v>1</v>
      </c>
      <c r="AD100">
        <f t="shared" si="72"/>
        <v>9.5876381129760002</v>
      </c>
      <c r="AE100">
        <f t="shared" si="73"/>
        <v>-2.9819248892319421E-4</v>
      </c>
      <c r="AF100">
        <f t="shared" si="74"/>
        <v>1.4410485485550001E-3</v>
      </c>
      <c r="AG100">
        <f t="shared" si="89"/>
        <v>6242.3513290034653</v>
      </c>
      <c r="AH100">
        <f t="shared" si="90"/>
        <v>-1985.6529347313251</v>
      </c>
      <c r="AJ100">
        <f t="shared" si="75"/>
        <v>18000</v>
      </c>
      <c r="AK100">
        <f t="shared" si="76"/>
        <v>4598.0852680223998</v>
      </c>
      <c r="AL100">
        <v>1</v>
      </c>
      <c r="AM100">
        <f t="shared" si="77"/>
        <v>8.4663157315968007</v>
      </c>
      <c r="AN100">
        <f t="shared" si="91"/>
        <v>783.29684873437895</v>
      </c>
      <c r="AO100">
        <f t="shared" si="92"/>
        <v>-2033.5531649276734</v>
      </c>
      <c r="AQ100">
        <f t="shared" si="78"/>
        <v>2.2951572182694515</v>
      </c>
      <c r="AR100">
        <f t="shared" si="79"/>
        <v>-151.4803764057838</v>
      </c>
      <c r="AT100">
        <f t="shared" si="104"/>
        <v>-286460.27625261422</v>
      </c>
      <c r="AU100">
        <f t="shared" si="105"/>
        <v>-950151.11464071623</v>
      </c>
      <c r="AV100">
        <f t="shared" si="93"/>
        <v>-1.863618776840027</v>
      </c>
      <c r="AW100">
        <f t="shared" si="94"/>
        <v>-298965.6391693023</v>
      </c>
      <c r="AX100">
        <f t="shared" si="95"/>
        <v>-131595.69352036191</v>
      </c>
      <c r="AY100">
        <f t="shared" si="103"/>
        <v>-2.7269433949248136</v>
      </c>
      <c r="BA100">
        <f t="shared" si="80"/>
        <v>3.0381303736049876</v>
      </c>
      <c r="BB100">
        <f t="shared" si="96"/>
        <v>9.6521281313013265</v>
      </c>
      <c r="BC100">
        <f t="shared" si="97"/>
        <v>0.86332461808478667</v>
      </c>
      <c r="BD100">
        <f t="shared" si="81"/>
        <v>-130.53514297747623</v>
      </c>
      <c r="BF100">
        <f t="shared" si="82"/>
        <v>1.1179249426103746</v>
      </c>
      <c r="BG100">
        <f t="shared" si="83"/>
        <v>-112.16872311393527</v>
      </c>
      <c r="BH100">
        <f t="shared" si="98"/>
        <v>67.831276886064728</v>
      </c>
      <c r="BI100">
        <f t="shared" si="99"/>
        <v>67.831276886064728</v>
      </c>
      <c r="BJ100">
        <f t="shared" si="84"/>
        <v>0</v>
      </c>
      <c r="BK100">
        <f t="shared" si="100"/>
        <v>0</v>
      </c>
      <c r="BM100">
        <f t="shared" si="101"/>
        <v>-8.5342031886909524</v>
      </c>
      <c r="BN100">
        <f t="shared" si="85"/>
        <v>-161.63358013645907</v>
      </c>
      <c r="BQ100" s="56">
        <f t="shared" si="102"/>
        <v>26.554088931586467</v>
      </c>
      <c r="BR100" s="59"/>
      <c r="BS100" s="59"/>
      <c r="BT100" s="59">
        <v>794.32799999999997</v>
      </c>
      <c r="BU100" s="59">
        <v>16.8354</v>
      </c>
      <c r="BV100" s="59">
        <v>-262.79380000000003</v>
      </c>
      <c r="BW100" s="61"/>
      <c r="BY100" s="59"/>
      <c r="BZ100" s="59"/>
      <c r="CA100" s="59"/>
      <c r="CC100" s="59"/>
    </row>
    <row r="101" spans="1:81" x14ac:dyDescent="0.25">
      <c r="A101">
        <f t="shared" si="54"/>
        <v>33500</v>
      </c>
      <c r="B101">
        <f t="shared" si="86"/>
        <v>33.5</v>
      </c>
      <c r="C101">
        <f t="shared" si="55"/>
        <v>1.0378807394040266</v>
      </c>
      <c r="D101">
        <f t="shared" si="56"/>
        <v>0.27100689256037369</v>
      </c>
      <c r="F101">
        <f t="shared" si="57"/>
        <v>2.3343084490238381E-2</v>
      </c>
      <c r="G101">
        <f t="shared" si="58"/>
        <v>5.2568174221761688E-2</v>
      </c>
      <c r="H101">
        <f t="shared" si="59"/>
        <v>-3.0890244757782384</v>
      </c>
      <c r="J101">
        <f t="shared" si="60"/>
        <v>15</v>
      </c>
      <c r="M101">
        <f t="shared" si="61"/>
        <v>3.7976769217165106E-2</v>
      </c>
      <c r="N101">
        <f t="shared" si="62"/>
        <v>-1.5707963250000001</v>
      </c>
      <c r="O101">
        <f t="shared" si="63"/>
        <v>9.7841426139697827</v>
      </c>
      <c r="P101">
        <f t="shared" si="64"/>
        <v>1.4684113460541126</v>
      </c>
      <c r="Q101">
        <f t="shared" si="65"/>
        <v>8.6525737793530677</v>
      </c>
      <c r="R101">
        <f t="shared" si="66"/>
        <v>1.4549649357385346</v>
      </c>
      <c r="S101">
        <f t="shared" si="67"/>
        <v>0.9679827017612066</v>
      </c>
      <c r="T101">
        <f t="shared" si="68"/>
        <v>-0.25373065787786303</v>
      </c>
      <c r="U101">
        <f t="shared" si="69"/>
        <v>0.97864115223725179</v>
      </c>
      <c r="V101">
        <f t="shared" si="70"/>
        <v>-0.20705225049630174</v>
      </c>
      <c r="X101">
        <f t="shared" si="87"/>
        <v>0.88148249841987925</v>
      </c>
      <c r="Y101">
        <f t="shared" si="71"/>
        <v>-110.36430718154651</v>
      </c>
      <c r="Z101">
        <f t="shared" si="88"/>
        <v>69.635692818453492</v>
      </c>
      <c r="AC101">
        <v>1</v>
      </c>
      <c r="AD101">
        <f t="shared" si="72"/>
        <v>9.732905357112001</v>
      </c>
      <c r="AE101">
        <f t="shared" si="73"/>
        <v>-3.0729708052713931E-4</v>
      </c>
      <c r="AF101">
        <f t="shared" si="74"/>
        <v>1.4628826174725E-3</v>
      </c>
      <c r="AG101">
        <f t="shared" si="89"/>
        <v>6234.535139127468</v>
      </c>
      <c r="AH101">
        <f t="shared" si="90"/>
        <v>-1993.2251650755202</v>
      </c>
      <c r="AJ101">
        <f t="shared" si="75"/>
        <v>18000</v>
      </c>
      <c r="AK101">
        <f t="shared" si="76"/>
        <v>4667.7532266287999</v>
      </c>
      <c r="AL101">
        <v>1</v>
      </c>
      <c r="AM101">
        <f t="shared" si="77"/>
        <v>8.5945932426816007</v>
      </c>
      <c r="AN101">
        <f t="shared" si="91"/>
        <v>776.27545804493309</v>
      </c>
      <c r="AO101">
        <f t="shared" si="92"/>
        <v>-2004.0185795437471</v>
      </c>
      <c r="AQ101">
        <f t="shared" si="78"/>
        <v>2.2271714922048997</v>
      </c>
      <c r="AR101">
        <f t="shared" si="79"/>
        <v>-149.22048997772828</v>
      </c>
      <c r="AT101">
        <f t="shared" si="104"/>
        <v>-283544.65683949308</v>
      </c>
      <c r="AU101">
        <f t="shared" si="105"/>
        <v>-934759.64250916673</v>
      </c>
      <c r="AV101">
        <f t="shared" si="93"/>
        <v>-1.8653092930418973</v>
      </c>
      <c r="AW101">
        <f t="shared" si="94"/>
        <v>-290048.5222566835</v>
      </c>
      <c r="AX101">
        <f t="shared" si="95"/>
        <v>-128489.66384475847</v>
      </c>
      <c r="AY101">
        <f t="shared" si="103"/>
        <v>-2.7245804345593525</v>
      </c>
      <c r="BA101">
        <f t="shared" si="80"/>
        <v>3.0791664275676607</v>
      </c>
      <c r="BB101">
        <f t="shared" si="96"/>
        <v>9.7686632592002027</v>
      </c>
      <c r="BC101">
        <f t="shared" si="97"/>
        <v>0.85927114151745521</v>
      </c>
      <c r="BD101">
        <f t="shared" si="81"/>
        <v>-130.76739007740488</v>
      </c>
      <c r="BF101">
        <f t="shared" si="82"/>
        <v>0.97660233071566882</v>
      </c>
      <c r="BG101">
        <f t="shared" si="83"/>
        <v>-112.22790437394028</v>
      </c>
      <c r="BH101">
        <f t="shared" si="98"/>
        <v>67.772095626059723</v>
      </c>
      <c r="BI101">
        <f t="shared" si="99"/>
        <v>67.772095626059723</v>
      </c>
      <c r="BJ101">
        <f t="shared" si="84"/>
        <v>0</v>
      </c>
      <c r="BK101">
        <f t="shared" si="100"/>
        <v>0</v>
      </c>
      <c r="BM101">
        <f t="shared" si="101"/>
        <v>-8.792060928484533</v>
      </c>
      <c r="BN101">
        <f t="shared" si="85"/>
        <v>-161.46051429653539</v>
      </c>
      <c r="BQ101" s="56">
        <f t="shared" si="102"/>
        <v>26.670624059485341</v>
      </c>
      <c r="BR101" s="59"/>
      <c r="BS101" s="59"/>
      <c r="BT101" s="59">
        <v>812.83100000000002</v>
      </c>
      <c r="BU101" s="59">
        <v>16.6614</v>
      </c>
      <c r="BV101" s="59">
        <v>-262.23689999999999</v>
      </c>
      <c r="BW101" s="61"/>
      <c r="BY101" s="59"/>
      <c r="BZ101" s="59"/>
      <c r="CA101" s="59"/>
      <c r="CC101" s="59"/>
    </row>
    <row r="102" spans="1:81" x14ac:dyDescent="0.25">
      <c r="A102">
        <f t="shared" ref="A102:A165" si="106">A101+500</f>
        <v>34000</v>
      </c>
      <c r="B102">
        <f t="shared" si="86"/>
        <v>34</v>
      </c>
      <c r="C102">
        <f t="shared" si="55"/>
        <v>1.0389985548816636</v>
      </c>
      <c r="D102">
        <f t="shared" si="56"/>
        <v>0.27485247811509572</v>
      </c>
      <c r="F102">
        <f t="shared" si="57"/>
        <v>2.2646979975350905E-2</v>
      </c>
      <c r="G102">
        <f t="shared" si="58"/>
        <v>5.1761036141200693E-2</v>
      </c>
      <c r="H102">
        <f t="shared" si="59"/>
        <v>-3.0898316138587996</v>
      </c>
      <c r="J102">
        <f t="shared" si="60"/>
        <v>15</v>
      </c>
      <c r="M102">
        <f t="shared" si="61"/>
        <v>3.7418287316912678E-2</v>
      </c>
      <c r="N102">
        <f t="shared" si="62"/>
        <v>-1.5707963250000001</v>
      </c>
      <c r="O102">
        <f t="shared" si="63"/>
        <v>9.9286602288549819</v>
      </c>
      <c r="P102">
        <f t="shared" si="64"/>
        <v>1.4699067359306992</v>
      </c>
      <c r="Q102">
        <f t="shared" si="65"/>
        <v>8.7800042247662518</v>
      </c>
      <c r="R102">
        <f t="shared" si="66"/>
        <v>1.4566534731806262</v>
      </c>
      <c r="S102">
        <f t="shared" si="67"/>
        <v>0.9670668798213492</v>
      </c>
      <c r="T102">
        <f t="shared" si="68"/>
        <v>-0.25735380222132853</v>
      </c>
      <c r="U102">
        <f t="shared" si="69"/>
        <v>0.97801984163495659</v>
      </c>
      <c r="V102">
        <f t="shared" si="70"/>
        <v>-0.21005311194024329</v>
      </c>
      <c r="X102">
        <f t="shared" si="87"/>
        <v>0.73979906455084554</v>
      </c>
      <c r="Y102">
        <f t="shared" si="71"/>
        <v>-110.3873189424832</v>
      </c>
      <c r="Z102">
        <f t="shared" si="88"/>
        <v>69.612681057516795</v>
      </c>
      <c r="AC102">
        <v>1</v>
      </c>
      <c r="AD102">
        <f t="shared" si="72"/>
        <v>9.878172601248</v>
      </c>
      <c r="AE102">
        <f t="shared" si="73"/>
        <v>-3.1653858328302349E-4</v>
      </c>
      <c r="AF102">
        <f t="shared" si="74"/>
        <v>1.4847166863899998E-3</v>
      </c>
      <c r="AG102">
        <f t="shared" si="89"/>
        <v>6226.6214045346705</v>
      </c>
      <c r="AH102">
        <f t="shared" si="90"/>
        <v>-2001.0322139336099</v>
      </c>
      <c r="AJ102">
        <f t="shared" si="75"/>
        <v>18000</v>
      </c>
      <c r="AK102">
        <f t="shared" si="76"/>
        <v>4737.4211852352</v>
      </c>
      <c r="AL102">
        <v>1</v>
      </c>
      <c r="AM102">
        <f t="shared" si="77"/>
        <v>8.7228707537664008</v>
      </c>
      <c r="AN102">
        <f t="shared" si="91"/>
        <v>769.55619281192753</v>
      </c>
      <c r="AO102">
        <f t="shared" si="92"/>
        <v>-1975.3180224237799</v>
      </c>
      <c r="AQ102">
        <f t="shared" si="78"/>
        <v>2.1621621621621623</v>
      </c>
      <c r="AR102">
        <f t="shared" si="79"/>
        <v>-147.02702702702703</v>
      </c>
      <c r="AT102">
        <f t="shared" si="104"/>
        <v>-280742.85220097477</v>
      </c>
      <c r="AU102">
        <f t="shared" si="105"/>
        <v>-919808.18966981885</v>
      </c>
      <c r="AV102">
        <f t="shared" si="93"/>
        <v>-1.8670342072214858</v>
      </c>
      <c r="AW102">
        <f t="shared" si="94"/>
        <v>-281514.50073201972</v>
      </c>
      <c r="AX102">
        <f t="shared" si="95"/>
        <v>-125525.48506741365</v>
      </c>
      <c r="AY102">
        <f t="shared" si="103"/>
        <v>-2.7221589417764593</v>
      </c>
      <c r="BA102">
        <f t="shared" si="80"/>
        <v>3.120045399716501</v>
      </c>
      <c r="BB102">
        <f t="shared" si="96"/>
        <v>9.8832182694900474</v>
      </c>
      <c r="BC102">
        <f t="shared" si="97"/>
        <v>0.85512473455497351</v>
      </c>
      <c r="BD102">
        <f t="shared" si="81"/>
        <v>-131.00496169677018</v>
      </c>
      <c r="BF102">
        <f t="shared" si="82"/>
        <v>0.83754824244872417</v>
      </c>
      <c r="BG102">
        <f t="shared" si="83"/>
        <v>-112.29138577656509</v>
      </c>
      <c r="BH102">
        <f t="shared" si="98"/>
        <v>67.708614223434907</v>
      </c>
      <c r="BI102">
        <f t="shared" si="99"/>
        <v>67.708614223434907</v>
      </c>
      <c r="BJ102">
        <f t="shared" si="84"/>
        <v>0</v>
      </c>
      <c r="BK102">
        <f t="shared" si="100"/>
        <v>0</v>
      </c>
      <c r="BM102">
        <f t="shared" si="101"/>
        <v>-9.0456700270413215</v>
      </c>
      <c r="BN102">
        <f t="shared" si="85"/>
        <v>-161.2864240797949</v>
      </c>
      <c r="BQ102" s="56">
        <f t="shared" si="102"/>
        <v>26.785179069775182</v>
      </c>
      <c r="BR102" s="59"/>
      <c r="BS102" s="59"/>
      <c r="BT102" s="59">
        <v>831.76400000000001</v>
      </c>
      <c r="BU102" s="59">
        <v>16.509799999999998</v>
      </c>
      <c r="BV102" s="59">
        <v>-262.34320000000002</v>
      </c>
      <c r="BW102" s="61"/>
      <c r="BY102" s="59"/>
      <c r="BZ102" s="59"/>
      <c r="CA102" s="59"/>
      <c r="CC102" s="59"/>
    </row>
    <row r="103" spans="1:81" x14ac:dyDescent="0.25">
      <c r="A103">
        <f t="shared" si="106"/>
        <v>34500</v>
      </c>
      <c r="B103">
        <f t="shared" si="86"/>
        <v>34.5</v>
      </c>
      <c r="C103">
        <f t="shared" si="55"/>
        <v>1.0401317024607315</v>
      </c>
      <c r="D103">
        <f t="shared" si="56"/>
        <v>0.27868974134532021</v>
      </c>
      <c r="F103">
        <f t="shared" si="57"/>
        <v>2.1981758596244468E-2</v>
      </c>
      <c r="G103">
        <f t="shared" si="58"/>
        <v>5.0978782490371195E-2</v>
      </c>
      <c r="H103">
        <f t="shared" si="59"/>
        <v>-3.0906138675096289</v>
      </c>
      <c r="J103">
        <f t="shared" si="60"/>
        <v>15</v>
      </c>
      <c r="M103">
        <f t="shared" si="61"/>
        <v>3.6875993297826988E-2</v>
      </c>
      <c r="N103">
        <f t="shared" si="62"/>
        <v>-1.5707963250000001</v>
      </c>
      <c r="O103">
        <f t="shared" si="63"/>
        <v>10.073199409027483</v>
      </c>
      <c r="P103">
        <f t="shared" si="64"/>
        <v>1.4713592146232615</v>
      </c>
      <c r="Q103">
        <f t="shared" si="65"/>
        <v>8.9074589870724878</v>
      </c>
      <c r="R103">
        <f t="shared" si="66"/>
        <v>1.4582936934080175</v>
      </c>
      <c r="S103">
        <f t="shared" si="67"/>
        <v>0.96614014253437797</v>
      </c>
      <c r="T103">
        <f t="shared" si="68"/>
        <v>-0.26097004986389571</v>
      </c>
      <c r="U103">
        <f t="shared" si="69"/>
        <v>0.9773905346605134</v>
      </c>
      <c r="V103">
        <f t="shared" si="70"/>
        <v>-0.21305013853491214</v>
      </c>
      <c r="X103">
        <f t="shared" si="87"/>
        <v>0.60030545739806374</v>
      </c>
      <c r="Y103">
        <f t="shared" si="71"/>
        <v>-110.41399389438051</v>
      </c>
      <c r="Z103">
        <f t="shared" si="88"/>
        <v>69.586006105619489</v>
      </c>
      <c r="AC103">
        <v>1</v>
      </c>
      <c r="AD103">
        <f t="shared" si="72"/>
        <v>10.023439845384001</v>
      </c>
      <c r="AE103">
        <f t="shared" si="73"/>
        <v>-3.2591699719084654E-4</v>
      </c>
      <c r="AF103">
        <f t="shared" si="74"/>
        <v>1.5065507553075001E-3</v>
      </c>
      <c r="AG103">
        <f t="shared" si="89"/>
        <v>6218.6109420782414</v>
      </c>
      <c r="AH103">
        <f t="shared" si="90"/>
        <v>-2009.0600959026406</v>
      </c>
      <c r="AJ103">
        <f t="shared" si="75"/>
        <v>18000</v>
      </c>
      <c r="AK103">
        <f t="shared" si="76"/>
        <v>4807.0891438415993</v>
      </c>
      <c r="AL103">
        <v>1</v>
      </c>
      <c r="AM103">
        <f t="shared" si="77"/>
        <v>8.8511482648512008</v>
      </c>
      <c r="AN103">
        <f t="shared" si="91"/>
        <v>763.12203745906299</v>
      </c>
      <c r="AO103">
        <f t="shared" si="92"/>
        <v>-1947.4171538838991</v>
      </c>
      <c r="AQ103">
        <f t="shared" si="78"/>
        <v>2.0999580008399832</v>
      </c>
      <c r="AR103">
        <f t="shared" si="79"/>
        <v>-144.89710205795885</v>
      </c>
      <c r="AT103">
        <f t="shared" si="104"/>
        <v>-278048.16395464924</v>
      </c>
      <c r="AU103">
        <f t="shared" si="105"/>
        <v>-905277.64615560963</v>
      </c>
      <c r="AV103">
        <f t="shared" si="93"/>
        <v>-1.8687918384359437</v>
      </c>
      <c r="AW103">
        <f t="shared" si="94"/>
        <v>-273342.07765740302</v>
      </c>
      <c r="AX103">
        <f t="shared" si="95"/>
        <v>-122694.21037462847</v>
      </c>
      <c r="AY103">
        <f t="shared" si="103"/>
        <v>-2.7196814158252787</v>
      </c>
      <c r="BA103">
        <f t="shared" si="80"/>
        <v>3.1607639506484291</v>
      </c>
      <c r="BB103">
        <f t="shared" si="96"/>
        <v>9.9958412691565854</v>
      </c>
      <c r="BC103">
        <f t="shared" si="97"/>
        <v>0.85088957738933502</v>
      </c>
      <c r="BD103">
        <f t="shared" si="81"/>
        <v>-131.24761832821315</v>
      </c>
      <c r="BF103">
        <f t="shared" si="82"/>
        <v>0.70068180412069758</v>
      </c>
      <c r="BG103">
        <f t="shared" si="83"/>
        <v>-112.35900325253664</v>
      </c>
      <c r="BH103">
        <f t="shared" si="98"/>
        <v>67.640996747463362</v>
      </c>
      <c r="BI103">
        <f t="shared" si="99"/>
        <v>67.640996747463362</v>
      </c>
      <c r="BJ103">
        <f t="shared" si="84"/>
        <v>0</v>
      </c>
      <c r="BK103">
        <f t="shared" si="100"/>
        <v>0</v>
      </c>
      <c r="BM103">
        <f t="shared" si="101"/>
        <v>-9.2951594650358889</v>
      </c>
      <c r="BN103">
        <f t="shared" si="85"/>
        <v>-161.11138492432349</v>
      </c>
      <c r="BQ103" s="56">
        <f t="shared" si="102"/>
        <v>26.897802069441724</v>
      </c>
      <c r="BR103" s="59"/>
      <c r="BS103" s="59"/>
      <c r="BT103" s="59">
        <v>851.13800000000003</v>
      </c>
      <c r="BU103" s="59">
        <v>16.276800000000001</v>
      </c>
      <c r="BV103" s="59">
        <v>-262.197</v>
      </c>
      <c r="BW103" s="61"/>
      <c r="BY103" s="59"/>
      <c r="BZ103" s="59"/>
      <c r="CA103" s="59"/>
      <c r="CC103" s="59"/>
    </row>
    <row r="104" spans="1:81" x14ac:dyDescent="0.25">
      <c r="A104">
        <f t="shared" si="106"/>
        <v>35000</v>
      </c>
      <c r="B104">
        <f t="shared" si="86"/>
        <v>35</v>
      </c>
      <c r="C104">
        <f t="shared" si="55"/>
        <v>1.0412801320868812</v>
      </c>
      <c r="D104">
        <f t="shared" si="56"/>
        <v>0.28251859660263023</v>
      </c>
      <c r="F104">
        <f t="shared" si="57"/>
        <v>2.1345608812772664E-2</v>
      </c>
      <c r="G104">
        <f t="shared" si="58"/>
        <v>5.022026074721965E-2</v>
      </c>
      <c r="H104">
        <f t="shared" si="59"/>
        <v>-3.0913723892527805</v>
      </c>
      <c r="J104">
        <f t="shared" si="60"/>
        <v>15</v>
      </c>
      <c r="M104">
        <f t="shared" si="61"/>
        <v>3.6349193393572315E-2</v>
      </c>
      <c r="N104">
        <f t="shared" si="62"/>
        <v>-1.5707963250000001</v>
      </c>
      <c r="O104">
        <f t="shared" si="63"/>
        <v>10.217759239307526</v>
      </c>
      <c r="P104">
        <f t="shared" si="64"/>
        <v>1.4727705971786211</v>
      </c>
      <c r="Q104">
        <f t="shared" si="65"/>
        <v>9.0349370371654416</v>
      </c>
      <c r="R104">
        <f t="shared" si="66"/>
        <v>1.4598876325918262</v>
      </c>
      <c r="S104">
        <f t="shared" si="67"/>
        <v>0.96520259385863305</v>
      </c>
      <c r="T104">
        <f t="shared" si="68"/>
        <v>-0.26457932616956648</v>
      </c>
      <c r="U104">
        <f t="shared" si="69"/>
        <v>0.97675328062144817</v>
      </c>
      <c r="V104">
        <f t="shared" si="70"/>
        <v>-0.21604328389095698</v>
      </c>
      <c r="X104">
        <f t="shared" si="87"/>
        <v>0.46292639584897716</v>
      </c>
      <c r="Y104">
        <f t="shared" si="71"/>
        <v>-110.44417538640494</v>
      </c>
      <c r="Z104">
        <f t="shared" si="88"/>
        <v>69.555824613595064</v>
      </c>
      <c r="AC104">
        <v>1</v>
      </c>
      <c r="AD104">
        <f t="shared" si="72"/>
        <v>10.16870708952</v>
      </c>
      <c r="AE104">
        <f t="shared" si="73"/>
        <v>-3.3543232225060872E-4</v>
      </c>
      <c r="AF104">
        <f t="shared" si="74"/>
        <v>1.5283848242249999E-3</v>
      </c>
      <c r="AG104">
        <f t="shared" si="89"/>
        <v>6210.504575329549</v>
      </c>
      <c r="AH104">
        <f t="shared" si="90"/>
        <v>-2017.2955941343016</v>
      </c>
      <c r="AJ104">
        <f t="shared" si="75"/>
        <v>18000</v>
      </c>
      <c r="AK104">
        <f t="shared" si="76"/>
        <v>4876.7571024480003</v>
      </c>
      <c r="AL104">
        <v>1</v>
      </c>
      <c r="AM104">
        <f t="shared" si="77"/>
        <v>8.9794257759360008</v>
      </c>
      <c r="AN104">
        <f t="shared" si="91"/>
        <v>756.95715266964271</v>
      </c>
      <c r="AO104">
        <f t="shared" si="92"/>
        <v>-1920.2834655129125</v>
      </c>
      <c r="AQ104">
        <f t="shared" si="78"/>
        <v>2.0403999183840034</v>
      </c>
      <c r="AR104">
        <f t="shared" si="79"/>
        <v>-142.82799428688023</v>
      </c>
      <c r="AT104">
        <f t="shared" si="104"/>
        <v>-275454.37056533678</v>
      </c>
      <c r="AU104">
        <f t="shared" si="105"/>
        <v>-891150.00176944037</v>
      </c>
      <c r="AV104">
        <f t="shared" si="93"/>
        <v>-1.8705805977147323</v>
      </c>
      <c r="AW104">
        <f t="shared" si="94"/>
        <v>-265511.23589207319</v>
      </c>
      <c r="AX104">
        <f t="shared" si="95"/>
        <v>-119987.59320337816</v>
      </c>
      <c r="AY104">
        <f t="shared" si="103"/>
        <v>-2.7171502215241845</v>
      </c>
      <c r="BA104">
        <f t="shared" si="80"/>
        <v>3.201318792183188</v>
      </c>
      <c r="BB104">
        <f t="shared" si="96"/>
        <v>10.106578480022845</v>
      </c>
      <c r="BC104">
        <f t="shared" si="97"/>
        <v>0.84656962380945222</v>
      </c>
      <c r="BD104">
        <f t="shared" si="81"/>
        <v>-131.49513343631568</v>
      </c>
      <c r="BF104">
        <f t="shared" si="82"/>
        <v>0.56592622391828706</v>
      </c>
      <c r="BG104">
        <f t="shared" si="83"/>
        <v>-112.43060120837931</v>
      </c>
      <c r="BH104">
        <f t="shared" si="98"/>
        <v>67.569398791620685</v>
      </c>
      <c r="BI104">
        <f t="shared" si="99"/>
        <v>67.569398791620685</v>
      </c>
      <c r="BJ104">
        <f t="shared" si="84"/>
        <v>0</v>
      </c>
      <c r="BK104">
        <f t="shared" si="100"/>
        <v>0</v>
      </c>
      <c r="BM104">
        <f t="shared" si="101"/>
        <v>-9.5406522561045577</v>
      </c>
      <c r="BN104">
        <f t="shared" si="85"/>
        <v>-160.93546777206362</v>
      </c>
      <c r="BQ104" s="56">
        <f t="shared" si="102"/>
        <v>27.008539280307986</v>
      </c>
      <c r="BR104" s="59"/>
      <c r="BS104" s="59"/>
      <c r="BT104" s="59">
        <v>870.96400000000006</v>
      </c>
      <c r="BU104" s="59">
        <v>16.106100000000001</v>
      </c>
      <c r="BV104" s="59">
        <v>-261.76800000000003</v>
      </c>
      <c r="BW104" s="61"/>
      <c r="BY104" s="59"/>
      <c r="BZ104" s="59"/>
      <c r="CA104" s="59"/>
      <c r="CC104" s="59"/>
    </row>
    <row r="105" spans="1:81" x14ac:dyDescent="0.25">
      <c r="A105">
        <f t="shared" si="106"/>
        <v>35500</v>
      </c>
      <c r="B105">
        <f t="shared" si="86"/>
        <v>35.5</v>
      </c>
      <c r="C105">
        <f t="shared" si="55"/>
        <v>1.0424437932527701</v>
      </c>
      <c r="D105">
        <f t="shared" si="56"/>
        <v>0.28633895959958183</v>
      </c>
      <c r="F105">
        <f t="shared" si="57"/>
        <v>2.0736850763728672E-2</v>
      </c>
      <c r="G105">
        <f t="shared" si="58"/>
        <v>4.9484389482674515E-2</v>
      </c>
      <c r="H105">
        <f t="shared" si="59"/>
        <v>-3.0921082605173256</v>
      </c>
      <c r="J105">
        <f t="shared" si="60"/>
        <v>15</v>
      </c>
      <c r="M105">
        <f t="shared" si="61"/>
        <v>3.5837232923240314E-2</v>
      </c>
      <c r="N105">
        <f t="shared" si="62"/>
        <v>-1.5707963250000001</v>
      </c>
      <c r="O105">
        <f t="shared" si="63"/>
        <v>10.36233885545704</v>
      </c>
      <c r="P105">
        <f t="shared" si="64"/>
        <v>1.4741425980233283</v>
      </c>
      <c r="Q105">
        <f t="shared" si="65"/>
        <v>9.1624374030281643</v>
      </c>
      <c r="R105">
        <f t="shared" si="66"/>
        <v>1.4614372145374572</v>
      </c>
      <c r="S105">
        <f t="shared" si="67"/>
        <v>0.96425433840867913</v>
      </c>
      <c r="T105">
        <f t="shared" si="68"/>
        <v>-0.26818155751631517</v>
      </c>
      <c r="U105">
        <f t="shared" si="69"/>
        <v>0.97610812927225699</v>
      </c>
      <c r="V105">
        <f t="shared" si="70"/>
        <v>-0.21903250201726457</v>
      </c>
      <c r="X105">
        <f t="shared" si="87"/>
        <v>0.3275904054128469</v>
      </c>
      <c r="Y105">
        <f t="shared" si="71"/>
        <v>-110.47771490052881</v>
      </c>
      <c r="Z105">
        <f t="shared" si="88"/>
        <v>69.522285099471191</v>
      </c>
      <c r="AC105">
        <v>1</v>
      </c>
      <c r="AD105">
        <f t="shared" si="72"/>
        <v>10.313974333656001</v>
      </c>
      <c r="AE105">
        <f t="shared" si="73"/>
        <v>-3.4508455846230998E-4</v>
      </c>
      <c r="AF105">
        <f t="shared" si="74"/>
        <v>1.5502188931425E-3</v>
      </c>
      <c r="AG105">
        <f t="shared" si="89"/>
        <v>6202.3031343807997</v>
      </c>
      <c r="AH105">
        <f t="shared" si="90"/>
        <v>-2025.7262070979896</v>
      </c>
      <c r="AJ105">
        <f t="shared" si="75"/>
        <v>18000</v>
      </c>
      <c r="AK105">
        <f t="shared" si="76"/>
        <v>4946.4250610543995</v>
      </c>
      <c r="AL105">
        <v>1</v>
      </c>
      <c r="AM105">
        <f t="shared" si="77"/>
        <v>9.1077032870208008</v>
      </c>
      <c r="AN105">
        <f t="shared" si="91"/>
        <v>751.04677954701708</v>
      </c>
      <c r="AO105">
        <f t="shared" si="92"/>
        <v>-1893.8861617323555</v>
      </c>
      <c r="AQ105">
        <f t="shared" si="78"/>
        <v>1.9833399444664817</v>
      </c>
      <c r="AR105">
        <f t="shared" si="79"/>
        <v>-140.81713605712019</v>
      </c>
      <c r="AT105">
        <f t="shared" si="104"/>
        <v>-272955.68736528454</v>
      </c>
      <c r="AU105">
        <f t="shared" si="105"/>
        <v>-877408.26804469409</v>
      </c>
      <c r="AV105">
        <f t="shared" si="93"/>
        <v>-1.8723989817608693</v>
      </c>
      <c r="AW105">
        <f t="shared" si="94"/>
        <v>-258003.31811693689</v>
      </c>
      <c r="AX105">
        <f t="shared" si="95"/>
        <v>-117398.02275182981</v>
      </c>
      <c r="AY105">
        <f t="shared" si="103"/>
        <v>-2.7145675987013478</v>
      </c>
      <c r="BA105">
        <f t="shared" si="80"/>
        <v>3.2417066850781384</v>
      </c>
      <c r="BB105">
        <f t="shared" si="96"/>
        <v>10.215474332305108</v>
      </c>
      <c r="BC105">
        <f t="shared" si="97"/>
        <v>0.84216861694047851</v>
      </c>
      <c r="BD105">
        <f t="shared" si="81"/>
        <v>-131.74729255580411</v>
      </c>
      <c r="BF105">
        <f t="shared" si="82"/>
        <v>0.43320851513517622</v>
      </c>
      <c r="BG105">
        <f t="shared" si="83"/>
        <v>-112.5060319694559</v>
      </c>
      <c r="BH105">
        <f t="shared" si="98"/>
        <v>67.493968030544096</v>
      </c>
      <c r="BI105">
        <f t="shared" si="99"/>
        <v>67.493968030544096</v>
      </c>
      <c r="BJ105">
        <f t="shared" si="84"/>
        <v>0</v>
      </c>
      <c r="BK105">
        <f t="shared" si="100"/>
        <v>0</v>
      </c>
      <c r="BM105">
        <f t="shared" si="101"/>
        <v>-9.7822658171699342</v>
      </c>
      <c r="BN105">
        <f t="shared" si="85"/>
        <v>-160.7587394136518</v>
      </c>
      <c r="BQ105" s="56">
        <f t="shared" si="102"/>
        <v>27.117435132590245</v>
      </c>
      <c r="BR105" s="59"/>
      <c r="BS105" s="59"/>
      <c r="BT105" s="59">
        <v>891.25099999999998</v>
      </c>
      <c r="BU105" s="59">
        <v>15.882400000000001</v>
      </c>
      <c r="BV105" s="59">
        <v>-261.38310000000001</v>
      </c>
      <c r="BW105" s="61"/>
      <c r="BY105" s="59"/>
      <c r="BZ105" s="59"/>
      <c r="CA105" s="59"/>
      <c r="CC105" s="59"/>
    </row>
    <row r="106" spans="1:81" x14ac:dyDescent="0.25">
      <c r="A106">
        <f t="shared" si="106"/>
        <v>36000</v>
      </c>
      <c r="B106">
        <f t="shared" si="86"/>
        <v>36</v>
      </c>
      <c r="C106">
        <f t="shared" si="55"/>
        <v>1.0436226350079387</v>
      </c>
      <c r="D106">
        <f t="shared" si="56"/>
        <v>0.29015074741373093</v>
      </c>
      <c r="F106">
        <f t="shared" si="57"/>
        <v>2.0153924883159511E-2</v>
      </c>
      <c r="G106">
        <f t="shared" si="58"/>
        <v>4.8770152898714052E-2</v>
      </c>
      <c r="H106">
        <f t="shared" si="59"/>
        <v>-3.0928224971012863</v>
      </c>
      <c r="J106">
        <f t="shared" si="60"/>
        <v>15</v>
      </c>
      <c r="M106">
        <f t="shared" si="61"/>
        <v>3.5339493577084199E-2</v>
      </c>
      <c r="N106">
        <f t="shared" si="62"/>
        <v>-1.5707963250000001</v>
      </c>
      <c r="O106">
        <f t="shared" si="63"/>
        <v>10.506937440691882</v>
      </c>
      <c r="P106">
        <f t="shared" si="64"/>
        <v>1.4754768378194352</v>
      </c>
      <c r="Q106">
        <f t="shared" si="65"/>
        <v>9.28995916584004</v>
      </c>
      <c r="R106">
        <f t="shared" si="66"/>
        <v>1.4629442582993706</v>
      </c>
      <c r="S106">
        <f t="shared" si="67"/>
        <v>0.96329548142631793</v>
      </c>
      <c r="T106">
        <f t="shared" si="68"/>
        <v>-0.27177667130053779</v>
      </c>
      <c r="U106">
        <f t="shared" si="69"/>
        <v>0.97545513080434365</v>
      </c>
      <c r="V106">
        <f t="shared" si="70"/>
        <v>-0.22201774732405286</v>
      </c>
      <c r="X106">
        <f t="shared" si="87"/>
        <v>0.19422956397422156</v>
      </c>
      <c r="Y106">
        <f t="shared" si="71"/>
        <v>-110.51447153557646</v>
      </c>
      <c r="Z106">
        <f t="shared" si="88"/>
        <v>69.485528464423538</v>
      </c>
      <c r="AC106">
        <v>1</v>
      </c>
      <c r="AD106">
        <f t="shared" si="72"/>
        <v>10.459241577792</v>
      </c>
      <c r="AE106">
        <f t="shared" si="73"/>
        <v>-3.5487370582595017E-4</v>
      </c>
      <c r="AF106">
        <f t="shared" si="74"/>
        <v>1.5720529620599998E-3</v>
      </c>
      <c r="AG106">
        <f t="shared" si="89"/>
        <v>6194.0074556473628</v>
      </c>
      <c r="AH106">
        <f t="shared" si="90"/>
        <v>-2034.3400997816284</v>
      </c>
      <c r="AJ106">
        <f t="shared" si="75"/>
        <v>18000</v>
      </c>
      <c r="AK106">
        <f t="shared" si="76"/>
        <v>5016.0930196607997</v>
      </c>
      <c r="AL106">
        <v>1</v>
      </c>
      <c r="AM106">
        <f t="shared" si="77"/>
        <v>9.2359807981056008</v>
      </c>
      <c r="AN106">
        <f t="shared" si="91"/>
        <v>745.37715272538242</v>
      </c>
      <c r="AO106">
        <f t="shared" si="92"/>
        <v>-1868.1960502574591</v>
      </c>
      <c r="AQ106">
        <f t="shared" si="78"/>
        <v>1.9286403085824493</v>
      </c>
      <c r="AR106">
        <f t="shared" si="79"/>
        <v>-138.86210221793635</v>
      </c>
      <c r="AT106">
        <f t="shared" si="104"/>
        <v>-270546.73043130164</v>
      </c>
      <c r="AU106">
        <f t="shared" si="105"/>
        <v>-864036.40676256851</v>
      </c>
      <c r="AV106">
        <f t="shared" si="93"/>
        <v>-1.8742455671634437</v>
      </c>
      <c r="AW106">
        <f t="shared" si="94"/>
        <v>-250800.91799861295</v>
      </c>
      <c r="AX106">
        <f t="shared" si="95"/>
        <v>-114918.46626075896</v>
      </c>
      <c r="AY106">
        <f t="shared" si="103"/>
        <v>-2.7119356708662252</v>
      </c>
      <c r="BA106">
        <f t="shared" si="80"/>
        <v>3.2819244370039984</v>
      </c>
      <c r="BB106">
        <f t="shared" si="96"/>
        <v>10.322571552805954</v>
      </c>
      <c r="BC106">
        <f t="shared" si="97"/>
        <v>0.83769010370278152</v>
      </c>
      <c r="BD106">
        <f t="shared" si="81"/>
        <v>-132.00389246311082</v>
      </c>
      <c r="BF106">
        <f t="shared" si="82"/>
        <v>0.30245924265247842</v>
      </c>
      <c r="BG106">
        <f t="shared" si="83"/>
        <v>-112.58515526424446</v>
      </c>
      <c r="BH106">
        <f t="shared" si="98"/>
        <v>67.414844735755537</v>
      </c>
      <c r="BI106">
        <f t="shared" si="99"/>
        <v>67.414844735755537</v>
      </c>
      <c r="BJ106">
        <f t="shared" si="84"/>
        <v>0</v>
      </c>
      <c r="BK106">
        <f t="shared" si="100"/>
        <v>0</v>
      </c>
      <c r="BM106">
        <f t="shared" si="101"/>
        <v>-10.020112310153475</v>
      </c>
      <c r="BN106">
        <f t="shared" si="85"/>
        <v>-160.58126280113368</v>
      </c>
      <c r="BQ106" s="56">
        <f t="shared" si="102"/>
        <v>27.224532353091092</v>
      </c>
      <c r="BR106" s="59"/>
      <c r="BS106" s="59"/>
      <c r="BT106" s="59">
        <v>912.01099999999997</v>
      </c>
      <c r="BU106" s="59">
        <v>15.6715</v>
      </c>
      <c r="BV106" s="59">
        <v>-261.74869999999999</v>
      </c>
      <c r="BW106" s="61"/>
      <c r="BY106" s="59"/>
      <c r="BZ106" s="59"/>
      <c r="CA106" s="59"/>
      <c r="CC106" s="59"/>
    </row>
    <row r="107" spans="1:81" x14ac:dyDescent="0.25">
      <c r="A107">
        <f t="shared" si="106"/>
        <v>36500</v>
      </c>
      <c r="B107">
        <f t="shared" si="86"/>
        <v>36.5</v>
      </c>
      <c r="C107">
        <f t="shared" si="55"/>
        <v>1.0448166059686941</v>
      </c>
      <c r="D107">
        <f t="shared" si="56"/>
        <v>0.29395387849118498</v>
      </c>
      <c r="F107">
        <f t="shared" si="57"/>
        <v>1.959538165430004E-2</v>
      </c>
      <c r="G107">
        <f t="shared" si="58"/>
        <v>4.807659586705728E-2</v>
      </c>
      <c r="H107">
        <f t="shared" si="59"/>
        <v>-3.0935160541329427</v>
      </c>
      <c r="J107">
        <f t="shared" si="60"/>
        <v>15</v>
      </c>
      <c r="M107">
        <f t="shared" si="61"/>
        <v>3.4855390925343316E-2</v>
      </c>
      <c r="N107">
        <f t="shared" si="62"/>
        <v>-1.5707963250000001</v>
      </c>
      <c r="O107">
        <f t="shared" si="63"/>
        <v>10.651554222476115</v>
      </c>
      <c r="P107">
        <f t="shared" si="64"/>
        <v>1.4767748497689761</v>
      </c>
      <c r="Q107">
        <f t="shared" si="65"/>
        <v>9.4175014563970976</v>
      </c>
      <c r="R107">
        <f t="shared" si="66"/>
        <v>1.4644104851873403</v>
      </c>
      <c r="S107">
        <f t="shared" si="67"/>
        <v>0.96232612875169266</v>
      </c>
      <c r="T107">
        <f t="shared" si="68"/>
        <v>-0.27536459594117368</v>
      </c>
      <c r="U107">
        <f t="shared" si="69"/>
        <v>0.97479433583592301</v>
      </c>
      <c r="V107">
        <f t="shared" si="70"/>
        <v>-0.22499897462586876</v>
      </c>
      <c r="X107">
        <f t="shared" si="87"/>
        <v>6.2779268500585766E-2</v>
      </c>
      <c r="Y107">
        <f t="shared" si="71"/>
        <v>-110.55431152904151</v>
      </c>
      <c r="Z107">
        <f t="shared" si="88"/>
        <v>69.445688470958487</v>
      </c>
      <c r="AC107">
        <v>1</v>
      </c>
      <c r="AD107">
        <f t="shared" si="72"/>
        <v>10.604508821928</v>
      </c>
      <c r="AE107">
        <f t="shared" si="73"/>
        <v>-3.6479976434152943E-4</v>
      </c>
      <c r="AF107">
        <f t="shared" si="74"/>
        <v>1.5938870309774999E-3</v>
      </c>
      <c r="AG107">
        <f t="shared" si="89"/>
        <v>6185.6183816698822</v>
      </c>
      <c r="AH107">
        <f t="shared" si="90"/>
        <v>-2043.1260589043445</v>
      </c>
      <c r="AJ107">
        <f t="shared" si="75"/>
        <v>18000</v>
      </c>
      <c r="AK107">
        <f t="shared" si="76"/>
        <v>5085.7609782671998</v>
      </c>
      <c r="AL107">
        <v>1</v>
      </c>
      <c r="AM107">
        <f t="shared" si="77"/>
        <v>9.3642583091904008</v>
      </c>
      <c r="AN107">
        <f t="shared" si="91"/>
        <v>739.93542149223561</v>
      </c>
      <c r="AO107">
        <f t="shared" si="92"/>
        <v>-1843.1854407057685</v>
      </c>
      <c r="AQ107">
        <f t="shared" si="78"/>
        <v>1.876172607879925</v>
      </c>
      <c r="AR107">
        <f t="shared" si="79"/>
        <v>-136.96060037523452</v>
      </c>
      <c r="AT107">
        <f t="shared" si="104"/>
        <v>-268222.48389933817</v>
      </c>
      <c r="AU107">
        <f t="shared" si="105"/>
        <v>-851019.26439175557</v>
      </c>
      <c r="AV107">
        <f t="shared" si="93"/>
        <v>-1.8761190050738201</v>
      </c>
      <c r="AW107">
        <f t="shared" si="94"/>
        <v>-243887.7813325632</v>
      </c>
      <c r="AX107">
        <f t="shared" si="95"/>
        <v>-112542.41727222418</v>
      </c>
      <c r="AY107">
        <f t="shared" si="103"/>
        <v>-2.7092564531834764</v>
      </c>
      <c r="BA107">
        <f t="shared" si="80"/>
        <v>3.321968900757283</v>
      </c>
      <c r="BB107">
        <f t="shared" si="96"/>
        <v>10.427911248082806</v>
      </c>
      <c r="BC107">
        <f t="shared" si="97"/>
        <v>0.83313744810965629</v>
      </c>
      <c r="BD107">
        <f t="shared" si="81"/>
        <v>-132.26474041447159</v>
      </c>
      <c r="BF107">
        <f t="shared" si="82"/>
        <v>0.17361229037225825</v>
      </c>
      <c r="BG107">
        <f t="shared" si="83"/>
        <v>-112.66783774649404</v>
      </c>
      <c r="BH107">
        <f t="shared" si="98"/>
        <v>67.332162253505956</v>
      </c>
      <c r="BI107">
        <f t="shared" si="99"/>
        <v>67.332162253505956</v>
      </c>
      <c r="BJ107">
        <f t="shared" si="84"/>
        <v>0</v>
      </c>
      <c r="BK107">
        <f t="shared" si="100"/>
        <v>0</v>
      </c>
      <c r="BM107">
        <f t="shared" si="101"/>
        <v>-10.254298957710548</v>
      </c>
      <c r="BN107">
        <f t="shared" si="85"/>
        <v>-160.40309733202247</v>
      </c>
      <c r="BQ107" s="56">
        <f t="shared" si="102"/>
        <v>27.329872048367942</v>
      </c>
      <c r="BR107" s="59"/>
      <c r="BS107" s="59"/>
      <c r="BT107" s="59">
        <v>933.25400000000002</v>
      </c>
      <c r="BU107" s="59">
        <v>15.471399999999999</v>
      </c>
      <c r="BV107" s="59">
        <v>-261.20730000000003</v>
      </c>
      <c r="BW107" s="61"/>
      <c r="BY107" s="59"/>
      <c r="BZ107" s="59"/>
      <c r="CA107" s="59"/>
      <c r="CC107" s="59"/>
    </row>
    <row r="108" spans="1:81" x14ac:dyDescent="0.25">
      <c r="A108">
        <f t="shared" si="106"/>
        <v>37000</v>
      </c>
      <c r="B108">
        <f t="shared" si="86"/>
        <v>37</v>
      </c>
      <c r="C108">
        <f t="shared" si="55"/>
        <v>1.0460256543279938</v>
      </c>
      <c r="D108">
        <f t="shared" si="56"/>
        <v>0.29774827264968484</v>
      </c>
      <c r="F108">
        <f t="shared" si="57"/>
        <v>1.9059872372423216E-2</v>
      </c>
      <c r="G108">
        <f t="shared" si="58"/>
        <v>4.7402819415357005E-2</v>
      </c>
      <c r="H108">
        <f t="shared" si="59"/>
        <v>-3.0941898305846434</v>
      </c>
      <c r="J108">
        <f t="shared" si="60"/>
        <v>15</v>
      </c>
      <c r="M108">
        <f t="shared" si="61"/>
        <v>3.4384372129054895E-2</v>
      </c>
      <c r="N108">
        <f t="shared" si="62"/>
        <v>-1.5707963250000001</v>
      </c>
      <c r="O108">
        <f t="shared" si="63"/>
        <v>10.796188469572138</v>
      </c>
      <c r="P108">
        <f t="shared" si="64"/>
        <v>1.4780380854180271</v>
      </c>
      <c r="Q108">
        <f t="shared" si="65"/>
        <v>9.5450634518167448</v>
      </c>
      <c r="R108">
        <f t="shared" si="66"/>
        <v>1.4658375252199669</v>
      </c>
      <c r="S108">
        <f t="shared" si="67"/>
        <v>0.96134638679449691</v>
      </c>
      <c r="T108">
        <f t="shared" si="68"/>
        <v>-0.27894526088350441</v>
      </c>
      <c r="U108">
        <f t="shared" si="69"/>
        <v>0.97412579540190436</v>
      </c>
      <c r="V108">
        <f t="shared" si="70"/>
        <v>-0.22797613914449075</v>
      </c>
      <c r="X108">
        <f t="shared" si="87"/>
        <v>-6.6821979332148285E-2</v>
      </c>
      <c r="Y108">
        <f t="shared" si="71"/>
        <v>-110.59710781360934</v>
      </c>
      <c r="Z108">
        <f t="shared" si="88"/>
        <v>69.402892186390659</v>
      </c>
      <c r="AC108">
        <v>1</v>
      </c>
      <c r="AD108">
        <f t="shared" si="72"/>
        <v>10.749776066064001</v>
      </c>
      <c r="AE108">
        <f t="shared" si="73"/>
        <v>-3.7486273400904761E-4</v>
      </c>
      <c r="AF108">
        <f t="shared" si="74"/>
        <v>1.6157210998950001E-3</v>
      </c>
      <c r="AG108">
        <f t="shared" si="89"/>
        <v>6177.1367609162435</v>
      </c>
      <c r="AH108">
        <f t="shared" si="90"/>
        <v>-2052.0734517611509</v>
      </c>
      <c r="AJ108">
        <f t="shared" si="75"/>
        <v>18000</v>
      </c>
      <c r="AK108">
        <f t="shared" si="76"/>
        <v>5155.4289368735999</v>
      </c>
      <c r="AL108">
        <v>1</v>
      </c>
      <c r="AM108">
        <f t="shared" si="77"/>
        <v>9.4925358202752008</v>
      </c>
      <c r="AN108">
        <f t="shared" si="91"/>
        <v>734.70957809264496</v>
      </c>
      <c r="AO108">
        <f t="shared" si="92"/>
        <v>-1818.8280506701119</v>
      </c>
      <c r="AQ108">
        <f t="shared" si="78"/>
        <v>1.8258170531312763</v>
      </c>
      <c r="AR108">
        <f t="shared" si="79"/>
        <v>-135.11046193171444</v>
      </c>
      <c r="AT108">
        <f t="shared" si="104"/>
        <v>-265978.27034765185</v>
      </c>
      <c r="AU108">
        <f t="shared" si="105"/>
        <v>-838342.51188527141</v>
      </c>
      <c r="AV108">
        <f t="shared" si="93"/>
        <v>-1.8780180163029285</v>
      </c>
      <c r="AW108">
        <f t="shared" si="94"/>
        <v>-237248.7161383912</v>
      </c>
      <c r="AX108">
        <f t="shared" si="95"/>
        <v>-110263.84917415887</v>
      </c>
      <c r="AY108">
        <f t="shared" si="103"/>
        <v>-2.7065318598133343</v>
      </c>
      <c r="BA108">
        <f t="shared" si="80"/>
        <v>3.3618369726876876</v>
      </c>
      <c r="BB108">
        <f t="shared" si="96"/>
        <v>10.531532982908871</v>
      </c>
      <c r="BC108">
        <f t="shared" si="97"/>
        <v>0.8285138435104058</v>
      </c>
      <c r="BD108">
        <f t="shared" si="81"/>
        <v>-132.52965344444863</v>
      </c>
      <c r="BF108">
        <f t="shared" si="82"/>
        <v>4.6604647567034745E-2</v>
      </c>
      <c r="BG108">
        <f t="shared" si="83"/>
        <v>-112.75395255219337</v>
      </c>
      <c r="BH108">
        <f t="shared" si="98"/>
        <v>67.246047447806632</v>
      </c>
      <c r="BI108">
        <f t="shared" si="99"/>
        <v>67.246047447806632</v>
      </c>
      <c r="BJ108">
        <f t="shared" si="84"/>
        <v>37000</v>
      </c>
      <c r="BK108">
        <f t="shared" si="100"/>
        <v>67.246047447806632</v>
      </c>
      <c r="BM108">
        <f t="shared" si="101"/>
        <v>-10.484928335341836</v>
      </c>
      <c r="BN108">
        <f t="shared" si="85"/>
        <v>-160.22429910774474</v>
      </c>
      <c r="BQ108" s="56">
        <f t="shared" si="102"/>
        <v>27.43349378319401</v>
      </c>
      <c r="BR108" s="59"/>
      <c r="BS108" s="59"/>
      <c r="BT108" s="59">
        <v>954.99300000000005</v>
      </c>
      <c r="BU108" s="59">
        <v>15.352499999999999</v>
      </c>
      <c r="BV108" s="59">
        <v>-261.26609999999999</v>
      </c>
      <c r="BW108" s="61"/>
      <c r="BY108" s="59"/>
      <c r="BZ108" s="59"/>
      <c r="CA108" s="59"/>
      <c r="CC108" s="59"/>
    </row>
    <row r="109" spans="1:81" x14ac:dyDescent="0.25">
      <c r="A109">
        <f t="shared" si="106"/>
        <v>37500</v>
      </c>
      <c r="B109">
        <f t="shared" si="86"/>
        <v>37.5</v>
      </c>
      <c r="C109">
        <f t="shared" si="55"/>
        <v>1.0472497278653321</v>
      </c>
      <c r="D109">
        <f t="shared" si="56"/>
        <v>0.30153385108122049</v>
      </c>
      <c r="F109">
        <f t="shared" si="57"/>
        <v>1.854614080412539E-2</v>
      </c>
      <c r="G109">
        <f t="shared" si="58"/>
        <v>4.6747976614156139E-2</v>
      </c>
      <c r="H109">
        <f t="shared" si="59"/>
        <v>-3.0948446733858441</v>
      </c>
      <c r="J109">
        <f t="shared" si="60"/>
        <v>15</v>
      </c>
      <c r="M109">
        <f t="shared" si="61"/>
        <v>3.3925913834000829E-2</v>
      </c>
      <c r="N109">
        <f t="shared" si="62"/>
        <v>-1.5707963250000001</v>
      </c>
      <c r="O109">
        <f t="shared" si="63"/>
        <v>10.940839489323192</v>
      </c>
      <c r="P109">
        <f t="shared" si="64"/>
        <v>1.4792679200059506</v>
      </c>
      <c r="Q109">
        <f t="shared" si="65"/>
        <v>9.672644372500951</v>
      </c>
      <c r="R109">
        <f t="shared" si="66"/>
        <v>1.4672269230754638</v>
      </c>
      <c r="S109">
        <f t="shared" si="67"/>
        <v>0.96035636250530432</v>
      </c>
      <c r="T109">
        <f t="shared" si="68"/>
        <v>-0.28251859660263023</v>
      </c>
      <c r="U109">
        <f t="shared" si="69"/>
        <v>0.97344956094374646</v>
      </c>
      <c r="V109">
        <f t="shared" si="70"/>
        <v>-0.23094919651173559</v>
      </c>
      <c r="X109">
        <f t="shared" si="87"/>
        <v>-0.19463277040642685</v>
      </c>
      <c r="Y109">
        <f t="shared" si="71"/>
        <v>-110.64273960558299</v>
      </c>
      <c r="Z109">
        <f t="shared" si="88"/>
        <v>69.357260394417011</v>
      </c>
      <c r="AC109">
        <v>1</v>
      </c>
      <c r="AD109">
        <f t="shared" si="72"/>
        <v>10.8950433102</v>
      </c>
      <c r="AE109">
        <f t="shared" si="73"/>
        <v>-3.8506261482850493E-4</v>
      </c>
      <c r="AF109">
        <f t="shared" si="74"/>
        <v>1.6375551688124997E-3</v>
      </c>
      <c r="AG109">
        <f t="shared" si="89"/>
        <v>6168.5634475834795</v>
      </c>
      <c r="AH109">
        <f t="shared" si="90"/>
        <v>-2061.1721883603309</v>
      </c>
      <c r="AJ109">
        <f t="shared" si="75"/>
        <v>18000</v>
      </c>
      <c r="AK109">
        <f t="shared" si="76"/>
        <v>5225.0968954800001</v>
      </c>
      <c r="AL109">
        <v>1</v>
      </c>
      <c r="AM109">
        <f t="shared" si="77"/>
        <v>9.6208133313600008</v>
      </c>
      <c r="AN109">
        <f t="shared" si="91"/>
        <v>729.6883924805594</v>
      </c>
      <c r="AO109">
        <f t="shared" si="92"/>
        <v>-1795.0989186356144</v>
      </c>
      <c r="AQ109">
        <f t="shared" si="78"/>
        <v>1.7774617845716316</v>
      </c>
      <c r="AR109">
        <f t="shared" si="79"/>
        <v>-133.30963384287239</v>
      </c>
      <c r="AT109">
        <f t="shared" si="104"/>
        <v>-263809.72392364265</v>
      </c>
      <c r="AU109">
        <f t="shared" si="105"/>
        <v>-825992.58933011256</v>
      </c>
      <c r="AV109">
        <f t="shared" si="93"/>
        <v>-1.8799413868014325</v>
      </c>
      <c r="AW109">
        <f t="shared" si="94"/>
        <v>-230869.51079715087</v>
      </c>
      <c r="AX109">
        <f t="shared" si="95"/>
        <v>-108077.17342750491</v>
      </c>
      <c r="AY109">
        <f t="shared" si="103"/>
        <v>-2.7037637106758203</v>
      </c>
      <c r="BA109">
        <f t="shared" si="80"/>
        <v>3.4015255913209286</v>
      </c>
      <c r="BB109">
        <f t="shared" si="96"/>
        <v>10.633474854323053</v>
      </c>
      <c r="BC109">
        <f t="shared" si="97"/>
        <v>0.82382232387438781</v>
      </c>
      <c r="BD109">
        <f t="shared" si="81"/>
        <v>-132.79845771940236</v>
      </c>
      <c r="BF109">
        <f t="shared" si="82"/>
        <v>-7.8623787665053013E-2</v>
      </c>
      <c r="BG109">
        <f t="shared" si="83"/>
        <v>-112.84337888855272</v>
      </c>
      <c r="BH109">
        <f t="shared" si="98"/>
        <v>67.156621111447279</v>
      </c>
      <c r="BI109">
        <f t="shared" si="99"/>
        <v>67.156621111447279</v>
      </c>
      <c r="BJ109">
        <f t="shared" si="84"/>
        <v>0</v>
      </c>
      <c r="BK109">
        <f t="shared" si="100"/>
        <v>0</v>
      </c>
      <c r="BM109">
        <f t="shared" si="101"/>
        <v>-10.712098641988106</v>
      </c>
      <c r="BN109">
        <f t="shared" si="85"/>
        <v>-160.04492116915037</v>
      </c>
      <c r="BQ109" s="56">
        <f t="shared" si="102"/>
        <v>27.535435654608186</v>
      </c>
      <c r="BR109" s="59"/>
      <c r="BS109" s="59"/>
      <c r="BT109" s="59">
        <v>977.23699999999997</v>
      </c>
      <c r="BU109" s="59">
        <v>15.0807</v>
      </c>
      <c r="BV109" s="59">
        <v>-260.93240000000003</v>
      </c>
      <c r="BW109" s="61"/>
      <c r="BY109" s="59"/>
      <c r="BZ109" s="59"/>
      <c r="CA109" s="59"/>
      <c r="CC109" s="59"/>
    </row>
    <row r="110" spans="1:81" x14ac:dyDescent="0.25">
      <c r="A110">
        <f t="shared" si="106"/>
        <v>38000</v>
      </c>
      <c r="B110">
        <f t="shared" si="86"/>
        <v>38</v>
      </c>
      <c r="C110">
        <f t="shared" si="55"/>
        <v>1.0484887739566193</v>
      </c>
      <c r="D110">
        <f t="shared" si="56"/>
        <v>0.30531053635418676</v>
      </c>
      <c r="F110">
        <f t="shared" si="57"/>
        <v>1.8053015644538605E-2</v>
      </c>
      <c r="G110">
        <f t="shared" si="58"/>
        <v>4.6111268823397944E-2</v>
      </c>
      <c r="H110">
        <f t="shared" si="59"/>
        <v>-3.0954813811766022</v>
      </c>
      <c r="J110">
        <f t="shared" si="60"/>
        <v>15</v>
      </c>
      <c r="M110">
        <f t="shared" si="61"/>
        <v>3.3479520230921871E-2</v>
      </c>
      <c r="N110">
        <f t="shared" si="62"/>
        <v>-1.5707963250000001</v>
      </c>
      <c r="O110">
        <f t="shared" si="63"/>
        <v>11.085506625147218</v>
      </c>
      <c r="P110">
        <f t="shared" si="64"/>
        <v>1.4804656574007462</v>
      </c>
      <c r="Q110">
        <f t="shared" si="65"/>
        <v>9.8002434793346378</v>
      </c>
      <c r="R110">
        <f t="shared" si="66"/>
        <v>1.4685801435846471</v>
      </c>
      <c r="S110">
        <f t="shared" si="67"/>
        <v>0.95935616334702611</v>
      </c>
      <c r="T110">
        <f t="shared" si="68"/>
        <v>-0.28608453460662742</v>
      </c>
      <c r="U110">
        <f t="shared" si="69"/>
        <v>0.97276568429929822</v>
      </c>
      <c r="V110">
        <f t="shared" si="70"/>
        <v>-0.23391810277217046</v>
      </c>
      <c r="X110">
        <f t="shared" si="87"/>
        <v>-0.32070896993377096</v>
      </c>
      <c r="Y110">
        <f t="shared" si="71"/>
        <v>-110.69109202265531</v>
      </c>
      <c r="Z110">
        <f t="shared" si="88"/>
        <v>69.308907977344688</v>
      </c>
      <c r="AC110">
        <v>1</v>
      </c>
      <c r="AD110">
        <f t="shared" si="72"/>
        <v>11.040310554336001</v>
      </c>
      <c r="AE110">
        <f t="shared" si="73"/>
        <v>-3.9539940679990122E-4</v>
      </c>
      <c r="AF110">
        <f t="shared" si="74"/>
        <v>1.65938923773E-3</v>
      </c>
      <c r="AG110">
        <f t="shared" si="89"/>
        <v>6159.8993013996833</v>
      </c>
      <c r="AH110">
        <f t="shared" si="90"/>
        <v>-2070.4126865499002</v>
      </c>
      <c r="AJ110">
        <f t="shared" si="75"/>
        <v>18000</v>
      </c>
      <c r="AK110">
        <f t="shared" si="76"/>
        <v>5294.7648540863993</v>
      </c>
      <c r="AL110">
        <v>1</v>
      </c>
      <c r="AM110">
        <f t="shared" si="77"/>
        <v>9.7490908424447991</v>
      </c>
      <c r="AN110">
        <f t="shared" si="91"/>
        <v>724.86135286554463</v>
      </c>
      <c r="AO110">
        <f t="shared" si="92"/>
        <v>-1771.9743231772302</v>
      </c>
      <c r="AQ110">
        <f t="shared" si="78"/>
        <v>1.7310022503029254</v>
      </c>
      <c r="AR110">
        <f t="shared" si="79"/>
        <v>-131.55617102302233</v>
      </c>
      <c r="AT110">
        <f t="shared" si="104"/>
        <v>-261712.7659276315</v>
      </c>
      <c r="AU110">
        <f t="shared" si="105"/>
        <v>-813956.65499900607</v>
      </c>
      <c r="AV110">
        <f t="shared" si="93"/>
        <v>-1.8818879634884615</v>
      </c>
      <c r="AW110">
        <f t="shared" si="94"/>
        <v>-224736.85942278456</v>
      </c>
      <c r="AX110">
        <f t="shared" si="95"/>
        <v>-105977.20194830433</v>
      </c>
      <c r="AY110">
        <f t="shared" si="103"/>
        <v>-2.7009537376903596</v>
      </c>
      <c r="BA110">
        <f t="shared" si="80"/>
        <v>3.4410317361595011</v>
      </c>
      <c r="BB110">
        <f t="shared" si="96"/>
        <v>10.733773561546121</v>
      </c>
      <c r="BC110">
        <f t="shared" si="97"/>
        <v>0.81906577420189808</v>
      </c>
      <c r="BD110">
        <f t="shared" si="81"/>
        <v>-133.07098794099176</v>
      </c>
      <c r="BF110">
        <f t="shared" si="82"/>
        <v>-0.20213038945173878</v>
      </c>
      <c r="BG110">
        <f t="shared" si="83"/>
        <v>-112.93600165243991</v>
      </c>
      <c r="BH110">
        <f t="shared" si="98"/>
        <v>67.063998347560087</v>
      </c>
      <c r="BI110">
        <f t="shared" si="99"/>
        <v>67.063998347560087</v>
      </c>
      <c r="BJ110">
        <f t="shared" si="84"/>
        <v>0</v>
      </c>
      <c r="BK110">
        <f t="shared" si="100"/>
        <v>0</v>
      </c>
      <c r="BM110">
        <f t="shared" si="101"/>
        <v>-10.935903950997858</v>
      </c>
      <c r="BN110">
        <f t="shared" si="85"/>
        <v>-159.86501371144814</v>
      </c>
      <c r="BQ110" s="56">
        <f t="shared" si="102"/>
        <v>27.635734361831258</v>
      </c>
      <c r="BR110" s="59"/>
      <c r="BS110" s="59"/>
      <c r="BT110" s="59">
        <v>1000</v>
      </c>
      <c r="BU110" s="59">
        <v>14.883800000000001</v>
      </c>
      <c r="BV110" s="59">
        <v>-260.5154</v>
      </c>
      <c r="BW110" s="61"/>
      <c r="BY110" s="59"/>
      <c r="BZ110" s="59"/>
      <c r="CA110" s="59"/>
      <c r="CC110" s="59"/>
    </row>
    <row r="111" spans="1:81" x14ac:dyDescent="0.25">
      <c r="A111">
        <f t="shared" si="106"/>
        <v>38500</v>
      </c>
      <c r="B111">
        <f t="shared" si="86"/>
        <v>38.5</v>
      </c>
      <c r="C111">
        <f t="shared" si="55"/>
        <v>1.0497427395840544</v>
      </c>
      <c r="D111">
        <f t="shared" si="56"/>
        <v>0.30907825241508424</v>
      </c>
      <c r="F111">
        <f t="shared" si="57"/>
        <v>1.7579403686024807E-2</v>
      </c>
      <c r="G111">
        <f t="shared" si="58"/>
        <v>4.5491942262080566E-2</v>
      </c>
      <c r="H111">
        <f t="shared" si="59"/>
        <v>-3.0961007077379197</v>
      </c>
      <c r="J111">
        <f t="shared" si="60"/>
        <v>15</v>
      </c>
      <c r="M111">
        <f t="shared" si="61"/>
        <v>3.3044721266883924E-2</v>
      </c>
      <c r="N111">
        <f t="shared" si="62"/>
        <v>-1.5707963250000001</v>
      </c>
      <c r="O111">
        <f t="shared" si="63"/>
        <v>11.230189254223177</v>
      </c>
      <c r="P111">
        <f t="shared" si="64"/>
        <v>1.4816325346572909</v>
      </c>
      <c r="Q111">
        <f t="shared" si="65"/>
        <v>9.9278600710983067</v>
      </c>
      <c r="R111">
        <f t="shared" si="66"/>
        <v>1.4698985768065516</v>
      </c>
      <c r="S111">
        <f t="shared" si="67"/>
        <v>0.95834589726651509</v>
      </c>
      <c r="T111">
        <f t="shared" si="68"/>
        <v>-0.2896430074393892</v>
      </c>
      <c r="U111">
        <f t="shared" si="69"/>
        <v>0.97207421769262115</v>
      </c>
      <c r="V111">
        <f t="shared" si="70"/>
        <v>-0.23688281438572872</v>
      </c>
      <c r="X111">
        <f t="shared" si="87"/>
        <v>-0.44510388516731619</v>
      </c>
      <c r="Y111">
        <f t="shared" si="71"/>
        <v>-110.74205572868904</v>
      </c>
      <c r="Z111">
        <f t="shared" si="88"/>
        <v>69.257944271310961</v>
      </c>
      <c r="AC111">
        <v>1</v>
      </c>
      <c r="AD111">
        <f t="shared" si="72"/>
        <v>11.185577798472</v>
      </c>
      <c r="AE111">
        <f t="shared" si="73"/>
        <v>-4.0587310992323659E-4</v>
      </c>
      <c r="AF111">
        <f t="shared" si="74"/>
        <v>1.6812233066475001E-3</v>
      </c>
      <c r="AG111">
        <f t="shared" si="89"/>
        <v>6151.1451874260365</v>
      </c>
      <c r="AH111">
        <f t="shared" si="90"/>
        <v>-2079.7858398611174</v>
      </c>
      <c r="AJ111">
        <f t="shared" si="75"/>
        <v>18000</v>
      </c>
      <c r="AK111">
        <f t="shared" si="76"/>
        <v>5364.4328126928003</v>
      </c>
      <c r="AL111">
        <v>1</v>
      </c>
      <c r="AM111">
        <f t="shared" si="77"/>
        <v>9.8773683535295991</v>
      </c>
      <c r="AN111">
        <f t="shared" si="91"/>
        <v>720.21861147621757</v>
      </c>
      <c r="AO111">
        <f t="shared" si="92"/>
        <v>-1749.4317079254201</v>
      </c>
      <c r="AQ111">
        <f t="shared" si="78"/>
        <v>1.6863406408094435</v>
      </c>
      <c r="AR111">
        <f t="shared" si="79"/>
        <v>-129.84822934232716</v>
      </c>
      <c r="AT111">
        <f t="shared" si="104"/>
        <v>-259683.58260013495</v>
      </c>
      <c r="AU111">
        <f t="shared" si="105"/>
        <v>-802222.53840078576</v>
      </c>
      <c r="AV111">
        <f t="shared" si="93"/>
        <v>-1.8838566503980585</v>
      </c>
      <c r="AW111">
        <f t="shared" si="94"/>
        <v>-218838.29374953601</v>
      </c>
      <c r="AX111">
        <f t="shared" si="95"/>
        <v>-103959.11318260268</v>
      </c>
      <c r="AY111">
        <f t="shared" si="103"/>
        <v>-2.6981035905371198</v>
      </c>
      <c r="BA111">
        <f t="shared" si="80"/>
        <v>3.4803524266455894</v>
      </c>
      <c r="BB111">
        <f t="shared" si="96"/>
        <v>10.832464472022336</v>
      </c>
      <c r="BC111">
        <f t="shared" si="97"/>
        <v>0.81424694013906129</v>
      </c>
      <c r="BD111">
        <f t="shared" si="81"/>
        <v>-133.34708679528168</v>
      </c>
      <c r="BF111">
        <f t="shared" si="82"/>
        <v>-0.32396997114294557</v>
      </c>
      <c r="BG111">
        <f t="shared" si="83"/>
        <v>-113.03171107593445</v>
      </c>
      <c r="BH111">
        <f t="shared" si="98"/>
        <v>66.968288924065547</v>
      </c>
      <c r="BI111">
        <f t="shared" si="99"/>
        <v>66.968288924065547</v>
      </c>
      <c r="BJ111">
        <f t="shared" si="84"/>
        <v>0</v>
      </c>
      <c r="BK111">
        <f t="shared" si="100"/>
        <v>0</v>
      </c>
      <c r="BM111">
        <f t="shared" si="101"/>
        <v>-11.15643444316528</v>
      </c>
      <c r="BN111">
        <f t="shared" si="85"/>
        <v>-159.6846242806528</v>
      </c>
      <c r="BQ111" s="56">
        <f t="shared" si="102"/>
        <v>27.734425272307472</v>
      </c>
      <c r="BR111" s="59"/>
      <c r="BS111" s="59"/>
      <c r="BT111" s="59">
        <v>1023.293</v>
      </c>
      <c r="BU111" s="59">
        <v>14.7437</v>
      </c>
      <c r="BV111" s="59">
        <v>-261.12389999999999</v>
      </c>
      <c r="BW111" s="61"/>
      <c r="BY111" s="59"/>
      <c r="BZ111" s="59"/>
      <c r="CA111" s="59"/>
      <c r="CC111" s="59"/>
    </row>
    <row r="112" spans="1:81" x14ac:dyDescent="0.25">
      <c r="A112">
        <f t="shared" si="106"/>
        <v>39000</v>
      </c>
      <c r="B112">
        <f t="shared" si="86"/>
        <v>39</v>
      </c>
      <c r="C112">
        <f t="shared" si="55"/>
        <v>1.0510115713459844</v>
      </c>
      <c r="D112">
        <f t="shared" si="56"/>
        <v>0.31283692458977019</v>
      </c>
      <c r="F112">
        <f t="shared" si="57"/>
        <v>1.7124283622344503E-2</v>
      </c>
      <c r="G112">
        <f t="shared" si="58"/>
        <v>4.488928486882468E-2</v>
      </c>
      <c r="H112">
        <f t="shared" si="59"/>
        <v>-3.0967033651311757</v>
      </c>
      <c r="J112">
        <f t="shared" si="60"/>
        <v>15</v>
      </c>
      <c r="M112">
        <f t="shared" si="61"/>
        <v>3.2621070994231567E-2</v>
      </c>
      <c r="N112">
        <f t="shared" si="62"/>
        <v>-1.5707963250000001</v>
      </c>
      <c r="O112">
        <f t="shared" si="63"/>
        <v>11.374886785352823</v>
      </c>
      <c r="P112">
        <f t="shared" si="64"/>
        <v>1.4827697262315715</v>
      </c>
      <c r="Q112">
        <f t="shared" si="65"/>
        <v>10.055493482076116</v>
      </c>
      <c r="R112">
        <f t="shared" si="66"/>
        <v>1.4711835427230733</v>
      </c>
      <c r="S112">
        <f t="shared" si="67"/>
        <v>0.95732567266632296</v>
      </c>
      <c r="T112">
        <f t="shared" si="68"/>
        <v>-0.29319394868315224</v>
      </c>
      <c r="U112">
        <f t="shared" si="69"/>
        <v>0.97137521372380309</v>
      </c>
      <c r="V112">
        <f t="shared" si="70"/>
        <v>-0.23984328823023121</v>
      </c>
      <c r="X112">
        <f t="shared" si="87"/>
        <v>-0.56786842034120444</v>
      </c>
      <c r="Y112">
        <f t="shared" si="71"/>
        <v>-110.79552660336978</v>
      </c>
      <c r="Z112">
        <f t="shared" si="88"/>
        <v>69.20447339663022</v>
      </c>
      <c r="AC112">
        <v>1</v>
      </c>
      <c r="AD112">
        <f t="shared" si="72"/>
        <v>11.330845042607999</v>
      </c>
      <c r="AE112">
        <f t="shared" si="73"/>
        <v>-4.1648372419851099E-4</v>
      </c>
      <c r="AF112">
        <f t="shared" si="74"/>
        <v>1.7030573755650001E-3</v>
      </c>
      <c r="AG112">
        <f t="shared" si="89"/>
        <v>6142.301975858978</v>
      </c>
      <c r="AH112">
        <f t="shared" si="90"/>
        <v>-2089.2829878248667</v>
      </c>
      <c r="AJ112">
        <f t="shared" si="75"/>
        <v>18000</v>
      </c>
      <c r="AK112">
        <f t="shared" si="76"/>
        <v>5434.1007712991996</v>
      </c>
      <c r="AL112">
        <v>1</v>
      </c>
      <c r="AM112">
        <f t="shared" si="77"/>
        <v>10.005645864614399</v>
      </c>
      <c r="AN112">
        <f t="shared" si="91"/>
        <v>715.75093502561924</v>
      </c>
      <c r="AO112">
        <f t="shared" si="92"/>
        <v>-1727.4496118337768</v>
      </c>
      <c r="AQ112">
        <f t="shared" si="78"/>
        <v>1.6433853738701725</v>
      </c>
      <c r="AR112">
        <f t="shared" si="79"/>
        <v>-128.18405916187345</v>
      </c>
      <c r="AT112">
        <f t="shared" si="104"/>
        <v>-257718.60488821796</v>
      </c>
      <c r="AU112">
        <f t="shared" si="105"/>
        <v>-790778.6969676665</v>
      </c>
      <c r="AV112">
        <f t="shared" si="93"/>
        <v>-1.8858464051155521</v>
      </c>
      <c r="AW112">
        <f t="shared" si="94"/>
        <v>-213162.12089603062</v>
      </c>
      <c r="AX112">
        <f t="shared" si="95"/>
        <v>-102018.42146862159</v>
      </c>
      <c r="AY112">
        <f t="shared" si="103"/>
        <v>-2.6952148419818114</v>
      </c>
      <c r="BA112">
        <f t="shared" si="80"/>
        <v>3.5194847212718119</v>
      </c>
      <c r="BB112">
        <f t="shared" si="96"/>
        <v>10.929581683828411</v>
      </c>
      <c r="BC112">
        <f t="shared" si="97"/>
        <v>0.80936843686625926</v>
      </c>
      <c r="BD112">
        <f t="shared" si="81"/>
        <v>-133.62660444347341</v>
      </c>
      <c r="BF112">
        <f t="shared" si="82"/>
        <v>-0.4441949395375982</v>
      </c>
      <c r="BG112">
        <f t="shared" si="83"/>
        <v>-113.13040239686272</v>
      </c>
      <c r="BH112">
        <f t="shared" si="98"/>
        <v>66.869597603137279</v>
      </c>
      <c r="BI112">
        <f t="shared" si="99"/>
        <v>66.869597603137279</v>
      </c>
      <c r="BJ112">
        <f t="shared" si="84"/>
        <v>0</v>
      </c>
      <c r="BK112">
        <f t="shared" si="100"/>
        <v>0</v>
      </c>
      <c r="BM112">
        <f t="shared" si="101"/>
        <v>-11.373776623366009</v>
      </c>
      <c r="BN112">
        <f t="shared" si="85"/>
        <v>-159.50379795338935</v>
      </c>
      <c r="BQ112" s="56">
        <f t="shared" si="102"/>
        <v>27.831542484113548</v>
      </c>
      <c r="BR112" s="59"/>
      <c r="BS112" s="59"/>
      <c r="BT112" s="59">
        <v>1047.1289999999999</v>
      </c>
      <c r="BU112" s="59">
        <v>14.586600000000001</v>
      </c>
      <c r="BV112" s="59">
        <v>-260.40769999999998</v>
      </c>
      <c r="BW112" s="61"/>
      <c r="BY112" s="59"/>
      <c r="BZ112" s="59"/>
      <c r="CA112" s="59"/>
      <c r="CC112" s="59"/>
    </row>
    <row r="113" spans="1:81" x14ac:dyDescent="0.25">
      <c r="A113">
        <f t="shared" si="106"/>
        <v>39500</v>
      </c>
      <c r="B113">
        <f t="shared" si="86"/>
        <v>39.5</v>
      </c>
      <c r="C113">
        <f t="shared" si="55"/>
        <v>1.0522952154667495</v>
      </c>
      <c r="D113">
        <f t="shared" si="56"/>
        <v>0.316586479584266</v>
      </c>
      <c r="F113">
        <f t="shared" si="57"/>
        <v>1.6686700421343247E-2</v>
      </c>
      <c r="G113">
        <f t="shared" si="58"/>
        <v>4.4302623424765993E-2</v>
      </c>
      <c r="H113">
        <f t="shared" si="59"/>
        <v>-3.0972900265752341</v>
      </c>
      <c r="J113">
        <f t="shared" si="60"/>
        <v>15</v>
      </c>
      <c r="M113">
        <f t="shared" si="61"/>
        <v>3.2208146044937491E-2</v>
      </c>
      <c r="N113">
        <f t="shared" si="62"/>
        <v>-1.5707963250000001</v>
      </c>
      <c r="O113">
        <f t="shared" si="63"/>
        <v>11.519598656982655</v>
      </c>
      <c r="P113">
        <f t="shared" si="64"/>
        <v>1.4838783478807442</v>
      </c>
      <c r="Q113">
        <f t="shared" si="65"/>
        <v>10.183143079842425</v>
      </c>
      <c r="R113">
        <f t="shared" si="66"/>
        <v>1.4724362955854782</v>
      </c>
      <c r="S113">
        <f t="shared" si="67"/>
        <v>0.95629559837662692</v>
      </c>
      <c r="T113">
        <f t="shared" si="68"/>
        <v>-0.296737292960712</v>
      </c>
      <c r="U113">
        <f t="shared" si="69"/>
        <v>0.97066872535876048</v>
      </c>
      <c r="V113">
        <f t="shared" si="70"/>
        <v>-0.24279948160381182</v>
      </c>
      <c r="X113">
        <f t="shared" si="87"/>
        <v>-0.68905121998706731</v>
      </c>
      <c r="Y113">
        <f t="shared" si="71"/>
        <v>-110.85140543477793</v>
      </c>
      <c r="Z113">
        <f t="shared" si="88"/>
        <v>69.148594565222069</v>
      </c>
      <c r="AC113">
        <v>1</v>
      </c>
      <c r="AD113">
        <f t="shared" si="72"/>
        <v>11.476112286744</v>
      </c>
      <c r="AE113">
        <f t="shared" si="73"/>
        <v>-4.2723124962572431E-4</v>
      </c>
      <c r="AF113">
        <f t="shared" si="74"/>
        <v>1.7248914444824999E-3</v>
      </c>
      <c r="AG113">
        <f t="shared" si="89"/>
        <v>6133.3705418326381</v>
      </c>
      <c r="AH113">
        <f t="shared" si="90"/>
        <v>-2098.8958885415204</v>
      </c>
      <c r="AJ113">
        <f t="shared" si="75"/>
        <v>18000</v>
      </c>
      <c r="AK113">
        <f t="shared" si="76"/>
        <v>5503.7687299055997</v>
      </c>
      <c r="AL113">
        <v>1</v>
      </c>
      <c r="AM113">
        <f t="shared" si="77"/>
        <v>10.133923375699199</v>
      </c>
      <c r="AN113">
        <f t="shared" si="91"/>
        <v>711.44965942000692</v>
      </c>
      <c r="AO113">
        <f t="shared" si="92"/>
        <v>-1706.0076043240415</v>
      </c>
      <c r="AQ113">
        <f t="shared" si="78"/>
        <v>1.6020506247997437</v>
      </c>
      <c r="AR113">
        <f t="shared" si="79"/>
        <v>-126.56199935917975</v>
      </c>
      <c r="AT113">
        <f t="shared" si="104"/>
        <v>-255814.4899919056</v>
      </c>
      <c r="AU113">
        <f t="shared" si="105"/>
        <v>-779614.17605466186</v>
      </c>
      <c r="AV113">
        <f t="shared" si="93"/>
        <v>-1.8878562354788087</v>
      </c>
      <c r="AW113">
        <f t="shared" si="94"/>
        <v>-207697.36643610609</v>
      </c>
      <c r="AX113">
        <f t="shared" si="95"/>
        <v>-100150.94932971786</v>
      </c>
      <c r="AY113">
        <f t="shared" si="103"/>
        <v>-2.6922889928015512</v>
      </c>
      <c r="BA113">
        <f t="shared" si="80"/>
        <v>3.5584257168269544</v>
      </c>
      <c r="BB113">
        <f t="shared" si="96"/>
        <v>11.025158084675908</v>
      </c>
      <c r="BC113">
        <f t="shared" si="97"/>
        <v>0.80443275732274255</v>
      </c>
      <c r="BD113">
        <f t="shared" si="81"/>
        <v>-133.9093980506691</v>
      </c>
      <c r="BF113">
        <f t="shared" si="82"/>
        <v>-0.5628554374914666</v>
      </c>
      <c r="BG113">
        <f t="shared" si="83"/>
        <v>-113.23197555236213</v>
      </c>
      <c r="BH113">
        <f t="shared" si="98"/>
        <v>66.76802444763787</v>
      </c>
      <c r="BI113">
        <f t="shared" si="99"/>
        <v>66.76802444763787</v>
      </c>
      <c r="BJ113">
        <f t="shared" si="84"/>
        <v>0</v>
      </c>
      <c r="BK113">
        <f t="shared" si="100"/>
        <v>0</v>
      </c>
      <c r="BM113">
        <f t="shared" si="101"/>
        <v>-11.588013522167373</v>
      </c>
      <c r="BN113">
        <f t="shared" si="85"/>
        <v>-159.32257750169305</v>
      </c>
      <c r="BQ113" s="56">
        <f t="shared" si="102"/>
        <v>27.927118884961043</v>
      </c>
      <c r="BR113" s="59"/>
      <c r="BS113" s="59"/>
      <c r="BT113" s="59">
        <v>1071.519</v>
      </c>
      <c r="BU113" s="59">
        <v>14.3581</v>
      </c>
      <c r="BV113" s="59">
        <v>-260.5301</v>
      </c>
      <c r="BW113" s="61"/>
      <c r="BY113" s="59"/>
      <c r="BZ113" s="59"/>
      <c r="CA113" s="59"/>
      <c r="CC113" s="59"/>
    </row>
    <row r="114" spans="1:81" x14ac:dyDescent="0.25">
      <c r="A114">
        <f t="shared" si="106"/>
        <v>40000</v>
      </c>
      <c r="B114">
        <f t="shared" si="86"/>
        <v>40</v>
      </c>
      <c r="C114">
        <f t="shared" si="55"/>
        <v>1.0535936178065095</v>
      </c>
      <c r="D114">
        <f t="shared" si="56"/>
        <v>0.32032684548512702</v>
      </c>
      <c r="F114">
        <f t="shared" si="57"/>
        <v>1.6265760207063475E-2</v>
      </c>
      <c r="G114">
        <f t="shared" si="58"/>
        <v>4.373132091336928E-2</v>
      </c>
      <c r="H114">
        <f t="shared" si="59"/>
        <v>-3.0978613290866308</v>
      </c>
      <c r="J114">
        <f t="shared" si="60"/>
        <v>15</v>
      </c>
      <c r="M114">
        <f t="shared" si="61"/>
        <v>3.1805544219375773E-2</v>
      </c>
      <c r="N114">
        <f t="shared" si="62"/>
        <v>-1.5707963250000001</v>
      </c>
      <c r="O114">
        <f t="shared" si="63"/>
        <v>11.664324335372221</v>
      </c>
      <c r="P114">
        <f t="shared" si="64"/>
        <v>1.4849594602759375</v>
      </c>
      <c r="Q114">
        <f t="shared" si="65"/>
        <v>10.31080826321149</v>
      </c>
      <c r="R114">
        <f t="shared" si="66"/>
        <v>1.4736580279424216</v>
      </c>
      <c r="S114">
        <f t="shared" si="67"/>
        <v>0.95525578362733343</v>
      </c>
      <c r="T114">
        <f t="shared" si="68"/>
        <v>-0.30027297593733054</v>
      </c>
      <c r="U114">
        <f t="shared" si="69"/>
        <v>0.96995480591903827</v>
      </c>
      <c r="V114">
        <f t="shared" si="70"/>
        <v>-0.24575135222724817</v>
      </c>
      <c r="X114">
        <f t="shared" si="87"/>
        <v>-0.80869880165918961</v>
      </c>
      <c r="Y114">
        <f t="shared" si="71"/>
        <v>-110.90959763309549</v>
      </c>
      <c r="Z114">
        <f t="shared" si="88"/>
        <v>69.090402366904513</v>
      </c>
      <c r="AC114">
        <v>1</v>
      </c>
      <c r="AD114">
        <f t="shared" si="72"/>
        <v>11.621379530880001</v>
      </c>
      <c r="AE114">
        <f t="shared" si="73"/>
        <v>-4.3811568620487671E-4</v>
      </c>
      <c r="AF114">
        <f t="shared" si="74"/>
        <v>1.7467255134E-3</v>
      </c>
      <c r="AG114">
        <f t="shared" si="89"/>
        <v>6124.3517652215696</v>
      </c>
      <c r="AH114">
        <f t="shared" si="90"/>
        <v>-2108.6166933067798</v>
      </c>
      <c r="AJ114">
        <f t="shared" si="75"/>
        <v>18000</v>
      </c>
      <c r="AK114">
        <f t="shared" si="76"/>
        <v>5573.4366885119998</v>
      </c>
      <c r="AL114">
        <v>1</v>
      </c>
      <c r="AM114">
        <f t="shared" si="77"/>
        <v>10.262200886783999</v>
      </c>
      <c r="AN114">
        <f t="shared" si="91"/>
        <v>707.30664830205819</v>
      </c>
      <c r="AO114">
        <f t="shared" si="92"/>
        <v>-1685.0862249215995</v>
      </c>
      <c r="AQ114">
        <f t="shared" si="78"/>
        <v>1.562255897516013</v>
      </c>
      <c r="AR114">
        <f t="shared" si="79"/>
        <v>-124.98047180128106</v>
      </c>
      <c r="AT114">
        <f t="shared" si="104"/>
        <v>-253968.10451385847</v>
      </c>
      <c r="AU114">
        <f t="shared" si="105"/>
        <v>-768718.57195911952</v>
      </c>
      <c r="AV114">
        <f t="shared" si="93"/>
        <v>-1.8898851965217418</v>
      </c>
      <c r="AW114">
        <f t="shared" si="94"/>
        <v>-202433.72226763531</v>
      </c>
      <c r="AX114">
        <f t="shared" si="95"/>
        <v>-98352.802384242241</v>
      </c>
      <c r="AY114">
        <f t="shared" si="103"/>
        <v>-2.6893274763457549</v>
      </c>
      <c r="BA114">
        <f t="shared" si="80"/>
        <v>3.5971725477649503</v>
      </c>
      <c r="BB114">
        <f t="shared" si="96"/>
        <v>11.119225407717959</v>
      </c>
      <c r="BC114">
        <f t="shared" si="97"/>
        <v>0.79944227982401306</v>
      </c>
      <c r="BD114">
        <f t="shared" si="81"/>
        <v>-134.19533134942802</v>
      </c>
      <c r="BF114">
        <f t="shared" si="82"/>
        <v>-0.67999947593820009</v>
      </c>
      <c r="BG114">
        <f t="shared" si="83"/>
        <v>-113.33633489368786</v>
      </c>
      <c r="BH114">
        <f t="shared" si="98"/>
        <v>66.663665106312138</v>
      </c>
      <c r="BI114">
        <f t="shared" si="99"/>
        <v>66.663665106312138</v>
      </c>
      <c r="BJ114">
        <f t="shared" si="84"/>
        <v>0</v>
      </c>
      <c r="BK114">
        <f t="shared" si="100"/>
        <v>0</v>
      </c>
      <c r="BM114">
        <f t="shared" si="101"/>
        <v>-11.79922488365616</v>
      </c>
      <c r="BN114">
        <f t="shared" si="85"/>
        <v>-159.14100354425983</v>
      </c>
      <c r="BQ114" s="56">
        <f t="shared" si="102"/>
        <v>28.021186208003094</v>
      </c>
      <c r="BR114" s="59"/>
      <c r="BS114" s="59"/>
      <c r="BT114" s="59">
        <v>1096.4780000000001</v>
      </c>
      <c r="BU114" s="59">
        <v>14.1501</v>
      </c>
      <c r="BV114" s="59">
        <v>-260.5471</v>
      </c>
      <c r="BW114" s="61"/>
      <c r="BY114" s="59"/>
      <c r="BZ114" s="59"/>
      <c r="CA114" s="59"/>
      <c r="CC114" s="59"/>
    </row>
    <row r="115" spans="1:81" x14ac:dyDescent="0.25">
      <c r="A115">
        <f t="shared" si="106"/>
        <v>40500</v>
      </c>
      <c r="B115">
        <f t="shared" si="86"/>
        <v>40.5</v>
      </c>
      <c r="C115">
        <f t="shared" si="55"/>
        <v>1.0549067238710461</v>
      </c>
      <c r="D115">
        <f t="shared" si="56"/>
        <v>0.32405795175938035</v>
      </c>
      <c r="F115">
        <f t="shared" si="57"/>
        <v>1.5860625599037104E-2</v>
      </c>
      <c r="G115">
        <f t="shared" si="58"/>
        <v>4.3174774094549694E-2</v>
      </c>
      <c r="H115">
        <f t="shared" si="59"/>
        <v>-3.0984178759054504</v>
      </c>
      <c r="J115">
        <f t="shared" si="60"/>
        <v>15</v>
      </c>
      <c r="M115">
        <f t="shared" si="61"/>
        <v>3.1412883179630396E-2</v>
      </c>
      <c r="N115">
        <f t="shared" si="62"/>
        <v>-1.5707963250000001</v>
      </c>
      <c r="O115">
        <f t="shared" si="63"/>
        <v>11.809063312896345</v>
      </c>
      <c r="P115">
        <f t="shared" si="64"/>
        <v>1.4860140723521247</v>
      </c>
      <c r="Q115">
        <f t="shared" si="65"/>
        <v>10.438488460336497</v>
      </c>
      <c r="R115">
        <f t="shared" si="66"/>
        <v>1.4748498743762932</v>
      </c>
      <c r="S115">
        <f t="shared" si="67"/>
        <v>0.95420633802037436</v>
      </c>
      <c r="T115">
        <f t="shared" si="68"/>
        <v>-0.30380093432233873</v>
      </c>
      <c r="U115">
        <f t="shared" si="69"/>
        <v>0.96923350907160755</v>
      </c>
      <c r="V115">
        <f t="shared" si="70"/>
        <v>-0.24869885824619734</v>
      </c>
      <c r="X115">
        <f t="shared" si="87"/>
        <v>-0.92685567899481736</v>
      </c>
      <c r="Y115">
        <f t="shared" si="71"/>
        <v>-110.97001296381116</v>
      </c>
      <c r="Z115">
        <f t="shared" si="88"/>
        <v>69.029987036188842</v>
      </c>
      <c r="AC115">
        <v>1</v>
      </c>
      <c r="AD115">
        <f t="shared" si="72"/>
        <v>11.766646775016</v>
      </c>
      <c r="AE115">
        <f t="shared" si="73"/>
        <v>-4.4913703393596814E-4</v>
      </c>
      <c r="AF115">
        <f t="shared" si="74"/>
        <v>1.7685595823175001E-3</v>
      </c>
      <c r="AG115">
        <f t="shared" si="89"/>
        <v>6115.246530443902</v>
      </c>
      <c r="AH115">
        <f t="shared" si="90"/>
        <v>-2118.4379231155526</v>
      </c>
      <c r="AJ115">
        <f t="shared" si="75"/>
        <v>18000</v>
      </c>
      <c r="AK115">
        <f t="shared" si="76"/>
        <v>5643.1046471184</v>
      </c>
      <c r="AL115">
        <v>1</v>
      </c>
      <c r="AM115">
        <f t="shared" si="77"/>
        <v>10.390478397868799</v>
      </c>
      <c r="AN115">
        <f t="shared" si="91"/>
        <v>703.31425506316054</v>
      </c>
      <c r="AO115">
        <f t="shared" si="92"/>
        <v>-1664.6669270285552</v>
      </c>
      <c r="AQ115">
        <f t="shared" si="78"/>
        <v>1.5239256324291375</v>
      </c>
      <c r="AR115">
        <f t="shared" si="79"/>
        <v>-123.43797622676013</v>
      </c>
      <c r="AT115">
        <f t="shared" si="104"/>
        <v>-252176.50905503787</v>
      </c>
      <c r="AU115">
        <f t="shared" si="105"/>
        <v>-758081.99769745744</v>
      </c>
      <c r="AV115">
        <f t="shared" si="93"/>
        <v>-1.8919323876396412</v>
      </c>
      <c r="AW115">
        <f t="shared" si="94"/>
        <v>-197361.49882457353</v>
      </c>
      <c r="AX115">
        <f t="shared" si="95"/>
        <v>-96620.346595467709</v>
      </c>
      <c r="AY115">
        <f t="shared" si="103"/>
        <v>-2.6863316627627443</v>
      </c>
      <c r="BA115">
        <f t="shared" si="80"/>
        <v>3.6357223856865017</v>
      </c>
      <c r="BB115">
        <f t="shared" si="96"/>
        <v>11.211814284357235</v>
      </c>
      <c r="BC115">
        <f t="shared" si="97"/>
        <v>0.79439927512310304</v>
      </c>
      <c r="BD115">
        <f t="shared" si="81"/>
        <v>-134.48427423518496</v>
      </c>
      <c r="BF115">
        <f t="shared" si="82"/>
        <v>-0.79567305625040263</v>
      </c>
      <c r="BG115">
        <f t="shared" si="83"/>
        <v>-113.44338892062724</v>
      </c>
      <c r="BH115">
        <f t="shared" si="98"/>
        <v>66.556611079372757</v>
      </c>
      <c r="BI115">
        <f t="shared" si="99"/>
        <v>66.556611079372757</v>
      </c>
      <c r="BJ115">
        <f t="shared" si="84"/>
        <v>0</v>
      </c>
      <c r="BK115">
        <f t="shared" si="100"/>
        <v>0</v>
      </c>
      <c r="BM115">
        <f t="shared" si="101"/>
        <v>-12.007487340607639</v>
      </c>
      <c r="BN115">
        <f t="shared" si="85"/>
        <v>-158.95911468544227</v>
      </c>
      <c r="BQ115" s="56">
        <f t="shared" si="102"/>
        <v>28.11377508464237</v>
      </c>
      <c r="BR115" s="59"/>
      <c r="BS115" s="59"/>
      <c r="BT115" s="59">
        <v>1122.018</v>
      </c>
      <c r="BU115" s="59">
        <v>13.9679</v>
      </c>
      <c r="BV115" s="59">
        <v>-259.93099999999998</v>
      </c>
      <c r="BW115" s="61"/>
      <c r="BY115" s="59"/>
      <c r="BZ115" s="59"/>
      <c r="CA115" s="59"/>
      <c r="CC115" s="59"/>
    </row>
    <row r="116" spans="1:81" x14ac:dyDescent="0.25">
      <c r="A116">
        <f t="shared" si="106"/>
        <v>41000</v>
      </c>
      <c r="B116">
        <f t="shared" si="86"/>
        <v>41</v>
      </c>
      <c r="C116">
        <f t="shared" si="55"/>
        <v>1.0562344788215428</v>
      </c>
      <c r="D116">
        <f t="shared" si="56"/>
        <v>0.32777972925403748</v>
      </c>
      <c r="F116">
        <f t="shared" si="57"/>
        <v>1.5470511462488267E-2</v>
      </c>
      <c r="G116">
        <f t="shared" si="58"/>
        <v>4.2632411272934795E-2</v>
      </c>
      <c r="H116">
        <f t="shared" si="59"/>
        <v>-3.0989602387270656</v>
      </c>
      <c r="J116">
        <f t="shared" si="60"/>
        <v>15</v>
      </c>
      <c r="M116">
        <f t="shared" si="61"/>
        <v>3.1029799238415392E-2</v>
      </c>
      <c r="N116">
        <f t="shared" si="62"/>
        <v>-1.5707963250000001</v>
      </c>
      <c r="O116">
        <f t="shared" si="63"/>
        <v>11.95381510646998</v>
      </c>
      <c r="P116">
        <f t="shared" si="64"/>
        <v>1.4870431444170658</v>
      </c>
      <c r="Q116">
        <f t="shared" si="65"/>
        <v>10.566183126945429</v>
      </c>
      <c r="R116">
        <f t="shared" si="66"/>
        <v>1.4760129149721515</v>
      </c>
      <c r="S116">
        <f t="shared" si="67"/>
        <v>0.95314737150220252</v>
      </c>
      <c r="T116">
        <f t="shared" si="68"/>
        <v>-0.30732110587043676</v>
      </c>
      <c r="U116">
        <f t="shared" si="69"/>
        <v>0.96850488881866592</v>
      </c>
      <c r="V116">
        <f t="shared" si="70"/>
        <v>-0.25164195823333685</v>
      </c>
      <c r="X116">
        <f t="shared" si="87"/>
        <v>-1.0435644759430172</v>
      </c>
      <c r="Y116">
        <f t="shared" si="71"/>
        <v>-111.03256529893054</v>
      </c>
      <c r="Z116">
        <f t="shared" si="88"/>
        <v>68.967434701069465</v>
      </c>
      <c r="AC116">
        <v>1</v>
      </c>
      <c r="AD116">
        <f t="shared" si="72"/>
        <v>11.911914019152</v>
      </c>
      <c r="AE116">
        <f t="shared" si="73"/>
        <v>-4.6029529281899865E-4</v>
      </c>
      <c r="AF116">
        <f t="shared" si="74"/>
        <v>1.7903936512349999E-3</v>
      </c>
      <c r="AG116">
        <f t="shared" si="89"/>
        <v>6106.055726264929</v>
      </c>
      <c r="AH116">
        <f t="shared" si="90"/>
        <v>-2128.3524468832447</v>
      </c>
      <c r="AJ116">
        <f t="shared" si="75"/>
        <v>18000</v>
      </c>
      <c r="AK116">
        <f t="shared" si="76"/>
        <v>5712.7726057248001</v>
      </c>
      <c r="AL116">
        <v>1</v>
      </c>
      <c r="AM116">
        <f t="shared" si="77"/>
        <v>10.518755908953599</v>
      </c>
      <c r="AN116">
        <f t="shared" si="91"/>
        <v>699.46528799801308</v>
      </c>
      <c r="AO116">
        <f t="shared" si="92"/>
        <v>-1644.7320255122297</v>
      </c>
      <c r="AQ116">
        <f t="shared" si="78"/>
        <v>1.486988847583643</v>
      </c>
      <c r="AR116">
        <f t="shared" si="79"/>
        <v>-121.93308550185874</v>
      </c>
      <c r="AT116">
        <f t="shared" si="104"/>
        <v>-250436.94411622474</v>
      </c>
      <c r="AU116">
        <f t="shared" si="105"/>
        <v>-747695.05130201846</v>
      </c>
      <c r="AV116">
        <f t="shared" si="93"/>
        <v>-1.8939969499578122</v>
      </c>
      <c r="AW116">
        <f t="shared" si="94"/>
        <v>-192471.58122518237</v>
      </c>
      <c r="AX116">
        <f t="shared" si="95"/>
        <v>-94950.187617043543</v>
      </c>
      <c r="AY116">
        <f t="shared" si="103"/>
        <v>-2.683302862919847</v>
      </c>
      <c r="BA116">
        <f t="shared" si="80"/>
        <v>3.674072438923643</v>
      </c>
      <c r="BB116">
        <f t="shared" si="96"/>
        <v>11.302954294238884</v>
      </c>
      <c r="BC116">
        <f t="shared" si="97"/>
        <v>0.78930591296203478</v>
      </c>
      <c r="BD116">
        <f t="shared" si="81"/>
        <v>-134.77610239087926</v>
      </c>
      <c r="BF116">
        <f t="shared" si="82"/>
        <v>-0.9099202837746363</v>
      </c>
      <c r="BG116">
        <f t="shared" si="83"/>
        <v>-113.55305003402613</v>
      </c>
      <c r="BH116">
        <f t="shared" si="98"/>
        <v>66.446949965973872</v>
      </c>
      <c r="BI116">
        <f t="shared" si="99"/>
        <v>66.446949965973872</v>
      </c>
      <c r="BJ116">
        <f t="shared" si="84"/>
        <v>0</v>
      </c>
      <c r="BK116">
        <f t="shared" si="100"/>
        <v>0</v>
      </c>
      <c r="BM116">
        <f t="shared" si="101"/>
        <v>-12.212874578013519</v>
      </c>
      <c r="BN116">
        <f t="shared" si="85"/>
        <v>-158.77694764314685</v>
      </c>
      <c r="BQ116" s="56">
        <f t="shared" si="102"/>
        <v>28.204915094524022</v>
      </c>
      <c r="BR116" s="59"/>
      <c r="BS116" s="59"/>
      <c r="BT116" s="59">
        <v>1148.154</v>
      </c>
      <c r="BU116" s="59">
        <v>13.7508</v>
      </c>
      <c r="BV116" s="59">
        <v>-259.94799999999998</v>
      </c>
      <c r="BW116" s="61"/>
      <c r="BY116" s="59"/>
      <c r="BZ116" s="59"/>
      <c r="CA116" s="59"/>
      <c r="CC116" s="59"/>
    </row>
    <row r="117" spans="1:81" x14ac:dyDescent="0.25">
      <c r="A117">
        <f t="shared" si="106"/>
        <v>41500</v>
      </c>
      <c r="B117">
        <f t="shared" si="86"/>
        <v>41.5</v>
      </c>
      <c r="C117">
        <f t="shared" si="55"/>
        <v>1.0575768274843333</v>
      </c>
      <c r="D117">
        <f t="shared" si="56"/>
        <v>0.33149211019518821</v>
      </c>
      <c r="F117">
        <f t="shared" si="57"/>
        <v>1.509468102839745E-2</v>
      </c>
      <c r="G117">
        <f t="shared" si="58"/>
        <v>4.2103690242253265E-2</v>
      </c>
      <c r="H117">
        <f t="shared" si="59"/>
        <v>-3.0994889597577471</v>
      </c>
      <c r="J117">
        <f t="shared" si="60"/>
        <v>15</v>
      </c>
      <c r="M117">
        <f t="shared" si="61"/>
        <v>3.0655946235542918E-2</v>
      </c>
      <c r="N117">
        <f t="shared" si="62"/>
        <v>-1.5707963250000001</v>
      </c>
      <c r="O117">
        <f t="shared" si="63"/>
        <v>12.098579256085534</v>
      </c>
      <c r="P117">
        <f t="shared" si="64"/>
        <v>1.4880475910392497</v>
      </c>
      <c r="Q117">
        <f t="shared" si="65"/>
        <v>10.693891744702421</v>
      </c>
      <c r="R117">
        <f t="shared" si="66"/>
        <v>1.477148178541245</v>
      </c>
      <c r="S117">
        <f t="shared" si="67"/>
        <v>0.9520789943364999</v>
      </c>
      <c r="T117">
        <f t="shared" si="68"/>
        <v>-0.31083342938269665</v>
      </c>
      <c r="U117">
        <f t="shared" si="69"/>
        <v>0.96776899948744266</v>
      </c>
      <c r="V117">
        <f t="shared" si="70"/>
        <v>-0.25458061119041131</v>
      </c>
      <c r="X117">
        <f t="shared" si="87"/>
        <v>-1.1588660329130533</v>
      </c>
      <c r="Y117">
        <f t="shared" si="71"/>
        <v>-111.09717238481922</v>
      </c>
      <c r="Z117">
        <f t="shared" si="88"/>
        <v>68.902827615180783</v>
      </c>
      <c r="AC117">
        <v>1</v>
      </c>
      <c r="AD117">
        <f t="shared" si="72"/>
        <v>12.057181263288001</v>
      </c>
      <c r="AE117">
        <f t="shared" si="73"/>
        <v>-4.7159046285396813E-4</v>
      </c>
      <c r="AF117">
        <f t="shared" si="74"/>
        <v>1.8122277201524999E-3</v>
      </c>
      <c r="AG117">
        <f t="shared" si="89"/>
        <v>6096.780245601246</v>
      </c>
      <c r="AH117">
        <f t="shared" si="90"/>
        <v>-2138.3534612393651</v>
      </c>
      <c r="AJ117">
        <f t="shared" si="75"/>
        <v>18000</v>
      </c>
      <c r="AK117">
        <f t="shared" si="76"/>
        <v>5782.4405643311993</v>
      </c>
      <c r="AL117">
        <v>1</v>
      </c>
      <c r="AM117">
        <f t="shared" si="77"/>
        <v>10.647033420038399</v>
      </c>
      <c r="AN117">
        <f t="shared" si="91"/>
        <v>695.75297830888951</v>
      </c>
      <c r="AO117">
        <f t="shared" si="92"/>
        <v>-1625.2646478147997</v>
      </c>
      <c r="AQ117">
        <f t="shared" si="78"/>
        <v>1.4513788098693758</v>
      </c>
      <c r="AR117">
        <f t="shared" si="79"/>
        <v>-120.4644412191582</v>
      </c>
      <c r="AT117">
        <f t="shared" si="104"/>
        <v>-248746.81718035712</v>
      </c>
      <c r="AU117">
        <f t="shared" si="105"/>
        <v>-737548.78642400983</v>
      </c>
      <c r="AV117">
        <f t="shared" si="93"/>
        <v>-1.8960780638867687</v>
      </c>
      <c r="AW117">
        <f t="shared" si="94"/>
        <v>-187755.38899163241</v>
      </c>
      <c r="AX117">
        <f t="shared" si="95"/>
        <v>-93339.152017619577</v>
      </c>
      <c r="AY117">
        <f t="shared" si="103"/>
        <v>-2.6802423320421553</v>
      </c>
      <c r="BA117">
        <f t="shared" si="80"/>
        <v>3.7122199522184083</v>
      </c>
      <c r="BB117">
        <f t="shared" si="96"/>
        <v>11.392674012599961</v>
      </c>
      <c r="BC117">
        <f t="shared" si="97"/>
        <v>0.78416426815538665</v>
      </c>
      <c r="BD117">
        <f t="shared" si="81"/>
        <v>-135.07069693839219</v>
      </c>
      <c r="BF117">
        <f t="shared" si="82"/>
        <v>-1.0227834732917793</v>
      </c>
      <c r="BG117">
        <f t="shared" si="83"/>
        <v>-113.66523430505575</v>
      </c>
      <c r="BH117">
        <f t="shared" si="98"/>
        <v>66.334765694944252</v>
      </c>
      <c r="BI117">
        <f t="shared" si="99"/>
        <v>66.334765694944252</v>
      </c>
      <c r="BJ117">
        <f t="shared" si="84"/>
        <v>0</v>
      </c>
      <c r="BK117">
        <f t="shared" si="100"/>
        <v>0</v>
      </c>
      <c r="BM117">
        <f t="shared" si="101"/>
        <v>-12.415457485891743</v>
      </c>
      <c r="BN117">
        <f t="shared" si="85"/>
        <v>-158.59453736666356</v>
      </c>
      <c r="BQ117" s="56">
        <f t="shared" si="102"/>
        <v>28.2946348128851</v>
      </c>
      <c r="BR117" s="59"/>
      <c r="BS117" s="59"/>
      <c r="BT117" s="59">
        <v>1174.8979999999999</v>
      </c>
      <c r="BU117" s="59">
        <v>13.6038</v>
      </c>
      <c r="BV117" s="59">
        <v>-260.19870000000003</v>
      </c>
      <c r="BW117" s="61"/>
      <c r="BY117" s="59"/>
      <c r="BZ117" s="59"/>
      <c r="CA117" s="59"/>
      <c r="CC117" s="59"/>
    </row>
    <row r="118" spans="1:81" x14ac:dyDescent="0.25">
      <c r="A118">
        <f t="shared" si="106"/>
        <v>42000</v>
      </c>
      <c r="B118">
        <f t="shared" si="86"/>
        <v>42</v>
      </c>
      <c r="C118">
        <f t="shared" si="55"/>
        <v>1.0589337143606188</v>
      </c>
      <c r="D118">
        <f t="shared" si="56"/>
        <v>0.33519502818668184</v>
      </c>
      <c r="F118">
        <f t="shared" si="57"/>
        <v>1.4732442346951299E-2</v>
      </c>
      <c r="G118">
        <f t="shared" si="58"/>
        <v>4.1588096389732092E-2</v>
      </c>
      <c r="H118">
        <f t="shared" si="59"/>
        <v>-3.1000045536102681</v>
      </c>
      <c r="J118">
        <f t="shared" si="60"/>
        <v>15</v>
      </c>
      <c r="M118">
        <f t="shared" si="61"/>
        <v>3.0290994494643595E-2</v>
      </c>
      <c r="N118">
        <f t="shared" si="62"/>
        <v>-1.5707963250000001</v>
      </c>
      <c r="O118">
        <f t="shared" si="63"/>
        <v>12.243355323453377</v>
      </c>
      <c r="P118">
        <f t="shared" si="64"/>
        <v>1.4890282837329052</v>
      </c>
      <c r="Q118">
        <f t="shared" si="65"/>
        <v>10.821613819684343</v>
      </c>
      <c r="R118">
        <f t="shared" si="66"/>
        <v>1.4782566456190827</v>
      </c>
      <c r="S118">
        <f t="shared" si="67"/>
        <v>0.95100131707710711</v>
      </c>
      <c r="T118">
        <f t="shared" si="68"/>
        <v>-0.3143378447072695</v>
      </c>
      <c r="U118">
        <f t="shared" si="69"/>
        <v>0.96702589572001341</v>
      </c>
      <c r="V118">
        <f t="shared" si="70"/>
        <v>-0.25751477655018468</v>
      </c>
      <c r="X118">
        <f t="shared" si="87"/>
        <v>-1.2727995055198313</v>
      </c>
      <c r="Y118">
        <f t="shared" si="71"/>
        <v>-111.16375562542439</v>
      </c>
      <c r="Z118">
        <f t="shared" si="88"/>
        <v>68.836244374575614</v>
      </c>
      <c r="AC118">
        <v>1</v>
      </c>
      <c r="AD118">
        <f t="shared" si="72"/>
        <v>12.202448507424</v>
      </c>
      <c r="AE118">
        <f t="shared" si="73"/>
        <v>-4.8302254404087664E-4</v>
      </c>
      <c r="AF118">
        <f t="shared" si="74"/>
        <v>1.83406178907E-3</v>
      </c>
      <c r="AG118">
        <f t="shared" si="89"/>
        <v>6087.4209853254906</v>
      </c>
      <c r="AH118">
        <f t="shared" si="90"/>
        <v>-2148.4344717621443</v>
      </c>
      <c r="AJ118">
        <f t="shared" si="75"/>
        <v>18000</v>
      </c>
      <c r="AK118">
        <f t="shared" si="76"/>
        <v>5852.1085229376004</v>
      </c>
      <c r="AL118">
        <v>1</v>
      </c>
      <c r="AM118">
        <f t="shared" si="77"/>
        <v>10.775310931123201</v>
      </c>
      <c r="AN118">
        <f t="shared" si="91"/>
        <v>692.1709506971182</v>
      </c>
      <c r="AO118">
        <f t="shared" si="92"/>
        <v>-1606.2486883149963</v>
      </c>
      <c r="AQ118">
        <f t="shared" si="78"/>
        <v>1.4170327334561428</v>
      </c>
      <c r="AR118">
        <f t="shared" si="79"/>
        <v>-119.03074961031599</v>
      </c>
      <c r="AT118">
        <f t="shared" si="104"/>
        <v>-247103.69086395722</v>
      </c>
      <c r="AU118">
        <f t="shared" si="105"/>
        <v>-727634.68504903407</v>
      </c>
      <c r="AV118">
        <f t="shared" si="93"/>
        <v>-1.8981749468487628</v>
      </c>
      <c r="AW118">
        <f t="shared" si="94"/>
        <v>-183204.83901363632</v>
      </c>
      <c r="AX118">
        <f t="shared" si="95"/>
        <v>-91784.270192928569</v>
      </c>
      <c r="AY118">
        <f t="shared" si="103"/>
        <v>-2.6771512730927736</v>
      </c>
      <c r="BA118">
        <f t="shared" si="80"/>
        <v>3.7501622064875368</v>
      </c>
      <c r="BB118">
        <f t="shared" si="96"/>
        <v>11.481001055135444</v>
      </c>
      <c r="BC118">
        <f t="shared" si="97"/>
        <v>0.77897632624401081</v>
      </c>
      <c r="BD118">
        <f t="shared" si="81"/>
        <v>-135.36794411461273</v>
      </c>
      <c r="BF118">
        <f t="shared" si="82"/>
        <v>-1.1343032470807166</v>
      </c>
      <c r="BG118">
        <f t="shared" si="83"/>
        <v>-113.77986125996428</v>
      </c>
      <c r="BH118">
        <f t="shared" si="98"/>
        <v>66.220138740035722</v>
      </c>
      <c r="BI118">
        <f t="shared" si="99"/>
        <v>66.220138740035722</v>
      </c>
      <c r="BJ118">
        <f t="shared" si="84"/>
        <v>0</v>
      </c>
      <c r="BK118">
        <f t="shared" si="100"/>
        <v>0</v>
      </c>
      <c r="BM118">
        <f t="shared" si="101"/>
        <v>-12.615304302216162</v>
      </c>
      <c r="BN118">
        <f t="shared" si="85"/>
        <v>-158.41191714535157</v>
      </c>
      <c r="BQ118" s="56">
        <f t="shared" si="102"/>
        <v>28.382961855420582</v>
      </c>
      <c r="BR118" s="59"/>
      <c r="BS118" s="59"/>
      <c r="BT118" s="59">
        <v>1202.2639999999999</v>
      </c>
      <c r="BU118" s="59">
        <v>13.412800000000001</v>
      </c>
      <c r="BV118" s="59">
        <v>-259.34100000000001</v>
      </c>
      <c r="BW118" s="61"/>
      <c r="BY118" s="59"/>
      <c r="BZ118" s="59"/>
      <c r="CA118" s="59"/>
      <c r="CC118" s="59"/>
    </row>
    <row r="119" spans="1:81" x14ac:dyDescent="0.25">
      <c r="A119">
        <f t="shared" si="106"/>
        <v>42500</v>
      </c>
      <c r="B119">
        <f t="shared" si="86"/>
        <v>42.5</v>
      </c>
      <c r="C119">
        <f t="shared" si="55"/>
        <v>1.0603050836361505</v>
      </c>
      <c r="D119">
        <f t="shared" si="56"/>
        <v>0.33888841820840349</v>
      </c>
      <c r="F119">
        <f t="shared" si="57"/>
        <v>1.4383145041914456E-2</v>
      </c>
      <c r="G119">
        <f t="shared" si="58"/>
        <v>4.1085140946057787E-2</v>
      </c>
      <c r="H119">
        <f t="shared" si="59"/>
        <v>-3.1005075090539425</v>
      </c>
      <c r="J119">
        <f t="shared" si="60"/>
        <v>15</v>
      </c>
      <c r="M119">
        <f t="shared" si="61"/>
        <v>2.993462985353014E-2</v>
      </c>
      <c r="N119">
        <f t="shared" si="62"/>
        <v>-1.5707963250000001</v>
      </c>
      <c r="O119">
        <f t="shared" si="63"/>
        <v>12.38814289073721</v>
      </c>
      <c r="P119">
        <f t="shared" si="64"/>
        <v>1.4899860534564895</v>
      </c>
      <c r="Q119">
        <f t="shared" si="65"/>
        <v>10.949348880963283</v>
      </c>
      <c r="R119">
        <f t="shared" si="66"/>
        <v>1.4793392512561743</v>
      </c>
      <c r="S119">
        <f t="shared" si="67"/>
        <v>0.94991445054118751</v>
      </c>
      <c r="T119">
        <f t="shared" si="68"/>
        <v>-0.31783429273980185</v>
      </c>
      <c r="U119">
        <f t="shared" si="69"/>
        <v>0.96627563246312509</v>
      </c>
      <c r="V119">
        <f t="shared" si="70"/>
        <v>-0.26044441417829867</v>
      </c>
      <c r="X119">
        <f t="shared" si="87"/>
        <v>-1.3854024565386138</v>
      </c>
      <c r="Y119">
        <f t="shared" si="71"/>
        <v>-111.23223987972332</v>
      </c>
      <c r="Z119">
        <f t="shared" si="88"/>
        <v>68.767760120276677</v>
      </c>
      <c r="AC119">
        <v>1</v>
      </c>
      <c r="AD119">
        <f t="shared" si="72"/>
        <v>12.347715751559999</v>
      </c>
      <c r="AE119">
        <f t="shared" si="73"/>
        <v>-4.9459153637972423E-4</v>
      </c>
      <c r="AF119">
        <f t="shared" si="74"/>
        <v>1.8558958579874998E-3</v>
      </c>
      <c r="AG119">
        <f t="shared" si="89"/>
        <v>6077.9788460717627</v>
      </c>
      <c r="AH119">
        <f t="shared" si="90"/>
        <v>-2158.5892755352434</v>
      </c>
      <c r="AJ119">
        <f t="shared" si="75"/>
        <v>18000</v>
      </c>
      <c r="AK119">
        <f t="shared" si="76"/>
        <v>5921.7764815439996</v>
      </c>
      <c r="AL119">
        <v>1</v>
      </c>
      <c r="AM119">
        <f t="shared" si="77"/>
        <v>10.903588442208001</v>
      </c>
      <c r="AN119">
        <f t="shared" si="91"/>
        <v>688.71319630613107</v>
      </c>
      <c r="AO119">
        <f t="shared" si="92"/>
        <v>-1587.6687656956626</v>
      </c>
      <c r="AQ119">
        <f t="shared" si="78"/>
        <v>1.3838915029061722</v>
      </c>
      <c r="AR119">
        <f t="shared" si="79"/>
        <v>-117.63077774702464</v>
      </c>
      <c r="AT119">
        <f t="shared" si="104"/>
        <v>-245505.27203767496</v>
      </c>
      <c r="AU119">
        <f t="shared" si="105"/>
        <v>-717944.63215006236</v>
      </c>
      <c r="AV119">
        <f t="shared" si="93"/>
        <v>-1.9002868511618436</v>
      </c>
      <c r="AW119">
        <f t="shared" si="94"/>
        <v>-178812.3114620088</v>
      </c>
      <c r="AX119">
        <f t="shared" si="95"/>
        <v>-90282.760795199472</v>
      </c>
      <c r="AY119">
        <f t="shared" si="103"/>
        <v>-2.6740308399152886</v>
      </c>
      <c r="BA119">
        <f t="shared" si="80"/>
        <v>3.7878965186657854</v>
      </c>
      <c r="BB119">
        <f t="shared" si="96"/>
        <v>11.567962120530211</v>
      </c>
      <c r="BC119">
        <f t="shared" si="97"/>
        <v>0.77374398875344497</v>
      </c>
      <c r="BD119">
        <f t="shared" si="81"/>
        <v>-135.66773497015276</v>
      </c>
      <c r="BF119">
        <f t="shared" si="82"/>
        <v>-1.2445186261979948</v>
      </c>
      <c r="BG119">
        <f t="shared" si="83"/>
        <v>-113.89685367916076</v>
      </c>
      <c r="BH119">
        <f t="shared" si="98"/>
        <v>66.103146320839244</v>
      </c>
      <c r="BI119">
        <f t="shared" si="99"/>
        <v>66.103146320839244</v>
      </c>
      <c r="BJ119">
        <f t="shared" si="84"/>
        <v>0</v>
      </c>
      <c r="BK119">
        <f t="shared" si="100"/>
        <v>0</v>
      </c>
      <c r="BM119">
        <f t="shared" si="101"/>
        <v>-12.812480746728207</v>
      </c>
      <c r="BN119">
        <f t="shared" si="85"/>
        <v>-158.22911870900799</v>
      </c>
      <c r="BQ119" s="56">
        <f t="shared" si="102"/>
        <v>28.469922920815346</v>
      </c>
      <c r="BR119" s="59"/>
      <c r="BS119" s="59"/>
      <c r="BT119" s="59">
        <v>1230.269</v>
      </c>
      <c r="BU119" s="59">
        <v>13.1837</v>
      </c>
      <c r="BV119" s="59">
        <v>-259.55099999999999</v>
      </c>
      <c r="BW119" s="61"/>
      <c r="BY119" s="59"/>
      <c r="BZ119" s="59"/>
      <c r="CA119" s="59"/>
      <c r="CC119" s="59"/>
    </row>
    <row r="120" spans="1:81" x14ac:dyDescent="0.25">
      <c r="A120">
        <f t="shared" si="106"/>
        <v>43000</v>
      </c>
      <c r="B120">
        <f t="shared" si="86"/>
        <v>43</v>
      </c>
      <c r="C120">
        <f t="shared" si="55"/>
        <v>1.0616908791908737</v>
      </c>
      <c r="D120">
        <f t="shared" si="56"/>
        <v>0.34257221661415121</v>
      </c>
      <c r="F120">
        <f t="shared" si="57"/>
        <v>1.4046177336985504E-2</v>
      </c>
      <c r="G120">
        <f t="shared" si="58"/>
        <v>4.0594359367936747E-2</v>
      </c>
      <c r="H120">
        <f t="shared" si="59"/>
        <v>-3.1009982906320634</v>
      </c>
      <c r="J120">
        <f t="shared" si="60"/>
        <v>15</v>
      </c>
      <c r="M120">
        <f t="shared" si="61"/>
        <v>2.9586552762210026E-2</v>
      </c>
      <c r="N120">
        <f t="shared" si="62"/>
        <v>-1.5707963250000001</v>
      </c>
      <c r="O120">
        <f t="shared" si="63"/>
        <v>12.53294155937661</v>
      </c>
      <c r="P120">
        <f t="shared" si="64"/>
        <v>1.4909216929395623</v>
      </c>
      <c r="Q120">
        <f t="shared" si="65"/>
        <v>11.077096479286478</v>
      </c>
      <c r="R120">
        <f t="shared" si="66"/>
        <v>1.4803968876179392</v>
      </c>
      <c r="S120">
        <f t="shared" si="67"/>
        <v>0.94881850578262883</v>
      </c>
      <c r="T120">
        <f t="shared" si="68"/>
        <v>-0.32132271542356428</v>
      </c>
      <c r="U120">
        <f t="shared" si="69"/>
        <v>0.9655182649580405</v>
      </c>
      <c r="V120">
        <f t="shared" si="70"/>
        <v>-0.26336948437503804</v>
      </c>
      <c r="X120">
        <f t="shared" si="87"/>
        <v>-1.4967109416231092</v>
      </c>
      <c r="Y120">
        <f t="shared" si="71"/>
        <v>-111.30255327234177</v>
      </c>
      <c r="Z120">
        <f t="shared" si="88"/>
        <v>68.697446727658232</v>
      </c>
      <c r="AC120">
        <v>1</v>
      </c>
      <c r="AD120">
        <f t="shared" si="72"/>
        <v>12.492982995696</v>
      </c>
      <c r="AE120">
        <f t="shared" si="73"/>
        <v>-5.0629743987051074E-4</v>
      </c>
      <c r="AF120">
        <f t="shared" si="74"/>
        <v>1.8777299269049999E-3</v>
      </c>
      <c r="AG120">
        <f t="shared" si="89"/>
        <v>6068.4547320417696</v>
      </c>
      <c r="AH120">
        <f t="shared" si="90"/>
        <v>-2168.8119449186747</v>
      </c>
      <c r="AJ120">
        <f t="shared" si="75"/>
        <v>18000</v>
      </c>
      <c r="AK120">
        <f t="shared" si="76"/>
        <v>5991.4444401503997</v>
      </c>
      <c r="AL120">
        <v>1</v>
      </c>
      <c r="AM120">
        <f t="shared" si="77"/>
        <v>11.031865953292801</v>
      </c>
      <c r="AN120">
        <f t="shared" si="91"/>
        <v>685.37404780424356</v>
      </c>
      <c r="AO120">
        <f t="shared" si="92"/>
        <v>-1569.5101830917074</v>
      </c>
      <c r="AQ120">
        <f t="shared" si="78"/>
        <v>1.35189941868325</v>
      </c>
      <c r="AR120">
        <f t="shared" si="79"/>
        <v>-116.2633500067595</v>
      </c>
      <c r="AT120">
        <f t="shared" si="104"/>
        <v>-243949.4018263678</v>
      </c>
      <c r="AU120">
        <f t="shared" si="105"/>
        <v>-708470.89211911708</v>
      </c>
      <c r="AV120">
        <f t="shared" si="93"/>
        <v>-1.9024130620688848</v>
      </c>
      <c r="AW120">
        <f t="shared" si="94"/>
        <v>-174570.61838759741</v>
      </c>
      <c r="AX120">
        <f t="shared" si="95"/>
        <v>-88832.016528709515</v>
      </c>
      <c r="AY120">
        <f t="shared" si="103"/>
        <v>-2.6708821401573166</v>
      </c>
      <c r="BA120">
        <f t="shared" si="80"/>
        <v>3.8254202416210625</v>
      </c>
      <c r="BB120">
        <f t="shared" si="96"/>
        <v>11.653583030796558</v>
      </c>
      <c r="BC120">
        <f t="shared" si="97"/>
        <v>0.76846907808843179</v>
      </c>
      <c r="BD120">
        <f t="shared" si="81"/>
        <v>-135.96996508891192</v>
      </c>
      <c r="BF120">
        <f t="shared" si="82"/>
        <v>-1.35346711552805</v>
      </c>
      <c r="BG120">
        <f t="shared" si="83"/>
        <v>-114.01613740957359</v>
      </c>
      <c r="BH120">
        <f t="shared" si="98"/>
        <v>65.983862590426412</v>
      </c>
      <c r="BI120">
        <f t="shared" si="99"/>
        <v>65.983862590426412</v>
      </c>
      <c r="BJ120">
        <f t="shared" si="84"/>
        <v>0</v>
      </c>
      <c r="BK120">
        <f t="shared" si="100"/>
        <v>0</v>
      </c>
      <c r="BM120">
        <f t="shared" si="101"/>
        <v>-13.007050146324611</v>
      </c>
      <c r="BN120">
        <f t="shared" si="85"/>
        <v>-158.04617232066167</v>
      </c>
      <c r="BQ120" s="56">
        <f t="shared" si="102"/>
        <v>28.555543831081692</v>
      </c>
      <c r="BR120" s="59"/>
      <c r="BS120" s="59"/>
      <c r="BT120" s="59">
        <v>1258.925</v>
      </c>
      <c r="BU120" s="59">
        <v>13.0792</v>
      </c>
      <c r="BV120" s="59">
        <v>-259.27199999999999</v>
      </c>
      <c r="BW120" s="61"/>
      <c r="BY120" s="59"/>
      <c r="BZ120" s="59"/>
      <c r="CA120" s="59"/>
      <c r="CC120" s="59"/>
    </row>
    <row r="121" spans="1:81" x14ac:dyDescent="0.25">
      <c r="A121">
        <f t="shared" si="106"/>
        <v>43500</v>
      </c>
      <c r="B121">
        <f t="shared" si="86"/>
        <v>43.5</v>
      </c>
      <c r="C121">
        <f t="shared" si="55"/>
        <v>1.0630910446085295</v>
      </c>
      <c r="D121">
        <f t="shared" si="56"/>
        <v>0.34624636112912227</v>
      </c>
      <c r="F121">
        <f t="shared" si="57"/>
        <v>1.3720963328303422E-2</v>
      </c>
      <c r="G121">
        <f t="shared" si="58"/>
        <v>4.0115309841600194E-2</v>
      </c>
      <c r="H121">
        <f t="shared" si="59"/>
        <v>-3.1014773401584002</v>
      </c>
      <c r="J121">
        <f t="shared" si="60"/>
        <v>15</v>
      </c>
      <c r="M121">
        <f t="shared" si="61"/>
        <v>2.9246477443104161E-2</v>
      </c>
      <c r="N121">
        <f t="shared" si="62"/>
        <v>-1.5707963250000001</v>
      </c>
      <c r="O121">
        <f t="shared" si="63"/>
        <v>12.677750948989871</v>
      </c>
      <c r="P121">
        <f t="shared" si="64"/>
        <v>1.4918359588516139</v>
      </c>
      <c r="Q121">
        <f t="shared" si="65"/>
        <v>11.204856185845943</v>
      </c>
      <c r="R121">
        <f t="shared" si="66"/>
        <v>1.4814304064087869</v>
      </c>
      <c r="S121">
        <f t="shared" si="67"/>
        <v>0.94771359406570066</v>
      </c>
      <c r="T121">
        <f t="shared" si="68"/>
        <v>-0.32480305574929619</v>
      </c>
      <c r="U121">
        <f t="shared" si="69"/>
        <v>0.96475384873039483</v>
      </c>
      <c r="V121">
        <f t="shared" si="70"/>
        <v>-0.26628994787700183</v>
      </c>
      <c r="X121">
        <f t="shared" si="87"/>
        <v>-1.6067595892889925</v>
      </c>
      <c r="Y121">
        <f t="shared" si="71"/>
        <v>-111.37462701637384</v>
      </c>
      <c r="Z121">
        <f t="shared" si="88"/>
        <v>68.625372983626164</v>
      </c>
      <c r="AC121">
        <v>1</v>
      </c>
      <c r="AD121">
        <f t="shared" si="72"/>
        <v>12.638250239832001</v>
      </c>
      <c r="AE121">
        <f t="shared" si="73"/>
        <v>-5.1814025451323617E-4</v>
      </c>
      <c r="AF121">
        <f t="shared" si="74"/>
        <v>1.8995639958225001E-3</v>
      </c>
      <c r="AG121">
        <f t="shared" si="89"/>
        <v>6058.8495508117985</v>
      </c>
      <c r="AH121">
        <f t="shared" si="90"/>
        <v>-2179.0968124360161</v>
      </c>
      <c r="AJ121">
        <f t="shared" si="75"/>
        <v>18000</v>
      </c>
      <c r="AK121">
        <f t="shared" si="76"/>
        <v>6061.1123987567998</v>
      </c>
      <c r="AL121">
        <v>1</v>
      </c>
      <c r="AM121">
        <f t="shared" si="77"/>
        <v>11.160143464377601</v>
      </c>
      <c r="AN121">
        <f t="shared" si="91"/>
        <v>682.14815641648215</v>
      </c>
      <c r="AO121">
        <f t="shared" si="92"/>
        <v>-1551.7588908118335</v>
      </c>
      <c r="AQ121">
        <f t="shared" si="78"/>
        <v>1.321003963011889</v>
      </c>
      <c r="AR121">
        <f t="shared" si="79"/>
        <v>-114.92734478203434</v>
      </c>
      <c r="AT121">
        <f t="shared" si="104"/>
        <v>-242434.04640835084</v>
      </c>
      <c r="AU121">
        <f t="shared" si="105"/>
        <v>-699206.08683363604</v>
      </c>
      <c r="AV121">
        <f t="shared" si="93"/>
        <v>-1.9045528959001505</v>
      </c>
      <c r="AW121">
        <f t="shared" si="94"/>
        <v>-170472.97476733144</v>
      </c>
      <c r="AX121">
        <f t="shared" si="95"/>
        <v>-87429.591176918184</v>
      </c>
      <c r="AY121">
        <f t="shared" si="103"/>
        <v>-2.6677062379922956</v>
      </c>
      <c r="BA121">
        <f t="shared" si="80"/>
        <v>3.8627307641351001</v>
      </c>
      <c r="BB121">
        <f t="shared" si="96"/>
        <v>11.737888769547487</v>
      </c>
      <c r="BC121">
        <f t="shared" si="97"/>
        <v>0.76315334209214503</v>
      </c>
      <c r="BD121">
        <f t="shared" si="81"/>
        <v>-136.27453432685294</v>
      </c>
      <c r="BF121">
        <f t="shared" si="82"/>
        <v>-1.461184783106408</v>
      </c>
      <c r="BG121">
        <f t="shared" si="83"/>
        <v>-114.13764118931327</v>
      </c>
      <c r="BH121">
        <f t="shared" si="98"/>
        <v>65.862358810686729</v>
      </c>
      <c r="BI121">
        <f t="shared" si="99"/>
        <v>65.862358810686729</v>
      </c>
      <c r="BJ121">
        <f t="shared" si="84"/>
        <v>0</v>
      </c>
      <c r="BK121">
        <f t="shared" si="100"/>
        <v>0</v>
      </c>
      <c r="BM121">
        <f t="shared" si="101"/>
        <v>-13.199073552653894</v>
      </c>
      <c r="BN121">
        <f t="shared" si="85"/>
        <v>-157.86310686246034</v>
      </c>
      <c r="BQ121" s="56">
        <f t="shared" si="102"/>
        <v>28.639849569832624</v>
      </c>
      <c r="BR121" s="59"/>
      <c r="BS121" s="59"/>
      <c r="BT121" s="59">
        <v>1288.25</v>
      </c>
      <c r="BU121" s="59">
        <v>12.807</v>
      </c>
      <c r="BV121" s="59">
        <v>-258.86099999999999</v>
      </c>
      <c r="BW121" s="61"/>
      <c r="BY121" s="59"/>
      <c r="BZ121" s="59"/>
      <c r="CA121" s="59"/>
      <c r="CC121" s="59"/>
    </row>
    <row r="122" spans="1:81" x14ac:dyDescent="0.25">
      <c r="A122">
        <f t="shared" si="106"/>
        <v>44000</v>
      </c>
      <c r="B122">
        <f t="shared" si="86"/>
        <v>44</v>
      </c>
      <c r="C122">
        <f t="shared" si="55"/>
        <v>1.0645055231862148</v>
      </c>
      <c r="D122">
        <f t="shared" si="56"/>
        <v>0.34991079084701454</v>
      </c>
      <c r="F122">
        <f t="shared" si="57"/>
        <v>1.3406960480008277E-2</v>
      </c>
      <c r="G122">
        <f t="shared" si="58"/>
        <v>3.9647571896762053E-2</v>
      </c>
      <c r="H122">
        <f t="shared" si="59"/>
        <v>-3.1019450781032383</v>
      </c>
      <c r="J122">
        <f t="shared" si="60"/>
        <v>15</v>
      </c>
      <c r="M122">
        <f t="shared" si="61"/>
        <v>2.8914131108523432E-2</v>
      </c>
      <c r="N122">
        <f t="shared" si="62"/>
        <v>-1.5707963250000001</v>
      </c>
      <c r="O122">
        <f t="shared" si="63"/>
        <v>12.82257069635085</v>
      </c>
      <c r="P122">
        <f t="shared" si="64"/>
        <v>1.4927295738252035</v>
      </c>
      <c r="Q122">
        <f t="shared" si="65"/>
        <v>11.332627591130818</v>
      </c>
      <c r="R122">
        <f t="shared" si="66"/>
        <v>1.4824406211340513</v>
      </c>
      <c r="S122">
        <f t="shared" si="67"/>
        <v>0.94659982683896859</v>
      </c>
      <c r="T122">
        <f t="shared" si="68"/>
        <v>-0.32827525775477123</v>
      </c>
      <c r="U122">
        <f t="shared" si="69"/>
        <v>0.96398243958008112</v>
      </c>
      <c r="V122">
        <f t="shared" si="70"/>
        <v>-0.26920576585868283</v>
      </c>
      <c r="X122">
        <f t="shared" si="87"/>
        <v>-1.7155816756182851</v>
      </c>
      <c r="Y122">
        <f t="shared" si="71"/>
        <v>-111.44839524751121</v>
      </c>
      <c r="Z122">
        <f t="shared" si="88"/>
        <v>68.551604752488785</v>
      </c>
      <c r="AC122">
        <v>1</v>
      </c>
      <c r="AD122">
        <f t="shared" si="72"/>
        <v>12.783517483968</v>
      </c>
      <c r="AE122">
        <f t="shared" si="73"/>
        <v>-5.3011998030790084E-4</v>
      </c>
      <c r="AF122">
        <f t="shared" si="74"/>
        <v>1.9213980647399998E-3</v>
      </c>
      <c r="AG122">
        <f t="shared" si="89"/>
        <v>6049.1642131405597</v>
      </c>
      <c r="AH122">
        <f t="shared" si="90"/>
        <v>-2189.438456688873</v>
      </c>
      <c r="AJ122">
        <f t="shared" si="75"/>
        <v>18000</v>
      </c>
      <c r="AK122">
        <f t="shared" si="76"/>
        <v>6130.7803573632</v>
      </c>
      <c r="AL122">
        <v>1</v>
      </c>
      <c r="AM122">
        <f t="shared" si="77"/>
        <v>11.288420975462401</v>
      </c>
      <c r="AN122">
        <f t="shared" si="91"/>
        <v>679.03047073363996</v>
      </c>
      <c r="AO122">
        <f t="shared" si="92"/>
        <v>-1534.401451444528</v>
      </c>
      <c r="AQ122">
        <f t="shared" si="78"/>
        <v>1.2911555842479019</v>
      </c>
      <c r="AR122">
        <f t="shared" si="79"/>
        <v>-113.62169141381537</v>
      </c>
      <c r="AT122">
        <f t="shared" si="104"/>
        <v>-240957.28854161428</v>
      </c>
      <c r="AU122">
        <f t="shared" si="105"/>
        <v>-690143.1752266729</v>
      </c>
      <c r="AV122">
        <f t="shared" si="93"/>
        <v>-1.9067056983589816</v>
      </c>
      <c r="AW122">
        <f t="shared" si="94"/>
        <v>-166512.97178256881</v>
      </c>
      <c r="AX122">
        <f t="shared" si="95"/>
        <v>-86073.187741266374</v>
      </c>
      <c r="AY122">
        <f t="shared" si="103"/>
        <v>-2.6645041566551422</v>
      </c>
      <c r="BA122">
        <f t="shared" si="80"/>
        <v>3.8998255109439071</v>
      </c>
      <c r="BB122">
        <f t="shared" si="96"/>
        <v>11.820903518327501</v>
      </c>
      <c r="BC122">
        <f t="shared" si="97"/>
        <v>0.75779845829616055</v>
      </c>
      <c r="BD122">
        <f t="shared" si="81"/>
        <v>-136.58134656849643</v>
      </c>
      <c r="BF122">
        <f t="shared" si="82"/>
        <v>-1.5677063341717887</v>
      </c>
      <c r="BG122">
        <f t="shared" si="83"/>
        <v>-114.26129648374729</v>
      </c>
      <c r="BH122">
        <f t="shared" si="98"/>
        <v>65.738703516252713</v>
      </c>
      <c r="BI122">
        <f t="shared" si="99"/>
        <v>65.738703516252713</v>
      </c>
      <c r="BJ122">
        <f t="shared" si="84"/>
        <v>0</v>
      </c>
      <c r="BK122">
        <f t="shared" si="100"/>
        <v>0</v>
      </c>
      <c r="BM122">
        <f t="shared" si="101"/>
        <v>-13.38860985249929</v>
      </c>
      <c r="BN122">
        <f t="shared" si="85"/>
        <v>-157.67994991525086</v>
      </c>
      <c r="BQ122" s="56">
        <f t="shared" si="102"/>
        <v>28.722864318612636</v>
      </c>
      <c r="BR122" s="59"/>
      <c r="BS122" s="59"/>
      <c r="BT122" s="59">
        <v>1318.2570000000001</v>
      </c>
      <c r="BU122" s="59">
        <v>12.682600000000001</v>
      </c>
      <c r="BV122" s="59">
        <v>-258.68299999999999</v>
      </c>
      <c r="BW122" s="61"/>
      <c r="BY122" s="59"/>
      <c r="BZ122" s="59"/>
      <c r="CA122" s="59"/>
      <c r="CC122" s="59"/>
    </row>
    <row r="123" spans="1:81" x14ac:dyDescent="0.25">
      <c r="A123">
        <f t="shared" si="106"/>
        <v>44500</v>
      </c>
      <c r="B123">
        <f t="shared" si="86"/>
        <v>44.5</v>
      </c>
      <c r="C123">
        <f t="shared" si="55"/>
        <v>1.0659342579438931</v>
      </c>
      <c r="D123">
        <f t="shared" si="56"/>
        <v>0.35356544622675123</v>
      </c>
      <c r="F123">
        <f t="shared" si="57"/>
        <v>1.310365732217752E-2</v>
      </c>
      <c r="G123">
        <f t="shared" si="58"/>
        <v>3.9190745121571349E-2</v>
      </c>
      <c r="H123">
        <f t="shared" si="59"/>
        <v>-3.102401904878429</v>
      </c>
      <c r="J123">
        <f t="shared" si="60"/>
        <v>15</v>
      </c>
      <c r="M123">
        <f t="shared" si="61"/>
        <v>2.8589253230899572E-2</v>
      </c>
      <c r="N123">
        <f t="shared" si="62"/>
        <v>-1.5707963250000001</v>
      </c>
      <c r="O123">
        <f t="shared" si="63"/>
        <v>12.967400454434003</v>
      </c>
      <c r="P123">
        <f t="shared" si="64"/>
        <v>1.4936032283446781</v>
      </c>
      <c r="Q123">
        <f t="shared" si="65"/>
        <v>11.460410303856015</v>
      </c>
      <c r="R123">
        <f t="shared" si="66"/>
        <v>1.4834283092122604</v>
      </c>
      <c r="S123">
        <f t="shared" si="67"/>
        <v>0.9454773157094789</v>
      </c>
      <c r="T123">
        <f t="shared" si="68"/>
        <v>-0.33173926652408692</v>
      </c>
      <c r="U123">
        <f t="shared" si="69"/>
        <v>0.96320409357115444</v>
      </c>
      <c r="V123">
        <f t="shared" si="70"/>
        <v>-0.27211689993395399</v>
      </c>
      <c r="X123">
        <f t="shared" si="87"/>
        <v>-1.8232091940987047</v>
      </c>
      <c r="Y123">
        <f t="shared" si="71"/>
        <v>-111.52379486866333</v>
      </c>
      <c r="Z123">
        <f t="shared" si="88"/>
        <v>68.47620513133667</v>
      </c>
      <c r="AC123">
        <v>1</v>
      </c>
      <c r="AD123">
        <f t="shared" si="72"/>
        <v>12.928784728104</v>
      </c>
      <c r="AE123">
        <f t="shared" si="73"/>
        <v>-5.4223661725450443E-4</v>
      </c>
      <c r="AF123">
        <f t="shared" si="74"/>
        <v>1.9432321336575E-3</v>
      </c>
      <c r="AG123">
        <f t="shared" si="89"/>
        <v>6039.3996327779469</v>
      </c>
      <c r="AH123">
        <f t="shared" si="90"/>
        <v>-2199.8316892175544</v>
      </c>
      <c r="AJ123">
        <f t="shared" si="75"/>
        <v>18000</v>
      </c>
      <c r="AK123">
        <f t="shared" si="76"/>
        <v>6200.4483159695992</v>
      </c>
      <c r="AL123">
        <v>1</v>
      </c>
      <c r="AM123">
        <f t="shared" si="77"/>
        <v>11.416698486547201</v>
      </c>
      <c r="AN123">
        <f t="shared" si="91"/>
        <v>676.01621714353553</v>
      </c>
      <c r="AO123">
        <f t="shared" si="92"/>
        <v>-1517.4250071743663</v>
      </c>
      <c r="AQ123">
        <f t="shared" si="78"/>
        <v>1.2623074981065388</v>
      </c>
      <c r="AR123">
        <f t="shared" si="79"/>
        <v>-112.34536733148195</v>
      </c>
      <c r="AT123">
        <f t="shared" si="104"/>
        <v>-239517.31975206314</v>
      </c>
      <c r="AU123">
        <f t="shared" si="105"/>
        <v>-681275.43424192735</v>
      </c>
      <c r="AV123">
        <f t="shared" si="93"/>
        <v>-1.9088708429211063</v>
      </c>
      <c r="AW123">
        <f t="shared" si="94"/>
        <v>-162684.55213583593</v>
      </c>
      <c r="AX123">
        <f t="shared" si="95"/>
        <v>-84760.647584623468</v>
      </c>
      <c r="AY123">
        <f t="shared" si="103"/>
        <v>-2.6612768808060658</v>
      </c>
      <c r="BA123">
        <f t="shared" si="80"/>
        <v>3.936701942832614</v>
      </c>
      <c r="BB123">
        <f t="shared" si="96"/>
        <v>11.902650691114502</v>
      </c>
      <c r="BC123">
        <f t="shared" si="97"/>
        <v>0.75240603788495952</v>
      </c>
      <c r="BD123">
        <f t="shared" si="81"/>
        <v>-136.89030949977149</v>
      </c>
      <c r="BF123">
        <f t="shared" si="82"/>
        <v>-1.6730651803616123</v>
      </c>
      <c r="BG123">
        <f t="shared" si="83"/>
        <v>-114.3870373321663</v>
      </c>
      <c r="BH123">
        <f t="shared" si="98"/>
        <v>65.612962667833699</v>
      </c>
      <c r="BI123">
        <f t="shared" si="99"/>
        <v>65.612962667833699</v>
      </c>
      <c r="BJ123">
        <f t="shared" si="84"/>
        <v>0</v>
      </c>
      <c r="BK123">
        <f t="shared" si="100"/>
        <v>0</v>
      </c>
      <c r="BM123">
        <f t="shared" si="101"/>
        <v>-13.575715871476113</v>
      </c>
      <c r="BN123">
        <f t="shared" si="85"/>
        <v>-157.49672783239481</v>
      </c>
      <c r="BQ123" s="56">
        <f t="shared" si="102"/>
        <v>28.80461149139964</v>
      </c>
      <c r="BR123" s="59"/>
      <c r="BS123" s="59"/>
      <c r="BT123" s="59">
        <v>1348.963</v>
      </c>
      <c r="BU123" s="59">
        <v>12.475899999999999</v>
      </c>
      <c r="BV123" s="59">
        <v>-258.79700000000003</v>
      </c>
      <c r="BW123" s="61"/>
      <c r="BY123" s="59"/>
      <c r="BZ123" s="59"/>
      <c r="CA123" s="59"/>
      <c r="CC123" s="59"/>
    </row>
    <row r="124" spans="1:81" x14ac:dyDescent="0.25">
      <c r="A124">
        <f t="shared" si="106"/>
        <v>45000</v>
      </c>
      <c r="B124">
        <f t="shared" si="86"/>
        <v>45</v>
      </c>
      <c r="C124">
        <f t="shared" si="55"/>
        <v>1.0673771916338559</v>
      </c>
      <c r="D124">
        <f t="shared" si="56"/>
        <v>0.35721026908883591</v>
      </c>
      <c r="F124">
        <f t="shared" si="57"/>
        <v>1.2810571332598488E-2</v>
      </c>
      <c r="G124">
        <f t="shared" si="58"/>
        <v>3.874444797001976E-2</v>
      </c>
      <c r="H124">
        <f t="shared" si="59"/>
        <v>-3.1028482020299806</v>
      </c>
      <c r="J124">
        <f t="shared" si="60"/>
        <v>15</v>
      </c>
      <c r="M124">
        <f t="shared" si="61"/>
        <v>2.8271594861667356E-2</v>
      </c>
      <c r="N124">
        <f t="shared" si="62"/>
        <v>-1.5707963250000001</v>
      </c>
      <c r="O124">
        <f t="shared" si="63"/>
        <v>13.112239891522448</v>
      </c>
      <c r="P124">
        <f t="shared" si="64"/>
        <v>1.4944575825107518</v>
      </c>
      <c r="Q124">
        <f t="shared" si="65"/>
        <v>11.588203949961315</v>
      </c>
      <c r="R124">
        <f t="shared" si="66"/>
        <v>1.4843942139491368</v>
      </c>
      <c r="S124">
        <f t="shared" si="67"/>
        <v>0.94434617241721985</v>
      </c>
      <c r="T124">
        <f t="shared" si="68"/>
        <v>-0.33519502818668184</v>
      </c>
      <c r="U124">
        <f t="shared" si="69"/>
        <v>0.96241886702176727</v>
      </c>
      <c r="V124">
        <f t="shared" si="70"/>
        <v>-0.27502331215746328</v>
      </c>
      <c r="X124">
        <f t="shared" si="87"/>
        <v>-1.9296729209742527</v>
      </c>
      <c r="Y124">
        <f t="shared" si="71"/>
        <v>-111.60076540431561</v>
      </c>
      <c r="Z124">
        <f t="shared" si="88"/>
        <v>68.399234595684391</v>
      </c>
      <c r="AC124">
        <v>1</v>
      </c>
      <c r="AD124">
        <f t="shared" si="72"/>
        <v>13.074051972240001</v>
      </c>
      <c r="AE124">
        <f t="shared" si="73"/>
        <v>-5.5449016535304716E-4</v>
      </c>
      <c r="AF124">
        <f t="shared" si="74"/>
        <v>1.9650662025749999E-3</v>
      </c>
      <c r="AG124">
        <f t="shared" si="89"/>
        <v>6029.5567262748345</v>
      </c>
      <c r="AH124">
        <f t="shared" si="90"/>
        <v>-2210.2715422341807</v>
      </c>
      <c r="AJ124">
        <f t="shared" si="75"/>
        <v>18000</v>
      </c>
      <c r="AK124">
        <f t="shared" si="76"/>
        <v>6270.1162745759993</v>
      </c>
      <c r="AL124">
        <v>1</v>
      </c>
      <c r="AM124">
        <f t="shared" si="77"/>
        <v>11.544975997632001</v>
      </c>
      <c r="AN124">
        <f t="shared" si="91"/>
        <v>673.10088174447037</v>
      </c>
      <c r="AO124">
        <f t="shared" si="92"/>
        <v>-1500.8172491488474</v>
      </c>
      <c r="AQ124">
        <f t="shared" si="78"/>
        <v>1.2344155042587335</v>
      </c>
      <c r="AR124">
        <f t="shared" si="79"/>
        <v>-111.09739538328601</v>
      </c>
      <c r="AT124">
        <f t="shared" si="104"/>
        <v>-238112.43312529492</v>
      </c>
      <c r="AU124">
        <f t="shared" si="105"/>
        <v>-672596.44106526265</v>
      </c>
      <c r="AV124">
        <f t="shared" si="93"/>
        <v>-1.911047729338897</v>
      </c>
      <c r="AW124">
        <f t="shared" si="94"/>
        <v>-158981.98723073743</v>
      </c>
      <c r="AX124">
        <f t="shared" si="95"/>
        <v>-83489.940483753177</v>
      </c>
      <c r="AY124">
        <f t="shared" si="103"/>
        <v>-2.6580253587355442</v>
      </c>
      <c r="BA124">
        <f t="shared" si="80"/>
        <v>3.9733575567798116</v>
      </c>
      <c r="BB124">
        <f t="shared" si="96"/>
        <v>11.983152967099176</v>
      </c>
      <c r="BC124">
        <f t="shared" si="97"/>
        <v>0.74697762939664725</v>
      </c>
      <c r="BD124">
        <f t="shared" si="81"/>
        <v>-137.20133439598018</v>
      </c>
      <c r="BF124">
        <f t="shared" si="82"/>
        <v>-1.777293504427595</v>
      </c>
      <c r="BG124">
        <f t="shared" si="83"/>
        <v>-114.51480020428794</v>
      </c>
      <c r="BH124">
        <f t="shared" si="98"/>
        <v>65.485199795712063</v>
      </c>
      <c r="BI124">
        <f t="shared" si="99"/>
        <v>65.485199795712063</v>
      </c>
      <c r="BJ124">
        <f t="shared" si="84"/>
        <v>0</v>
      </c>
      <c r="BK124">
        <f t="shared" si="100"/>
        <v>0</v>
      </c>
      <c r="BM124">
        <f t="shared" si="101"/>
        <v>-13.760446471526773</v>
      </c>
      <c r="BN124">
        <f t="shared" si="85"/>
        <v>-157.31346580830777</v>
      </c>
      <c r="BQ124" s="56">
        <f t="shared" si="102"/>
        <v>28.885113767384315</v>
      </c>
      <c r="BR124" s="59"/>
      <c r="BS124" s="59"/>
      <c r="BT124" s="59">
        <v>1380.384</v>
      </c>
      <c r="BU124" s="59">
        <v>12.2584</v>
      </c>
      <c r="BV124" s="59">
        <v>-258.41000000000003</v>
      </c>
      <c r="BW124" s="61"/>
      <c r="BY124" s="59"/>
      <c r="BZ124" s="59"/>
      <c r="CA124" s="59"/>
      <c r="CC124" s="59"/>
    </row>
    <row r="125" spans="1:81" x14ac:dyDescent="0.25">
      <c r="A125">
        <f t="shared" si="106"/>
        <v>45500</v>
      </c>
      <c r="B125">
        <f t="shared" si="86"/>
        <v>45.5</v>
      </c>
      <c r="C125">
        <f t="shared" si="55"/>
        <v>1.0688342667501332</v>
      </c>
      <c r="D125">
        <f t="shared" si="56"/>
        <v>0.36084520261134512</v>
      </c>
      <c r="F125">
        <f t="shared" si="57"/>
        <v>1.2527246985732515E-2</v>
      </c>
      <c r="G125">
        <f t="shared" si="58"/>
        <v>3.8308316654085579E-2</v>
      </c>
      <c r="H125">
        <f t="shared" si="59"/>
        <v>-3.1032843333459148</v>
      </c>
      <c r="J125">
        <f t="shared" si="60"/>
        <v>15</v>
      </c>
      <c r="M125">
        <f t="shared" si="61"/>
        <v>2.7960917995055627E-2</v>
      </c>
      <c r="N125">
        <f t="shared" si="62"/>
        <v>-1.5707963250000001</v>
      </c>
      <c r="O125">
        <f t="shared" si="63"/>
        <v>13.257088690374209</v>
      </c>
      <c r="P125">
        <f t="shared" si="64"/>
        <v>1.4952932676903476</v>
      </c>
      <c r="Q125">
        <f t="shared" si="65"/>
        <v>11.716008171675586</v>
      </c>
      <c r="R125">
        <f t="shared" si="66"/>
        <v>1.485339046383747</v>
      </c>
      <c r="S125">
        <f t="shared" si="67"/>
        <v>0.94320650880986989</v>
      </c>
      <c r="T125">
        <f t="shared" si="68"/>
        <v>-0.33864248991608686</v>
      </c>
      <c r="U125">
        <f t="shared" si="69"/>
        <v>0.96162681649413539</v>
      </c>
      <c r="V125">
        <f t="shared" si="70"/>
        <v>-0.27792496502593717</v>
      </c>
      <c r="X125">
        <f t="shared" si="87"/>
        <v>-2.0350024764501939</v>
      </c>
      <c r="Y125">
        <f t="shared" si="71"/>
        <v>-111.67924886393207</v>
      </c>
      <c r="Z125">
        <f t="shared" si="88"/>
        <v>68.320751136067926</v>
      </c>
      <c r="AC125">
        <v>1</v>
      </c>
      <c r="AD125">
        <f t="shared" si="72"/>
        <v>13.219319216376</v>
      </c>
      <c r="AE125">
        <f t="shared" si="73"/>
        <v>-5.668806246035287E-4</v>
      </c>
      <c r="AF125">
        <f t="shared" si="74"/>
        <v>1.9869002714924997E-3</v>
      </c>
      <c r="AG125">
        <f t="shared" si="89"/>
        <v>6019.6364127938996</v>
      </c>
      <c r="AH125">
        <f t="shared" si="90"/>
        <v>-2220.7532571608522</v>
      </c>
      <c r="AJ125">
        <f t="shared" si="75"/>
        <v>18000</v>
      </c>
      <c r="AK125">
        <f t="shared" si="76"/>
        <v>6339.7842331824004</v>
      </c>
      <c r="AL125">
        <v>1</v>
      </c>
      <c r="AM125">
        <f t="shared" si="77"/>
        <v>11.673253508716801</v>
      </c>
      <c r="AN125">
        <f t="shared" si="91"/>
        <v>670.2801936142796</v>
      </c>
      <c r="AO125">
        <f t="shared" si="92"/>
        <v>-1484.5663887488652</v>
      </c>
      <c r="AQ125">
        <f t="shared" si="78"/>
        <v>1.2074378169524269</v>
      </c>
      <c r="AR125">
        <f t="shared" si="79"/>
        <v>-109.87684134267086</v>
      </c>
      <c r="AT125">
        <f t="shared" si="104"/>
        <v>-236741.01664917127</v>
      </c>
      <c r="AU125">
        <f t="shared" si="105"/>
        <v>-664100.05653393595</v>
      </c>
      <c r="AV125">
        <f t="shared" si="93"/>
        <v>-1.9132357822426489</v>
      </c>
      <c r="AW125">
        <f t="shared" si="94"/>
        <v>-155399.85605652136</v>
      </c>
      <c r="AX125">
        <f t="shared" si="95"/>
        <v>-82259.155505230156</v>
      </c>
      <c r="AY125">
        <f t="shared" si="103"/>
        <v>-2.6547505044223847</v>
      </c>
      <c r="BA125">
        <f t="shared" si="80"/>
        <v>4.0097898861467405</v>
      </c>
      <c r="BB125">
        <f t="shared" si="96"/>
        <v>12.062432321841083</v>
      </c>
      <c r="BC125">
        <f t="shared" si="97"/>
        <v>0.7415147221797358</v>
      </c>
      <c r="BD125">
        <f t="shared" si="81"/>
        <v>-137.51433592373843</v>
      </c>
      <c r="BF125">
        <f t="shared" si="82"/>
        <v>-1.8804223208150395</v>
      </c>
      <c r="BG125">
        <f t="shared" si="83"/>
        <v>-114.64452386590287</v>
      </c>
      <c r="BH125">
        <f t="shared" si="98"/>
        <v>65.355476134097131</v>
      </c>
      <c r="BI125">
        <f t="shared" si="99"/>
        <v>65.355476134097131</v>
      </c>
      <c r="BJ125">
        <f t="shared" si="84"/>
        <v>0</v>
      </c>
      <c r="BK125">
        <f t="shared" si="100"/>
        <v>0</v>
      </c>
      <c r="BM125">
        <f t="shared" si="101"/>
        <v>-13.942854642656123</v>
      </c>
      <c r="BN125">
        <f t="shared" si="85"/>
        <v>-157.13018794216447</v>
      </c>
      <c r="BQ125" s="56">
        <f t="shared" si="102"/>
        <v>28.964393122126218</v>
      </c>
      <c r="BR125" s="59"/>
      <c r="BS125" s="59"/>
      <c r="BT125" s="59">
        <v>1412.538</v>
      </c>
      <c r="BU125" s="59">
        <v>12.0929</v>
      </c>
      <c r="BV125" s="59">
        <v>-258.13599999999997</v>
      </c>
      <c r="BW125" s="61"/>
      <c r="BY125" s="59"/>
      <c r="BZ125" s="59"/>
      <c r="CA125" s="59"/>
      <c r="CC125" s="59"/>
    </row>
    <row r="126" spans="1:81" x14ac:dyDescent="0.25">
      <c r="A126">
        <f t="shared" si="106"/>
        <v>46000</v>
      </c>
      <c r="B126">
        <f t="shared" si="86"/>
        <v>46</v>
      </c>
      <c r="C126">
        <f t="shared" si="55"/>
        <v>1.0703054255378466</v>
      </c>
      <c r="D126">
        <f t="shared" si="56"/>
        <v>0.36447019132556685</v>
      </c>
      <c r="F126">
        <f t="shared" si="57"/>
        <v>1.2253253953908062E-2</v>
      </c>
      <c r="G126">
        <f t="shared" si="58"/>
        <v>3.7882004113626501E-2</v>
      </c>
      <c r="H126">
        <f t="shared" si="59"/>
        <v>-3.1037106458863737</v>
      </c>
      <c r="J126">
        <f t="shared" si="60"/>
        <v>15</v>
      </c>
      <c r="M126">
        <f t="shared" si="61"/>
        <v>2.7656994973370243E-2</v>
      </c>
      <c r="N126">
        <f t="shared" si="62"/>
        <v>-1.5707963250000001</v>
      </c>
      <c r="O126">
        <f t="shared" si="63"/>
        <v>13.401946547442302</v>
      </c>
      <c r="P126">
        <f t="shared" si="64"/>
        <v>1.4961108880602929</v>
      </c>
      <c r="Q126">
        <f t="shared" si="65"/>
        <v>11.843822626641257</v>
      </c>
      <c r="R126">
        <f t="shared" si="66"/>
        <v>1.486263487016336</v>
      </c>
      <c r="S126">
        <f t="shared" si="67"/>
        <v>0.94205843681783608</v>
      </c>
      <c r="T126">
        <f t="shared" si="68"/>
        <v>-0.34208159992841164</v>
      </c>
      <c r="U126">
        <f t="shared" si="69"/>
        <v>0.96082799878453506</v>
      </c>
      <c r="V126">
        <f t="shared" si="70"/>
        <v>-0.28082182147939322</v>
      </c>
      <c r="X126">
        <f t="shared" si="87"/>
        <v>-2.1392263820651252</v>
      </c>
      <c r="Y126">
        <f t="shared" si="71"/>
        <v>-111.75918961376388</v>
      </c>
      <c r="Z126">
        <f t="shared" si="88"/>
        <v>68.24081038623612</v>
      </c>
      <c r="AC126">
        <v>1</v>
      </c>
      <c r="AD126">
        <f t="shared" si="72"/>
        <v>13.364586460512001</v>
      </c>
      <c r="AE126">
        <f t="shared" si="73"/>
        <v>-5.7940799500594959E-4</v>
      </c>
      <c r="AF126">
        <f t="shared" si="74"/>
        <v>2.00873434041E-3</v>
      </c>
      <c r="AG126">
        <f t="shared" si="89"/>
        <v>6009.6396139215949</v>
      </c>
      <c r="AH126">
        <f t="shared" si="90"/>
        <v>-2231.2722739114515</v>
      </c>
      <c r="AJ126">
        <f t="shared" si="75"/>
        <v>18000</v>
      </c>
      <c r="AK126">
        <f t="shared" si="76"/>
        <v>6409.4521917887996</v>
      </c>
      <c r="AL126">
        <v>1</v>
      </c>
      <c r="AM126">
        <f t="shared" si="77"/>
        <v>11.801531019801601</v>
      </c>
      <c r="AN126">
        <f t="shared" si="91"/>
        <v>667.55010932038658</v>
      </c>
      <c r="AO126">
        <f t="shared" si="92"/>
        <v>-1468.6611306276932</v>
      </c>
      <c r="AQ126">
        <f t="shared" si="78"/>
        <v>1.1813349084465445</v>
      </c>
      <c r="AR126">
        <f t="shared" si="79"/>
        <v>-108.68281157708211</v>
      </c>
      <c r="AT126">
        <f t="shared" si="104"/>
        <v>-235401.54705957702</v>
      </c>
      <c r="AU126">
        <f t="shared" si="105"/>
        <v>-655780.4096334296</v>
      </c>
      <c r="AV126">
        <f t="shared" si="93"/>
        <v>-1.9154344498316234</v>
      </c>
      <c r="AW126">
        <f t="shared" si="94"/>
        <v>-151933.02563375185</v>
      </c>
      <c r="AX126">
        <f t="shared" si="95"/>
        <v>-81066.492628148495</v>
      </c>
      <c r="AY126">
        <f t="shared" si="103"/>
        <v>-2.6514531994557657</v>
      </c>
      <c r="BA126">
        <f t="shared" si="80"/>
        <v>4.0459965009070613</v>
      </c>
      <c r="BB126">
        <f t="shared" si="96"/>
        <v>12.140510056894374</v>
      </c>
      <c r="BC126">
        <f t="shared" si="97"/>
        <v>0.73601874962414238</v>
      </c>
      <c r="BD126">
        <f t="shared" si="81"/>
        <v>-137.82923195585346</v>
      </c>
      <c r="BF126">
        <f t="shared" si="82"/>
        <v>-1.9824815324188483</v>
      </c>
      <c r="BG126">
        <f t="shared" si="83"/>
        <v>-114.77614925302285</v>
      </c>
      <c r="BH126">
        <f t="shared" si="98"/>
        <v>65.223850746977149</v>
      </c>
      <c r="BI126">
        <f t="shared" si="99"/>
        <v>65.223850746977149</v>
      </c>
      <c r="BJ126">
        <f t="shared" si="84"/>
        <v>0</v>
      </c>
      <c r="BK126">
        <f t="shared" si="100"/>
        <v>0</v>
      </c>
      <c r="BM126">
        <f t="shared" si="101"/>
        <v>-14.122991589313221</v>
      </c>
      <c r="BN126">
        <f t="shared" si="85"/>
        <v>-156.94691729716939</v>
      </c>
      <c r="BQ126" s="56">
        <f t="shared" si="102"/>
        <v>29.042470857179509</v>
      </c>
      <c r="BR126" s="59"/>
      <c r="BS126" s="59"/>
      <c r="BT126" s="59">
        <v>1445.44</v>
      </c>
      <c r="BU126" s="59">
        <v>11.918900000000001</v>
      </c>
      <c r="BV126" s="59">
        <v>-257.92899999999997</v>
      </c>
      <c r="BW126" s="61"/>
      <c r="BY126" s="59"/>
      <c r="BZ126" s="59"/>
      <c r="CA126" s="59"/>
      <c r="CC126" s="59"/>
    </row>
    <row r="127" spans="1:81" x14ac:dyDescent="0.25">
      <c r="A127">
        <f t="shared" si="106"/>
        <v>46500</v>
      </c>
      <c r="B127">
        <f t="shared" si="86"/>
        <v>46.5</v>
      </c>
      <c r="C127">
        <f t="shared" si="55"/>
        <v>1.0717906100025063</v>
      </c>
      <c r="D127">
        <f t="shared" si="56"/>
        <v>0.36808518111129224</v>
      </c>
      <c r="F127">
        <f t="shared" si="57"/>
        <v>1.1988185447274485E-2</v>
      </c>
      <c r="G127">
        <f t="shared" si="58"/>
        <v>3.7465179057688397E-2</v>
      </c>
      <c r="H127">
        <f t="shared" si="59"/>
        <v>-3.1041274709423119</v>
      </c>
      <c r="J127">
        <f t="shared" si="60"/>
        <v>15</v>
      </c>
      <c r="M127">
        <f t="shared" si="61"/>
        <v>2.7359607930645829E-2</v>
      </c>
      <c r="N127">
        <f t="shared" si="62"/>
        <v>-1.5707963250000001</v>
      </c>
      <c r="O127">
        <f t="shared" si="63"/>
        <v>13.546813172144629</v>
      </c>
      <c r="P127">
        <f t="shared" si="64"/>
        <v>1.4969110220527364</v>
      </c>
      <c r="Q127">
        <f t="shared" si="65"/>
        <v>11.971646987094546</v>
      </c>
      <c r="R127">
        <f t="shared" si="66"/>
        <v>1.487168187426575</v>
      </c>
      <c r="S127">
        <f t="shared" si="67"/>
        <v>0.94090206842959556</v>
      </c>
      <c r="T127">
        <f t="shared" si="68"/>
        <v>-0.34551230748057377</v>
      </c>
      <c r="U127">
        <f t="shared" si="69"/>
        <v>0.96002247091334203</v>
      </c>
      <c r="V127">
        <f t="shared" si="70"/>
        <v>-0.28371384490226242</v>
      </c>
      <c r="X127">
        <f t="shared" si="87"/>
        <v>-2.2423721145156965</v>
      </c>
      <c r="Y127">
        <f t="shared" si="71"/>
        <v>-111.84053425647593</v>
      </c>
      <c r="Z127">
        <f t="shared" si="88"/>
        <v>68.159465743524066</v>
      </c>
      <c r="AC127">
        <v>1</v>
      </c>
      <c r="AD127">
        <f t="shared" si="72"/>
        <v>13.509853704648002</v>
      </c>
      <c r="AE127">
        <f t="shared" si="73"/>
        <v>-5.9207227656030929E-4</v>
      </c>
      <c r="AF127">
        <f t="shared" si="74"/>
        <v>2.0305684093274998E-3</v>
      </c>
      <c r="AG127">
        <f t="shared" si="89"/>
        <v>5999.5672534812884</v>
      </c>
      <c r="AH127">
        <f t="shared" si="90"/>
        <v>-2241.8242208608849</v>
      </c>
      <c r="AJ127">
        <f t="shared" si="75"/>
        <v>18000</v>
      </c>
      <c r="AK127">
        <f t="shared" si="76"/>
        <v>6479.1201503952007</v>
      </c>
      <c r="AL127">
        <v>1</v>
      </c>
      <c r="AM127">
        <f t="shared" si="77"/>
        <v>11.929808530886401</v>
      </c>
      <c r="AN127">
        <f t="shared" si="91"/>
        <v>664.90679856702548</v>
      </c>
      <c r="AO127">
        <f t="shared" si="92"/>
        <v>-1453.0906473940663</v>
      </c>
      <c r="AQ127">
        <f t="shared" si="78"/>
        <v>1.1560693641618498</v>
      </c>
      <c r="AR127">
        <f t="shared" si="79"/>
        <v>-107.51445086705202</v>
      </c>
      <c r="AT127">
        <f t="shared" si="104"/>
        <v>-234092.58414633642</v>
      </c>
      <c r="AU127">
        <f t="shared" si="105"/>
        <v>-647631.88299956138</v>
      </c>
      <c r="AV127">
        <f t="shared" si="93"/>
        <v>-1.917643202648218</v>
      </c>
      <c r="AW127">
        <f t="shared" si="94"/>
        <v>-148576.63289095528</v>
      </c>
      <c r="AX127">
        <f t="shared" si="95"/>
        <v>-79910.255044856371</v>
      </c>
      <c r="AY127">
        <f t="shared" si="103"/>
        <v>-2.6481342948312334</v>
      </c>
      <c r="BA127">
        <f t="shared" si="80"/>
        <v>4.0819750079132318</v>
      </c>
      <c r="BB127">
        <f t="shared" si="96"/>
        <v>12.217406827990052</v>
      </c>
      <c r="BC127">
        <f t="shared" si="97"/>
        <v>0.73049109218301544</v>
      </c>
      <c r="BD127">
        <f t="shared" si="81"/>
        <v>-138.14594339818603</v>
      </c>
      <c r="BF127">
        <f t="shared" si="82"/>
        <v>-2.0834999838022976</v>
      </c>
      <c r="BG127">
        <f t="shared" si="83"/>
        <v>-114.90961935394161</v>
      </c>
      <c r="BH127">
        <f t="shared" si="98"/>
        <v>65.090380646058392</v>
      </c>
      <c r="BI127">
        <f t="shared" si="99"/>
        <v>65.090380646058392</v>
      </c>
      <c r="BJ127">
        <f t="shared" si="84"/>
        <v>0</v>
      </c>
      <c r="BK127">
        <f t="shared" si="100"/>
        <v>0</v>
      </c>
      <c r="BM127">
        <f t="shared" si="101"/>
        <v>-14.300906811792348</v>
      </c>
      <c r="BN127">
        <f t="shared" si="85"/>
        <v>-156.76367595575559</v>
      </c>
      <c r="BQ127" s="56">
        <f t="shared" si="102"/>
        <v>29.119367628275189</v>
      </c>
      <c r="BR127" s="59"/>
      <c r="BS127" s="59"/>
      <c r="BT127" s="59">
        <v>1479.1079999999999</v>
      </c>
      <c r="BU127" s="59">
        <v>11.714700000000001</v>
      </c>
      <c r="BV127" s="59">
        <v>-257.745</v>
      </c>
      <c r="BW127" s="61"/>
      <c r="BY127" s="59"/>
      <c r="BZ127" s="59"/>
      <c r="CA127" s="59"/>
      <c r="CC127" s="59"/>
    </row>
    <row r="128" spans="1:81" x14ac:dyDescent="0.25">
      <c r="A128">
        <f t="shared" si="106"/>
        <v>47000</v>
      </c>
      <c r="B128">
        <f t="shared" si="86"/>
        <v>47</v>
      </c>
      <c r="C128">
        <f t="shared" si="55"/>
        <v>1.0732897619192485</v>
      </c>
      <c r="D128">
        <f t="shared" si="56"/>
        <v>0.37169011919176737</v>
      </c>
      <c r="F128">
        <f t="shared" si="57"/>
        <v>1.173165668037812E-2</v>
      </c>
      <c r="G128">
        <f t="shared" si="58"/>
        <v>3.705752507148298E-2</v>
      </c>
      <c r="H128">
        <f t="shared" si="59"/>
        <v>-3.1045351249285171</v>
      </c>
      <c r="J128">
        <f t="shared" si="60"/>
        <v>15</v>
      </c>
      <c r="M128">
        <f t="shared" si="61"/>
        <v>2.7068548271809174E-2</v>
      </c>
      <c r="N128">
        <f t="shared" si="62"/>
        <v>-1.5707963250000001</v>
      </c>
      <c r="O128">
        <f t="shared" si="63"/>
        <v>13.691688286180035</v>
      </c>
      <c r="P128">
        <f t="shared" si="64"/>
        <v>1.4976942237094983</v>
      </c>
      <c r="Q128">
        <f t="shared" si="65"/>
        <v>12.099480939097376</v>
      </c>
      <c r="R128">
        <f t="shared" si="66"/>
        <v>1.4880537717902298</v>
      </c>
      <c r="S128">
        <f t="shared" si="67"/>
        <v>0.93973751566734343</v>
      </c>
      <c r="T128">
        <f t="shared" si="68"/>
        <v>-0.34893456286827235</v>
      </c>
      <c r="U128">
        <f t="shared" si="69"/>
        <v>0.95921029011510328</v>
      </c>
      <c r="V128">
        <f t="shared" si="70"/>
        <v>-0.28660099912442183</v>
      </c>
      <c r="X128">
        <f t="shared" si="87"/>
        <v>-2.3444661561950317</v>
      </c>
      <c r="Y128">
        <f t="shared" si="71"/>
        <v>-111.92323151804828</v>
      </c>
      <c r="Z128">
        <f t="shared" si="88"/>
        <v>68.076768481951717</v>
      </c>
      <c r="AC128">
        <v>1</v>
      </c>
      <c r="AD128">
        <f t="shared" si="72"/>
        <v>13.655120948784001</v>
      </c>
      <c r="AE128">
        <f t="shared" si="73"/>
        <v>-6.0487346926660791E-4</v>
      </c>
      <c r="AF128">
        <f t="shared" si="74"/>
        <v>2.0524024782449996E-3</v>
      </c>
      <c r="AG128">
        <f t="shared" si="89"/>
        <v>5989.4202573476405</v>
      </c>
      <c r="AH128">
        <f t="shared" si="90"/>
        <v>-2252.4049054503862</v>
      </c>
      <c r="AJ128">
        <f t="shared" si="75"/>
        <v>18000</v>
      </c>
      <c r="AK128">
        <f t="shared" si="76"/>
        <v>6548.7881090015999</v>
      </c>
      <c r="AL128">
        <v>1</v>
      </c>
      <c r="AM128">
        <f t="shared" si="77"/>
        <v>12.058086041971201</v>
      </c>
      <c r="AN128">
        <f t="shared" si="91"/>
        <v>662.34663088543698</v>
      </c>
      <c r="AO128">
        <f t="shared" si="92"/>
        <v>-1437.8445558247388</v>
      </c>
      <c r="AQ128">
        <f t="shared" si="78"/>
        <v>1.1316057485572026</v>
      </c>
      <c r="AR128">
        <f t="shared" si="79"/>
        <v>-106.37094036437705</v>
      </c>
      <c r="AT128">
        <f t="shared" si="104"/>
        <v>-232812.76548035379</v>
      </c>
      <c r="AU128">
        <f t="shared" si="105"/>
        <v>-639649.09935060376</v>
      </c>
      <c r="AV128">
        <f t="shared" si="93"/>
        <v>-1.919861532429175</v>
      </c>
      <c r="AW128">
        <f t="shared" si="94"/>
        <v>-145326.06785414802</v>
      </c>
      <c r="AX128">
        <f t="shared" si="95"/>
        <v>-78788.842077957073</v>
      </c>
      <c r="AY128">
        <f t="shared" si="103"/>
        <v>-2.6447946126298221</v>
      </c>
      <c r="BA128">
        <f t="shared" si="80"/>
        <v>4.117723051195731</v>
      </c>
      <c r="BB128">
        <f t="shared" si="96"/>
        <v>12.29314267185606</v>
      </c>
      <c r="BC128">
        <f t="shared" si="97"/>
        <v>0.72493308020064706</v>
      </c>
      <c r="BD128">
        <f t="shared" si="81"/>
        <v>-138.46439402762275</v>
      </c>
      <c r="BF128">
        <f t="shared" si="82"/>
        <v>-2.1835055111399488</v>
      </c>
      <c r="BG128">
        <f t="shared" si="83"/>
        <v>-115.04487909866306</v>
      </c>
      <c r="BH128">
        <f t="shared" si="98"/>
        <v>64.95512090133694</v>
      </c>
      <c r="BI128">
        <f t="shared" si="99"/>
        <v>64.95512090133694</v>
      </c>
      <c r="BJ128">
        <f t="shared" si="84"/>
        <v>0</v>
      </c>
      <c r="BK128">
        <f t="shared" si="100"/>
        <v>0</v>
      </c>
      <c r="BM128">
        <f t="shared" si="101"/>
        <v>-14.47664818299601</v>
      </c>
      <c r="BN128">
        <f t="shared" si="85"/>
        <v>-156.5804850710403</v>
      </c>
      <c r="BQ128" s="56">
        <f t="shared" si="102"/>
        <v>29.195103472141195</v>
      </c>
      <c r="BR128" s="59"/>
      <c r="BS128" s="59"/>
      <c r="BT128" s="59">
        <v>1513.5609999999999</v>
      </c>
      <c r="BU128" s="59">
        <v>11.5252</v>
      </c>
      <c r="BV128" s="59">
        <v>-257.61</v>
      </c>
      <c r="BW128" s="61"/>
      <c r="BY128" s="59"/>
      <c r="BZ128" s="59"/>
      <c r="CA128" s="59"/>
      <c r="CC128" s="59"/>
    </row>
    <row r="129" spans="1:81" x14ac:dyDescent="0.25">
      <c r="A129">
        <f t="shared" si="106"/>
        <v>47500</v>
      </c>
      <c r="B129">
        <f t="shared" si="86"/>
        <v>47.5</v>
      </c>
      <c r="C129">
        <f t="shared" si="55"/>
        <v>1.0748028228420077</v>
      </c>
      <c r="D129">
        <f t="shared" si="56"/>
        <v>0.37528495412831453</v>
      </c>
      <c r="F129">
        <f t="shared" si="57"/>
        <v>1.1483303454407467E-2</v>
      </c>
      <c r="G129">
        <f t="shared" si="58"/>
        <v>3.665873978381292E-2</v>
      </c>
      <c r="H129">
        <f t="shared" si="59"/>
        <v>-3.1049339102161873</v>
      </c>
      <c r="J129">
        <f t="shared" si="60"/>
        <v>15</v>
      </c>
      <c r="M129">
        <f t="shared" si="61"/>
        <v>2.6783616184737496E-2</v>
      </c>
      <c r="N129">
        <f t="shared" si="62"/>
        <v>-1.5707963250000001</v>
      </c>
      <c r="O129">
        <f t="shared" si="63"/>
        <v>13.836571622887144</v>
      </c>
      <c r="P129">
        <f t="shared" si="64"/>
        <v>1.4984610239519636</v>
      </c>
      <c r="Q129">
        <f t="shared" si="65"/>
        <v>12.227324181817201</v>
      </c>
      <c r="R129">
        <f t="shared" si="66"/>
        <v>1.4889208383015915</v>
      </c>
      <c r="S129">
        <f t="shared" si="67"/>
        <v>0.938564890562955</v>
      </c>
      <c r="T129">
        <f t="shared" si="68"/>
        <v>-0.35234831742371242</v>
      </c>
      <c r="U129">
        <f t="shared" si="69"/>
        <v>0.95839151382865784</v>
      </c>
      <c r="V129">
        <f t="shared" si="70"/>
        <v>-0.28948324842213796</v>
      </c>
      <c r="X129">
        <f t="shared" si="87"/>
        <v>-2.4455340426837884</v>
      </c>
      <c r="Y129">
        <f t="shared" si="71"/>
        <v>-112.00723214145225</v>
      </c>
      <c r="Z129">
        <f t="shared" si="88"/>
        <v>67.992767858547751</v>
      </c>
      <c r="AC129">
        <v>1</v>
      </c>
      <c r="AD129">
        <f t="shared" si="72"/>
        <v>13.800388192919998</v>
      </c>
      <c r="AE129">
        <f t="shared" si="73"/>
        <v>-6.1781157312484577E-4</v>
      </c>
      <c r="AF129">
        <f t="shared" si="74"/>
        <v>2.0742365471624999E-3</v>
      </c>
      <c r="AG129">
        <f t="shared" si="89"/>
        <v>5979.1995532622805</v>
      </c>
      <c r="AH129">
        <f t="shared" si="90"/>
        <v>-2263.010305381822</v>
      </c>
      <c r="AJ129">
        <f t="shared" si="75"/>
        <v>18000</v>
      </c>
      <c r="AK129">
        <f t="shared" si="76"/>
        <v>6618.456067608</v>
      </c>
      <c r="AL129">
        <v>1</v>
      </c>
      <c r="AM129">
        <f t="shared" si="77"/>
        <v>12.186363553056001</v>
      </c>
      <c r="AN129">
        <f t="shared" si="91"/>
        <v>659.86616328152218</v>
      </c>
      <c r="AO129">
        <f t="shared" si="92"/>
        <v>-1422.9128945008417</v>
      </c>
      <c r="AQ129">
        <f t="shared" si="78"/>
        <v>1.1079104808331486</v>
      </c>
      <c r="AR129">
        <f t="shared" si="79"/>
        <v>-105.25149567914913</v>
      </c>
      <c r="AT129">
        <f t="shared" si="104"/>
        <v>-231560.80152671263</v>
      </c>
      <c r="AU129">
        <f t="shared" si="105"/>
        <v>-631826.90878052125</v>
      </c>
      <c r="AV129">
        <f t="shared" si="93"/>
        <v>-1.9220889510282422</v>
      </c>
      <c r="AW129">
        <f t="shared" si="94"/>
        <v>-142176.95804197347</v>
      </c>
      <c r="AX129">
        <f t="shared" si="95"/>
        <v>-77700.742658043557</v>
      </c>
      <c r="AY129">
        <f t="shared" si="103"/>
        <v>-2.641434947588682</v>
      </c>
      <c r="BA129">
        <f t="shared" si="80"/>
        <v>4.1532383122916574</v>
      </c>
      <c r="BB129">
        <f t="shared" si="96"/>
        <v>12.367737031751316</v>
      </c>
      <c r="BC129">
        <f t="shared" si="97"/>
        <v>0.71934599656043985</v>
      </c>
      <c r="BD129">
        <f t="shared" si="81"/>
        <v>-138.78451034035902</v>
      </c>
      <c r="BF129">
        <f t="shared" si="82"/>
        <v>-2.2825249891240613</v>
      </c>
      <c r="BG129">
        <f t="shared" si="83"/>
        <v>-115.18187525519512</v>
      </c>
      <c r="BH129">
        <f t="shared" si="98"/>
        <v>64.818124744804877</v>
      </c>
      <c r="BI129">
        <f t="shared" si="99"/>
        <v>64.818124744804877</v>
      </c>
      <c r="BJ129">
        <f t="shared" si="84"/>
        <v>0</v>
      </c>
      <c r="BK129">
        <f t="shared" si="100"/>
        <v>0</v>
      </c>
      <c r="BM129">
        <f t="shared" si="101"/>
        <v>-14.650262020875378</v>
      </c>
      <c r="BN129">
        <f t="shared" si="85"/>
        <v>-156.39736491483615</v>
      </c>
      <c r="BQ129" s="56">
        <f t="shared" si="102"/>
        <v>29.269697832036453</v>
      </c>
      <c r="BR129" s="59"/>
      <c r="BS129" s="59"/>
      <c r="BT129" s="59">
        <v>1548.817</v>
      </c>
      <c r="BU129" s="59">
        <v>11.3354</v>
      </c>
      <c r="BV129" s="59">
        <v>-257.471</v>
      </c>
      <c r="BW129" s="61"/>
      <c r="BY129" s="59"/>
      <c r="BZ129" s="59"/>
      <c r="CA129" s="59"/>
      <c r="CC129" s="59"/>
    </row>
    <row r="130" spans="1:81" x14ac:dyDescent="0.25">
      <c r="A130">
        <f t="shared" si="106"/>
        <v>48000</v>
      </c>
      <c r="B130">
        <f t="shared" si="86"/>
        <v>48</v>
      </c>
      <c r="C130">
        <f t="shared" si="55"/>
        <v>1.0763297341126266</v>
      </c>
      <c r="D130">
        <f t="shared" si="56"/>
        <v>0.37886963581463001</v>
      </c>
      <c r="F130">
        <f t="shared" si="57"/>
        <v>1.124278084521195E-2</v>
      </c>
      <c r="G130">
        <f t="shared" si="58"/>
        <v>3.626853409019417E-2</v>
      </c>
      <c r="H130">
        <f t="shared" si="59"/>
        <v>-3.1053241159098062</v>
      </c>
      <c r="J130">
        <f t="shared" si="60"/>
        <v>15</v>
      </c>
      <c r="M130">
        <f t="shared" si="61"/>
        <v>2.650462018281315E-2</v>
      </c>
      <c r="N130">
        <f t="shared" si="62"/>
        <v>-1.5707963250000001</v>
      </c>
      <c r="O130">
        <f t="shared" si="63"/>
        <v>13.981462926642889</v>
      </c>
      <c r="P130">
        <f t="shared" si="64"/>
        <v>1.4992119317725885</v>
      </c>
      <c r="Q130">
        <f t="shared" si="65"/>
        <v>12.355176426851333</v>
      </c>
      <c r="R130">
        <f t="shared" si="66"/>
        <v>1.4897699605084185</v>
      </c>
      <c r="S130">
        <f t="shared" si="67"/>
        <v>0.93738430513426863</v>
      </c>
      <c r="T130">
        <f t="shared" si="68"/>
        <v>-0.35575352351308381</v>
      </c>
      <c r="U130">
        <f t="shared" si="69"/>
        <v>0.95756619968729761</v>
      </c>
      <c r="V130">
        <f t="shared" si="70"/>
        <v>-0.29236055751892204</v>
      </c>
      <c r="X130">
        <f t="shared" si="87"/>
        <v>-2.5456004074125982</v>
      </c>
      <c r="Y130">
        <f t="shared" si="71"/>
        <v>-112.09248878663867</v>
      </c>
      <c r="Z130">
        <f t="shared" si="88"/>
        <v>67.907511213361332</v>
      </c>
      <c r="AC130">
        <v>1</v>
      </c>
      <c r="AD130">
        <f t="shared" si="72"/>
        <v>13.945655437055999</v>
      </c>
      <c r="AE130">
        <f t="shared" si="73"/>
        <v>-6.3088658813502255E-4</v>
      </c>
      <c r="AF130">
        <f t="shared" si="74"/>
        <v>2.0960706160800002E-3</v>
      </c>
      <c r="AG130">
        <f t="shared" si="89"/>
        <v>5968.9060706508481</v>
      </c>
      <c r="AH130">
        <f t="shared" si="90"/>
        <v>-2273.636560357872</v>
      </c>
      <c r="AJ130">
        <f t="shared" si="75"/>
        <v>18000</v>
      </c>
      <c r="AK130">
        <f t="shared" si="76"/>
        <v>6688.1240262143992</v>
      </c>
      <c r="AL130">
        <v>1</v>
      </c>
      <c r="AM130">
        <f t="shared" si="77"/>
        <v>12.314641064140801</v>
      </c>
      <c r="AN130">
        <f t="shared" si="91"/>
        <v>657.46212876321624</v>
      </c>
      <c r="AO130">
        <f t="shared" si="92"/>
        <v>-1408.2861027705301</v>
      </c>
      <c r="AQ130">
        <f t="shared" si="78"/>
        <v>1.0849517196484757</v>
      </c>
      <c r="AR130">
        <f t="shared" si="79"/>
        <v>-104.15536508625367</v>
      </c>
      <c r="AT130">
        <f t="shared" si="104"/>
        <v>-230335.47111175532</v>
      </c>
      <c r="AU130">
        <f t="shared" si="105"/>
        <v>-624160.37685021083</v>
      </c>
      <c r="AV130">
        <f t="shared" si="93"/>
        <v>-1.9243249894051571</v>
      </c>
      <c r="AW130">
        <f t="shared" si="94"/>
        <v>-139125.15396890859</v>
      </c>
      <c r="AX130">
        <f t="shared" si="95"/>
        <v>-76644.529312172846</v>
      </c>
      <c r="AY130">
        <f t="shared" si="103"/>
        <v>-2.6380560685709415</v>
      </c>
      <c r="BA130">
        <f t="shared" si="80"/>
        <v>4.1885185105994402</v>
      </c>
      <c r="BB130">
        <f t="shared" si="96"/>
        <v>12.441208781785049</v>
      </c>
      <c r="BC130">
        <f t="shared" si="97"/>
        <v>0.71373107916578449</v>
      </c>
      <c r="BD130">
        <f t="shared" si="81"/>
        <v>-139.10622140975494</v>
      </c>
      <c r="BF130">
        <f t="shared" si="82"/>
        <v>-2.3805843750535565</v>
      </c>
      <c r="BG130">
        <f t="shared" si="83"/>
        <v>-115.32055633224454</v>
      </c>
      <c r="BH130">
        <f t="shared" si="98"/>
        <v>64.679443667755464</v>
      </c>
      <c r="BI130">
        <f t="shared" si="99"/>
        <v>64.679443667755464</v>
      </c>
      <c r="BJ130">
        <f t="shared" si="84"/>
        <v>0</v>
      </c>
      <c r="BK130">
        <f t="shared" si="100"/>
        <v>0</v>
      </c>
      <c r="BM130">
        <f t="shared" si="101"/>
        <v>-14.821793156838606</v>
      </c>
      <c r="BN130">
        <f t="shared" si="85"/>
        <v>-156.2143349224896</v>
      </c>
      <c r="BQ130" s="56">
        <f t="shared" si="102"/>
        <v>29.343169582070185</v>
      </c>
      <c r="BR130" s="59"/>
      <c r="BS130" s="59"/>
      <c r="BT130" s="59">
        <v>1584.893</v>
      </c>
      <c r="BU130" s="59">
        <v>11.160399999999999</v>
      </c>
      <c r="BV130" s="59">
        <v>-256.94200000000001</v>
      </c>
      <c r="BW130" s="61"/>
      <c r="BY130" s="59"/>
      <c r="BZ130" s="59"/>
      <c r="CA130" s="59"/>
      <c r="CC130" s="59"/>
    </row>
    <row r="131" spans="1:81" x14ac:dyDescent="0.25">
      <c r="A131">
        <f t="shared" si="106"/>
        <v>48500</v>
      </c>
      <c r="B131">
        <f t="shared" si="86"/>
        <v>48.5</v>
      </c>
      <c r="C131">
        <f t="shared" si="55"/>
        <v>1.0778704368698979</v>
      </c>
      <c r="D131">
        <f t="shared" si="56"/>
        <v>0.38244411547076557</v>
      </c>
      <c r="F131">
        <f t="shared" si="57"/>
        <v>1.1009761988143728E-2</v>
      </c>
      <c r="G131">
        <f t="shared" si="58"/>
        <v>3.5886631427349922E-2</v>
      </c>
      <c r="H131">
        <f t="shared" si="59"/>
        <v>-3.1057060185726502</v>
      </c>
      <c r="J131">
        <f t="shared" si="60"/>
        <v>15</v>
      </c>
      <c r="M131">
        <f t="shared" si="61"/>
        <v>2.6231376675773837E-2</v>
      </c>
      <c r="N131">
        <f t="shared" si="62"/>
        <v>-1.5707963250000001</v>
      </c>
      <c r="O131">
        <f t="shared" si="63"/>
        <v>14.12636195229795</v>
      </c>
      <c r="P131">
        <f t="shared" si="64"/>
        <v>1.4999474353536022</v>
      </c>
      <c r="Q131">
        <f t="shared" si="65"/>
        <v>12.483037397592554</v>
      </c>
      <c r="R131">
        <f t="shared" si="66"/>
        <v>1.4906016885655871</v>
      </c>
      <c r="S131">
        <f t="shared" si="67"/>
        <v>0.93619587136169558</v>
      </c>
      <c r="T131">
        <f t="shared" si="68"/>
        <v>-0.35915013453379957</v>
      </c>
      <c r="U131">
        <f t="shared" si="69"/>
        <v>0.95673440550897881</v>
      </c>
      <c r="V131">
        <f t="shared" si="70"/>
        <v>-0.29523289158629734</v>
      </c>
      <c r="X131">
        <f t="shared" si="87"/>
        <v>-2.6446890236966887</v>
      </c>
      <c r="Y131">
        <f t="shared" si="71"/>
        <v>-112.17895593641097</v>
      </c>
      <c r="Z131">
        <f t="shared" si="88"/>
        <v>67.821044063589028</v>
      </c>
      <c r="AC131">
        <v>1</v>
      </c>
      <c r="AD131">
        <f t="shared" si="72"/>
        <v>14.090922681192</v>
      </c>
      <c r="AE131">
        <f t="shared" si="73"/>
        <v>-6.4409851429713825E-4</v>
      </c>
      <c r="AF131">
        <f t="shared" si="74"/>
        <v>2.1179046849975E-3</v>
      </c>
      <c r="AG131">
        <f t="shared" si="89"/>
        <v>5958.5407404413891</v>
      </c>
      <c r="AH131">
        <f t="shared" si="90"/>
        <v>-2284.279964328508</v>
      </c>
      <c r="AJ131">
        <f t="shared" si="75"/>
        <v>18000</v>
      </c>
      <c r="AK131">
        <f t="shared" si="76"/>
        <v>6757.7919848207994</v>
      </c>
      <c r="AL131">
        <v>1</v>
      </c>
      <c r="AM131">
        <f t="shared" si="77"/>
        <v>12.442918575225599</v>
      </c>
      <c r="AN131">
        <f t="shared" si="91"/>
        <v>655.13142567686486</v>
      </c>
      <c r="AO131">
        <f t="shared" si="92"/>
        <v>-1393.9550009478914</v>
      </c>
      <c r="AQ131">
        <f t="shared" si="78"/>
        <v>1.0626992561105206</v>
      </c>
      <c r="AR131">
        <f t="shared" si="79"/>
        <v>-103.08182784272051</v>
      </c>
      <c r="AT131">
        <f t="shared" si="104"/>
        <v>-229135.61721511572</v>
      </c>
      <c r="AU131">
        <f t="shared" si="105"/>
        <v>-616644.77341885574</v>
      </c>
      <c r="AV131">
        <f t="shared" si="93"/>
        <v>-1.9265691966762448</v>
      </c>
      <c r="AW131">
        <f t="shared" si="94"/>
        <v>-136166.71566776515</v>
      </c>
      <c r="AX131">
        <f t="shared" si="95"/>
        <v>-75618.852618023084</v>
      </c>
      <c r="AY131">
        <f t="shared" si="103"/>
        <v>-2.6346587199418972</v>
      </c>
      <c r="BA131">
        <f t="shared" si="80"/>
        <v>4.2235614037565243</v>
      </c>
      <c r="BB131">
        <f t="shared" si="96"/>
        <v>12.513576250088089</v>
      </c>
      <c r="BC131">
        <f t="shared" si="97"/>
        <v>0.70808952326565233</v>
      </c>
      <c r="BD131">
        <f t="shared" si="81"/>
        <v>-139.42945875308902</v>
      </c>
      <c r="BF131">
        <f t="shared" si="82"/>
        <v>-2.4777087503068378</v>
      </c>
      <c r="BG131">
        <f t="shared" si="83"/>
        <v>-115.46087248788344</v>
      </c>
      <c r="BH131">
        <f t="shared" si="98"/>
        <v>64.539127512116565</v>
      </c>
      <c r="BI131">
        <f t="shared" si="99"/>
        <v>64.539127512116565</v>
      </c>
      <c r="BJ131">
        <f t="shared" si="84"/>
        <v>0</v>
      </c>
      <c r="BK131">
        <f t="shared" si="100"/>
        <v>0</v>
      </c>
      <c r="BM131">
        <f t="shared" si="101"/>
        <v>-14.991285000394928</v>
      </c>
      <c r="BN131">
        <f t="shared" si="85"/>
        <v>-156.03141373479443</v>
      </c>
      <c r="BQ131" s="56">
        <f t="shared" si="102"/>
        <v>29.415537050373224</v>
      </c>
      <c r="BR131" s="59"/>
      <c r="BS131" s="59"/>
      <c r="BT131" s="59">
        <v>1621.81</v>
      </c>
      <c r="BU131" s="59">
        <v>10.9787</v>
      </c>
      <c r="BV131" s="59">
        <v>-256.75299999999999</v>
      </c>
      <c r="BW131" s="61"/>
      <c r="BY131" s="59"/>
      <c r="BZ131" s="59"/>
      <c r="CA131" s="59"/>
      <c r="CC131" s="59"/>
    </row>
    <row r="132" spans="1:81" x14ac:dyDescent="0.25">
      <c r="A132">
        <f t="shared" si="106"/>
        <v>49000</v>
      </c>
      <c r="B132">
        <f t="shared" si="86"/>
        <v>49</v>
      </c>
      <c r="C132">
        <f t="shared" si="55"/>
        <v>1.0794248720585378</v>
      </c>
      <c r="D132">
        <f t="shared" si="56"/>
        <v>0.38600834563680336</v>
      </c>
      <c r="F132">
        <f t="shared" si="57"/>
        <v>1.0783936951617576E-2</v>
      </c>
      <c r="G132">
        <f t="shared" si="58"/>
        <v>3.5512767095131813E-2</v>
      </c>
      <c r="H132">
        <f t="shared" si="59"/>
        <v>-3.1060798829048686</v>
      </c>
      <c r="J132">
        <f t="shared" si="60"/>
        <v>15</v>
      </c>
      <c r="M132">
        <f t="shared" si="61"/>
        <v>2.5963709566837367E-2</v>
      </c>
      <c r="N132">
        <f t="shared" si="62"/>
        <v>-1.5707963250000001</v>
      </c>
      <c r="O132">
        <f t="shared" si="63"/>
        <v>14.271268464646385</v>
      </c>
      <c r="P132">
        <f t="shared" si="64"/>
        <v>1.5006680031180277</v>
      </c>
      <c r="Q132">
        <f t="shared" si="65"/>
        <v>12.610906828633139</v>
      </c>
      <c r="R132">
        <f t="shared" si="66"/>
        <v>1.4914165504131571</v>
      </c>
      <c r="S132">
        <f t="shared" si="67"/>
        <v>0.93499970116516307</v>
      </c>
      <c r="T132">
        <f t="shared" si="68"/>
        <v>-0.36253810491149752</v>
      </c>
      <c r="U132">
        <f t="shared" si="69"/>
        <v>0.95589618928658315</v>
      </c>
      <c r="V132">
        <f t="shared" si="70"/>
        <v>-0.29810021624447902</v>
      </c>
      <c r="X132">
        <f t="shared" si="87"/>
        <v>-2.7428228443269553</v>
      </c>
      <c r="Y132">
        <f t="shared" si="71"/>
        <v>-112.2665898077888</v>
      </c>
      <c r="Z132">
        <f t="shared" si="88"/>
        <v>67.733410192211196</v>
      </c>
      <c r="AC132">
        <v>1</v>
      </c>
      <c r="AD132">
        <f t="shared" si="72"/>
        <v>14.236189925327999</v>
      </c>
      <c r="AE132">
        <f t="shared" si="73"/>
        <v>-6.5744735161119298E-4</v>
      </c>
      <c r="AF132">
        <f t="shared" si="74"/>
        <v>2.1397387539149998E-3</v>
      </c>
      <c r="AG132">
        <f t="shared" si="89"/>
        <v>5948.1044948842627</v>
      </c>
      <c r="AH132">
        <f t="shared" si="90"/>
        <v>-2294.9369582074514</v>
      </c>
      <c r="AJ132">
        <f t="shared" si="75"/>
        <v>18000</v>
      </c>
      <c r="AK132">
        <f t="shared" si="76"/>
        <v>6827.4599434271995</v>
      </c>
      <c r="AL132">
        <v>1</v>
      </c>
      <c r="AM132">
        <f t="shared" si="77"/>
        <v>12.571196086310399</v>
      </c>
      <c r="AN132">
        <f t="shared" si="91"/>
        <v>652.8711077881984</v>
      </c>
      <c r="AO132">
        <f t="shared" si="92"/>
        <v>-1379.9107716649357</v>
      </c>
      <c r="AQ132">
        <f t="shared" si="78"/>
        <v>1.0411244143675169</v>
      </c>
      <c r="AR132">
        <f t="shared" si="79"/>
        <v>-102.03019260801666</v>
      </c>
      <c r="AT132">
        <f t="shared" si="104"/>
        <v>-227960.14306032896</v>
      </c>
      <c r="AU132">
        <f t="shared" si="105"/>
        <v>-609275.56216227508</v>
      </c>
      <c r="AV132">
        <f t="shared" si="93"/>
        <v>-1.9288211392222903</v>
      </c>
      <c r="AW132">
        <f t="shared" si="94"/>
        <v>-133297.9001506092</v>
      </c>
      <c r="AX132">
        <f t="shared" si="95"/>
        <v>-74622.436083078064</v>
      </c>
      <c r="AY132">
        <f t="shared" si="103"/>
        <v>-2.6312436228580607</v>
      </c>
      <c r="BA132">
        <f t="shared" si="80"/>
        <v>4.258364788037226</v>
      </c>
      <c r="BB132">
        <f t="shared" si="96"/>
        <v>12.584857240898915</v>
      </c>
      <c r="BC132">
        <f t="shared" si="97"/>
        <v>0.70242248363577042</v>
      </c>
      <c r="BD132">
        <f t="shared" si="81"/>
        <v>-139.75415620658563</v>
      </c>
      <c r="BF132">
        <f t="shared" si="82"/>
        <v>-2.5739223593828764</v>
      </c>
      <c r="BG132">
        <f t="shared" si="83"/>
        <v>-115.60277544379059</v>
      </c>
      <c r="BH132">
        <f t="shared" si="98"/>
        <v>64.397224556209409</v>
      </c>
      <c r="BI132">
        <f t="shared" si="99"/>
        <v>64.397224556209409</v>
      </c>
      <c r="BJ132">
        <f t="shared" si="84"/>
        <v>0</v>
      </c>
      <c r="BK132">
        <f t="shared" si="100"/>
        <v>0</v>
      </c>
      <c r="BM132">
        <f t="shared" si="101"/>
        <v>-15.158779600281791</v>
      </c>
      <c r="BN132">
        <f t="shared" si="85"/>
        <v>-155.84861923720496</v>
      </c>
      <c r="BQ132" s="56">
        <f t="shared" si="102"/>
        <v>29.486818041184048</v>
      </c>
      <c r="BR132" s="59"/>
      <c r="BS132" s="59"/>
      <c r="BT132" s="59">
        <v>1659.587</v>
      </c>
      <c r="BU132" s="59">
        <v>10.7578</v>
      </c>
      <c r="BV132" s="59">
        <v>-256.85699999999997</v>
      </c>
      <c r="BW132" s="61"/>
      <c r="BY132" s="59"/>
      <c r="BZ132" s="59"/>
      <c r="CA132" s="59"/>
      <c r="CC132" s="59"/>
    </row>
    <row r="133" spans="1:81" x14ac:dyDescent="0.25">
      <c r="A133">
        <f t="shared" si="106"/>
        <v>49500</v>
      </c>
      <c r="B133">
        <f t="shared" si="86"/>
        <v>49.5</v>
      </c>
      <c r="C133">
        <f t="shared" si="55"/>
        <v>1.0809929804380853</v>
      </c>
      <c r="D133">
        <f t="shared" si="56"/>
        <v>0.3895622801662304</v>
      </c>
      <c r="F133">
        <f t="shared" si="57"/>
        <v>1.0565011692041404E-2</v>
      </c>
      <c r="G133">
        <f t="shared" si="58"/>
        <v>3.5146687622268774E-2</v>
      </c>
      <c r="H133">
        <f t="shared" si="59"/>
        <v>-3.1064459623777316</v>
      </c>
      <c r="J133">
        <f t="shared" si="60"/>
        <v>15</v>
      </c>
      <c r="M133">
        <f t="shared" si="61"/>
        <v>2.5701449874243051E-2</v>
      </c>
      <c r="N133">
        <f t="shared" si="62"/>
        <v>-1.5707963250000001</v>
      </c>
      <c r="O133">
        <f t="shared" si="63"/>
        <v>14.416182237927192</v>
      </c>
      <c r="P133">
        <f t="shared" si="64"/>
        <v>1.5013740847177448</v>
      </c>
      <c r="Q133">
        <f t="shared" si="65"/>
        <v>12.73878446520459</v>
      </c>
      <c r="R133">
        <f t="shared" si="66"/>
        <v>1.4922150528841054</v>
      </c>
      <c r="S133">
        <f t="shared" si="67"/>
        <v>0.93379590638139331</v>
      </c>
      <c r="T133">
        <f t="shared" si="68"/>
        <v>-0.3659173900968119</v>
      </c>
      <c r="U133">
        <f t="shared" si="69"/>
        <v>0.95505160917823162</v>
      </c>
      <c r="V133">
        <f t="shared" si="70"/>
        <v>-0.30096249756296839</v>
      </c>
      <c r="X133">
        <f t="shared" si="87"/>
        <v>-2.8400240388867966</v>
      </c>
      <c r="Y133">
        <f t="shared" si="71"/>
        <v>-112.3553482684961</v>
      </c>
      <c r="Z133">
        <f t="shared" si="88"/>
        <v>67.644651731503899</v>
      </c>
      <c r="AC133">
        <v>1</v>
      </c>
      <c r="AD133">
        <f t="shared" si="72"/>
        <v>14.381457169463999</v>
      </c>
      <c r="AE133">
        <f t="shared" si="73"/>
        <v>-6.7093310007718696E-4</v>
      </c>
      <c r="AF133">
        <f t="shared" si="74"/>
        <v>2.1615728228325001E-3</v>
      </c>
      <c r="AG133">
        <f t="shared" si="89"/>
        <v>5937.5982673735243</v>
      </c>
      <c r="AH133">
        <f t="shared" si="90"/>
        <v>-2305.6041230252094</v>
      </c>
      <c r="AJ133">
        <f t="shared" si="75"/>
        <v>18000</v>
      </c>
      <c r="AK133">
        <f t="shared" si="76"/>
        <v>6897.1279020336005</v>
      </c>
      <c r="AL133">
        <v>1</v>
      </c>
      <c r="AM133">
        <f t="shared" si="77"/>
        <v>12.699473597395199</v>
      </c>
      <c r="AN133">
        <f t="shared" si="91"/>
        <v>650.67837504920271</v>
      </c>
      <c r="AO133">
        <f t="shared" si="92"/>
        <v>-1366.1449422997607</v>
      </c>
      <c r="AQ133">
        <f t="shared" si="78"/>
        <v>1.0201999591920017</v>
      </c>
      <c r="AR133">
        <f t="shared" si="79"/>
        <v>-100.99979596000816</v>
      </c>
      <c r="AT133">
        <f t="shared" si="104"/>
        <v>-226808.00848002674</v>
      </c>
      <c r="AU133">
        <f t="shared" si="105"/>
        <v>-602048.39072944713</v>
      </c>
      <c r="AV133">
        <f t="shared" si="93"/>
        <v>-1.9310803998496948</v>
      </c>
      <c r="AW133">
        <f t="shared" si="94"/>
        <v>-130515.14973435424</v>
      </c>
      <c r="AX133">
        <f t="shared" si="95"/>
        <v>-73654.071412117628</v>
      </c>
      <c r="AY133">
        <f t="shared" si="103"/>
        <v>-2.6278114764750802</v>
      </c>
      <c r="BA133">
        <f t="shared" si="80"/>
        <v>4.2929264987679456</v>
      </c>
      <c r="BB133">
        <f t="shared" si="96"/>
        <v>12.655069055622963</v>
      </c>
      <c r="BC133">
        <f t="shared" si="97"/>
        <v>0.69673107662538536</v>
      </c>
      <c r="BD133">
        <f t="shared" si="81"/>
        <v>-140.08024980814449</v>
      </c>
      <c r="BF133">
        <f t="shared" si="82"/>
        <v>-2.6692486466804062</v>
      </c>
      <c r="BG133">
        <f t="shared" si="83"/>
        <v>-115.74621840470019</v>
      </c>
      <c r="BH133">
        <f t="shared" si="98"/>
        <v>64.253781595299813</v>
      </c>
      <c r="BI133">
        <f t="shared" si="99"/>
        <v>64.253781595299813</v>
      </c>
      <c r="BJ133">
        <f t="shared" si="84"/>
        <v>0</v>
      </c>
      <c r="BK133">
        <f t="shared" si="100"/>
        <v>0</v>
      </c>
      <c r="BM133">
        <f t="shared" si="101"/>
        <v>-15.324317702303372</v>
      </c>
      <c r="BN133">
        <f t="shared" si="85"/>
        <v>-155.6659685965557</v>
      </c>
      <c r="BQ133" s="56">
        <f t="shared" si="102"/>
        <v>29.557029855908098</v>
      </c>
      <c r="BR133" s="59"/>
      <c r="BS133" s="59"/>
      <c r="BT133" s="59">
        <v>1698.2439999999999</v>
      </c>
      <c r="BU133" s="59">
        <v>10.580500000000001</v>
      </c>
      <c r="BV133" s="59">
        <v>-256.31299999999999</v>
      </c>
      <c r="BW133" s="61"/>
      <c r="BY133" s="59"/>
      <c r="BZ133" s="59"/>
      <c r="CA133" s="59"/>
      <c r="CC133" s="59"/>
    </row>
    <row r="134" spans="1:81" x14ac:dyDescent="0.25">
      <c r="A134">
        <f t="shared" si="106"/>
        <v>50000</v>
      </c>
      <c r="B134">
        <f t="shared" si="86"/>
        <v>50</v>
      </c>
      <c r="C134">
        <f t="shared" si="55"/>
        <v>1.0825747025917321</v>
      </c>
      <c r="D134">
        <f t="shared" si="56"/>
        <v>0.3931058742190221</v>
      </c>
      <c r="F134">
        <f t="shared" si="57"/>
        <v>1.0352707083449321E-2</v>
      </c>
      <c r="G134">
        <f t="shared" si="58"/>
        <v>3.4788150172653687E-2</v>
      </c>
      <c r="H134">
        <f t="shared" si="59"/>
        <v>-3.1068044998273465</v>
      </c>
      <c r="J134">
        <f t="shared" si="60"/>
        <v>15</v>
      </c>
      <c r="M134">
        <f t="shared" si="61"/>
        <v>2.5444435375500618E-2</v>
      </c>
      <c r="N134">
        <f t="shared" si="62"/>
        <v>-1.5707963250000001</v>
      </c>
      <c r="O134">
        <f t="shared" si="63"/>
        <v>14.561103055355463</v>
      </c>
      <c r="P134">
        <f t="shared" si="64"/>
        <v>1.5020661119629475</v>
      </c>
      <c r="Q134">
        <f t="shared" si="65"/>
        <v>12.866670062650627</v>
      </c>
      <c r="R134">
        <f t="shared" si="66"/>
        <v>1.4929976827465647</v>
      </c>
      <c r="S134">
        <f t="shared" si="67"/>
        <v>0.93258459874152888</v>
      </c>
      <c r="T134">
        <f t="shared" si="68"/>
        <v>-0.36928794656191682</v>
      </c>
      <c r="U134">
        <f t="shared" si="69"/>
        <v>0.95420072349765439</v>
      </c>
      <c r="V134">
        <f t="shared" si="70"/>
        <v>-0.30381970206106063</v>
      </c>
      <c r="X134">
        <f t="shared" si="87"/>
        <v>-2.9363140289505441</v>
      </c>
      <c r="Y134">
        <f t="shared" si="71"/>
        <v>-112.44519075823597</v>
      </c>
      <c r="Z134">
        <f t="shared" si="88"/>
        <v>67.554809241764033</v>
      </c>
      <c r="AC134">
        <v>1</v>
      </c>
      <c r="AD134">
        <f t="shared" si="72"/>
        <v>14.5267244136</v>
      </c>
      <c r="AE134">
        <f t="shared" si="73"/>
        <v>-6.8455575969511985E-4</v>
      </c>
      <c r="AF134">
        <f t="shared" si="74"/>
        <v>2.1834068917499999E-3</v>
      </c>
      <c r="AG134">
        <f t="shared" si="89"/>
        <v>5927.02299226986</v>
      </c>
      <c r="AH134">
        <f t="shared" si="90"/>
        <v>-2316.2781734879704</v>
      </c>
      <c r="AJ134">
        <f t="shared" si="75"/>
        <v>18000</v>
      </c>
      <c r="AK134">
        <f t="shared" si="76"/>
        <v>6966.7958606399998</v>
      </c>
      <c r="AL134">
        <v>1</v>
      </c>
      <c r="AM134">
        <f t="shared" si="77"/>
        <v>12.827751108479999</v>
      </c>
      <c r="AN134">
        <f t="shared" si="91"/>
        <v>648.55056499732223</v>
      </c>
      <c r="AO134">
        <f t="shared" si="92"/>
        <v>-1352.6493684097297</v>
      </c>
      <c r="AQ134">
        <f t="shared" si="78"/>
        <v>0.99990000999900008</v>
      </c>
      <c r="AR134">
        <f t="shared" si="79"/>
        <v>-99.990000999900005</v>
      </c>
      <c r="AT134">
        <f t="shared" si="104"/>
        <v>-225678.22653387379</v>
      </c>
      <c r="AU134">
        <f t="shared" si="105"/>
        <v>-594959.08149232471</v>
      </c>
      <c r="AV134">
        <f t="shared" si="93"/>
        <v>-1.933346577001241</v>
      </c>
      <c r="AW134">
        <f t="shared" si="94"/>
        <v>-127815.0811637196</v>
      </c>
      <c r="AX134">
        <f t="shared" si="95"/>
        <v>-72712.614129807203</v>
      </c>
      <c r="AY134">
        <f t="shared" si="103"/>
        <v>-2.6243629590800817</v>
      </c>
      <c r="BA134">
        <f t="shared" si="80"/>
        <v>4.3272444107571912</v>
      </c>
      <c r="BB134">
        <f t="shared" si="96"/>
        <v>12.724228512920368</v>
      </c>
      <c r="BC134">
        <f t="shared" si="97"/>
        <v>0.69101638207884064</v>
      </c>
      <c r="BD134">
        <f t="shared" si="81"/>
        <v>-140.40767768724209</v>
      </c>
      <c r="BF134">
        <f t="shared" si="82"/>
        <v>-2.7637102911713014</v>
      </c>
      <c r="BG134">
        <f t="shared" si="83"/>
        <v>-115.89115598271691</v>
      </c>
      <c r="BH134">
        <f t="shared" si="98"/>
        <v>64.10884401728309</v>
      </c>
      <c r="BI134">
        <f t="shared" si="99"/>
        <v>64.10884401728309</v>
      </c>
      <c r="BJ134">
        <f t="shared" si="84"/>
        <v>0</v>
      </c>
      <c r="BK134">
        <f t="shared" si="100"/>
        <v>0</v>
      </c>
      <c r="BM134">
        <f t="shared" si="101"/>
        <v>-15.487938804091669</v>
      </c>
      <c r="BN134">
        <f t="shared" si="85"/>
        <v>-155.48347829547484</v>
      </c>
      <c r="BQ134" s="56">
        <f t="shared" si="102"/>
        <v>29.626189313205504</v>
      </c>
      <c r="BR134" s="59"/>
      <c r="BS134" s="59"/>
      <c r="BT134" s="59">
        <v>1737.8009999999999</v>
      </c>
      <c r="BU134" s="59">
        <v>10.4643</v>
      </c>
      <c r="BV134" s="59">
        <v>-256.37900000000002</v>
      </c>
      <c r="BW134" s="61"/>
      <c r="BY134" s="59"/>
      <c r="BZ134" s="59"/>
      <c r="CA134" s="59"/>
      <c r="CC134" s="59"/>
    </row>
    <row r="135" spans="1:81" x14ac:dyDescent="0.25">
      <c r="A135">
        <f t="shared" si="106"/>
        <v>50500</v>
      </c>
      <c r="B135">
        <f t="shared" si="86"/>
        <v>50.5</v>
      </c>
      <c r="C135">
        <f t="shared" si="55"/>
        <v>1.0841699789350734</v>
      </c>
      <c r="D135">
        <f t="shared" si="56"/>
        <v>0.39663908425444194</v>
      </c>
      <c r="F135">
        <f t="shared" si="57"/>
        <v>1.0146758015779311E-2</v>
      </c>
      <c r="G135">
        <f t="shared" si="58"/>
        <v>3.4436921989159326E-2</v>
      </c>
      <c r="H135">
        <f t="shared" si="59"/>
        <v>-3.1071557280108411</v>
      </c>
      <c r="J135">
        <f t="shared" si="60"/>
        <v>15</v>
      </c>
      <c r="M135">
        <f t="shared" si="61"/>
        <v>2.5192510272772892E-2</v>
      </c>
      <c r="N135">
        <f t="shared" si="62"/>
        <v>-1.5707963250000001</v>
      </c>
      <c r="O135">
        <f t="shared" si="63"/>
        <v>14.70603070868121</v>
      </c>
      <c r="P135">
        <f t="shared" si="64"/>
        <v>1.5027444996970005</v>
      </c>
      <c r="Q135">
        <f t="shared" si="65"/>
        <v>12.994563385931141</v>
      </c>
      <c r="R135">
        <f t="shared" si="66"/>
        <v>1.4937649076850359</v>
      </c>
      <c r="S135">
        <f t="shared" si="67"/>
        <v>0.93136588984910251</v>
      </c>
      <c r="T135">
        <f t="shared" si="68"/>
        <v>-0.37264973179684935</v>
      </c>
      <c r="U135">
        <f t="shared" si="69"/>
        <v>0.95334359070461816</v>
      </c>
      <c r="V135">
        <f t="shared" si="70"/>
        <v>-0.30667179670826827</v>
      </c>
      <c r="X135">
        <f t="shared" si="87"/>
        <v>-3.0317135213069593</v>
      </c>
      <c r="Y135">
        <f t="shared" si="71"/>
        <v>-112.53607821443892</v>
      </c>
      <c r="Z135">
        <f t="shared" si="88"/>
        <v>67.463921785561084</v>
      </c>
      <c r="AC135">
        <v>1</v>
      </c>
      <c r="AD135">
        <f t="shared" si="72"/>
        <v>14.671991657735999</v>
      </c>
      <c r="AE135">
        <f t="shared" si="73"/>
        <v>-6.9831533046499188E-4</v>
      </c>
      <c r="AF135">
        <f t="shared" si="74"/>
        <v>2.2052409606674998E-3</v>
      </c>
      <c r="AG135">
        <f t="shared" si="89"/>
        <v>5916.3796047251253</v>
      </c>
      <c r="AH135">
        <f t="shared" si="90"/>
        <v>-2326.9559519140812</v>
      </c>
      <c r="AJ135">
        <f t="shared" si="75"/>
        <v>18000</v>
      </c>
      <c r="AK135">
        <f t="shared" si="76"/>
        <v>7036.4638192463999</v>
      </c>
      <c r="AL135">
        <v>1</v>
      </c>
      <c r="AM135">
        <f t="shared" si="77"/>
        <v>12.956028619564799</v>
      </c>
      <c r="AN135">
        <f t="shared" si="91"/>
        <v>646.48514473809007</v>
      </c>
      <c r="AO135">
        <f t="shared" si="92"/>
        <v>-1339.4162181037871</v>
      </c>
      <c r="AQ135">
        <f t="shared" si="78"/>
        <v>0.98019996079200156</v>
      </c>
      <c r="AR135">
        <f t="shared" si="79"/>
        <v>-99.000196039992161</v>
      </c>
      <c r="AT135">
        <f t="shared" si="104"/>
        <v>-224569.86035933843</v>
      </c>
      <c r="AU135">
        <f t="shared" si="105"/>
        <v>-588003.62284762971</v>
      </c>
      <c r="AV135">
        <f t="shared" si="93"/>
        <v>-1.9356192840130724</v>
      </c>
      <c r="AW135">
        <f t="shared" si="94"/>
        <v>-125194.47547007052</v>
      </c>
      <c r="AX135">
        <f t="shared" si="95"/>
        <v>-71796.979528328666</v>
      </c>
      <c r="AY135">
        <f t="shared" si="103"/>
        <v>-2.620898729153549</v>
      </c>
      <c r="BA135">
        <f t="shared" si="80"/>
        <v>4.3613164387379841</v>
      </c>
      <c r="BB135">
        <f t="shared" si="96"/>
        <v>12.79235196787377</v>
      </c>
      <c r="BC135">
        <f t="shared" si="97"/>
        <v>0.68527944514047667</v>
      </c>
      <c r="BD135">
        <f t="shared" si="81"/>
        <v>-140.73637996151862</v>
      </c>
      <c r="BF135">
        <f t="shared" si="82"/>
        <v>-2.8573292391119316</v>
      </c>
      <c r="BG135">
        <f t="shared" si="83"/>
        <v>-116.03754412618262</v>
      </c>
      <c r="BH135">
        <f t="shared" si="98"/>
        <v>63.962455873817376</v>
      </c>
      <c r="BI135">
        <f t="shared" si="99"/>
        <v>63.962455873817376</v>
      </c>
      <c r="BJ135">
        <f t="shared" si="84"/>
        <v>0</v>
      </c>
      <c r="BK135">
        <f t="shared" si="100"/>
        <v>0</v>
      </c>
      <c r="BM135">
        <f t="shared" si="101"/>
        <v>-15.649681206985701</v>
      </c>
      <c r="BN135">
        <f t="shared" si="85"/>
        <v>-155.30116416466399</v>
      </c>
      <c r="BQ135" s="56">
        <f t="shared" si="102"/>
        <v>29.694312768158909</v>
      </c>
      <c r="BR135" s="59"/>
      <c r="BS135" s="59"/>
      <c r="BT135" s="59">
        <v>1778.279</v>
      </c>
      <c r="BU135" s="59">
        <v>10.213699999999999</v>
      </c>
      <c r="BV135" s="59">
        <v>-256.01499999999999</v>
      </c>
      <c r="BW135" s="61"/>
      <c r="BY135" s="59"/>
      <c r="BZ135" s="59"/>
      <c r="CA135" s="59"/>
      <c r="CC135" s="59"/>
    </row>
    <row r="136" spans="1:81" x14ac:dyDescent="0.25">
      <c r="A136">
        <f t="shared" si="106"/>
        <v>51000</v>
      </c>
      <c r="B136">
        <f t="shared" si="86"/>
        <v>51</v>
      </c>
      <c r="C136">
        <f t="shared" si="55"/>
        <v>1.0857787497247846</v>
      </c>
      <c r="D136">
        <f t="shared" si="56"/>
        <v>0.40016186802356551</v>
      </c>
      <c r="F136">
        <f t="shared" si="57"/>
        <v>9.946912556286264E-3</v>
      </c>
      <c r="G136">
        <f t="shared" si="58"/>
        <v>3.4092779872228522E-2</v>
      </c>
      <c r="H136">
        <f t="shared" si="59"/>
        <v>-3.1074998701277718</v>
      </c>
      <c r="J136">
        <f t="shared" si="60"/>
        <v>15</v>
      </c>
      <c r="M136">
        <f t="shared" si="61"/>
        <v>2.4945524877941782E-2</v>
      </c>
      <c r="N136">
        <f t="shared" si="62"/>
        <v>-1.5707963250000001</v>
      </c>
      <c r="O136">
        <f t="shared" si="63"/>
        <v>14.850964997773881</v>
      </c>
      <c r="P136">
        <f t="shared" si="64"/>
        <v>1.5034096466203974</v>
      </c>
      <c r="Q136">
        <f t="shared" si="65"/>
        <v>13.12246420915503</v>
      </c>
      <c r="R136">
        <f t="shared" si="66"/>
        <v>1.4945171772246908</v>
      </c>
      <c r="S136">
        <f t="shared" si="67"/>
        <v>0.93013989115836204</v>
      </c>
      <c r="T136">
        <f t="shared" si="68"/>
        <v>-0.37600270430561483</v>
      </c>
      <c r="U136">
        <f t="shared" si="69"/>
        <v>0.95248026939541441</v>
      </c>
      <c r="V136">
        <f t="shared" si="70"/>
        <v>-0.3095187489246603</v>
      </c>
      <c r="X136">
        <f t="shared" si="87"/>
        <v>-3.1262425393399678</v>
      </c>
      <c r="Y136">
        <f t="shared" si="71"/>
        <v>-112.62797300219388</v>
      </c>
      <c r="Z136">
        <f t="shared" si="88"/>
        <v>67.372026997806117</v>
      </c>
      <c r="AC136">
        <v>1</v>
      </c>
      <c r="AD136">
        <f t="shared" si="72"/>
        <v>14.817258901872</v>
      </c>
      <c r="AE136">
        <f t="shared" si="73"/>
        <v>-7.1221181238680282E-4</v>
      </c>
      <c r="AF136">
        <f t="shared" si="74"/>
        <v>2.227075029585E-3</v>
      </c>
      <c r="AG136">
        <f t="shared" si="89"/>
        <v>5905.6690405085465</v>
      </c>
      <c r="AH136">
        <f t="shared" si="90"/>
        <v>-2337.634422522056</v>
      </c>
      <c r="AJ136">
        <f t="shared" si="75"/>
        <v>18000</v>
      </c>
      <c r="AK136">
        <f t="shared" si="76"/>
        <v>7106.1317778528</v>
      </c>
      <c r="AL136">
        <v>1</v>
      </c>
      <c r="AM136">
        <f t="shared" si="77"/>
        <v>13.084306130649599</v>
      </c>
      <c r="AN136">
        <f t="shared" si="91"/>
        <v>644.47970346647833</v>
      </c>
      <c r="AO136">
        <f t="shared" si="92"/>
        <v>-1326.4379572928772</v>
      </c>
      <c r="AQ136">
        <f t="shared" si="78"/>
        <v>0.96107640557424312</v>
      </c>
      <c r="AR136">
        <f t="shared" si="79"/>
        <v>-98.029793368572797</v>
      </c>
      <c r="AT136">
        <f t="shared" si="104"/>
        <v>-223482.0202371371</v>
      </c>
      <c r="AU136">
        <f t="shared" si="105"/>
        <v>-581178.16103257448</v>
      </c>
      <c r="AV136">
        <f t="shared" si="93"/>
        <v>-1.9378981484147602</v>
      </c>
      <c r="AW136">
        <f t="shared" si="94"/>
        <v>-122650.26850992462</v>
      </c>
      <c r="AX136">
        <f t="shared" si="95"/>
        <v>-70906.138912815295</v>
      </c>
      <c r="AY136">
        <f t="shared" si="103"/>
        <v>-2.6174194263654718</v>
      </c>
      <c r="BA136">
        <f t="shared" si="80"/>
        <v>4.395140537820315</v>
      </c>
      <c r="BB136">
        <f t="shared" si="96"/>
        <v>12.85945533028471</v>
      </c>
      <c r="BC136">
        <f t="shared" si="97"/>
        <v>0.6795212779507116</v>
      </c>
      <c r="BD136">
        <f t="shared" si="81"/>
        <v>-141.06629863959986</v>
      </c>
      <c r="BF136">
        <f t="shared" si="82"/>
        <v>-2.9501267349250182</v>
      </c>
      <c r="BG136">
        <f t="shared" si="83"/>
        <v>-116.1853400528006</v>
      </c>
      <c r="BH136">
        <f t="shared" si="98"/>
        <v>63.814659947199402</v>
      </c>
      <c r="BI136">
        <f t="shared" si="99"/>
        <v>63.814659947199402</v>
      </c>
      <c r="BJ136">
        <f t="shared" si="84"/>
        <v>0</v>
      </c>
      <c r="BK136">
        <f t="shared" si="100"/>
        <v>0</v>
      </c>
      <c r="BM136">
        <f t="shared" si="101"/>
        <v>-15.809582065209732</v>
      </c>
      <c r="BN136">
        <f t="shared" si="85"/>
        <v>-155.11904141320073</v>
      </c>
      <c r="BQ136" s="56">
        <f t="shared" si="102"/>
        <v>29.761416130569849</v>
      </c>
      <c r="BR136" s="59"/>
      <c r="BS136" s="59"/>
      <c r="BT136" s="59">
        <v>1819.701</v>
      </c>
      <c r="BU136" s="59">
        <v>10.045199999999999</v>
      </c>
      <c r="BV136" s="59">
        <v>-255.833</v>
      </c>
      <c r="BW136" s="61"/>
      <c r="BY136" s="59"/>
      <c r="BZ136" s="59"/>
      <c r="CA136" s="59"/>
      <c r="CC136" s="59"/>
    </row>
    <row r="137" spans="1:81" x14ac:dyDescent="0.25">
      <c r="A137">
        <f t="shared" si="106"/>
        <v>51500</v>
      </c>
      <c r="B137">
        <f t="shared" si="86"/>
        <v>51.5</v>
      </c>
      <c r="C137">
        <f t="shared" ref="C137:C200" si="107">SQRT((A137/Fesr)^2+1)</f>
        <v>1.0874009550672161</v>
      </c>
      <c r="D137">
        <f t="shared" ref="D137:D200" si="108">ATAN(A137/Fesr)</f>
        <v>0.40367418456153753</v>
      </c>
      <c r="F137">
        <f t="shared" ref="F137:F200" si="109">(Ro/(Ro+Rdcr))/SQRT((A137/(Q*Fo))^2+(1-(A137^2/Fo^2))^2)</f>
        <v>9.7529311690747293E-3</v>
      </c>
      <c r="G137">
        <f t="shared" ref="G137:G200" si="110">-ATAN(A137*Fo/(Q*(Fo^2-A137^2)))</f>
        <v>3.375550969071342E-2</v>
      </c>
      <c r="H137">
        <f t="shared" ref="H137:H200" si="111">IF(G137&gt;0,G137-Pi,G137)</f>
        <v>-3.1078371403092868</v>
      </c>
      <c r="J137">
        <f t="shared" ref="J137:J200" si="112">Vin/Vramp</f>
        <v>15</v>
      </c>
      <c r="M137">
        <f t="shared" ref="M137:M200" si="113">1/(2*Pi*_Rfb1*(Cc1ea_u+Cc2ea_u)*A137)</f>
        <v>2.4703335316020023E-2</v>
      </c>
      <c r="N137">
        <f t="shared" ref="N137:N200" si="114">-Pi/2</f>
        <v>-1.5707963250000001</v>
      </c>
      <c r="O137">
        <f t="shared" ref="O137:O200" si="115">SQRT(1+(A137/Fz1_u)^2)</f>
        <v>14.995905730230934</v>
      </c>
      <c r="P137">
        <f t="shared" ref="P137:P200" si="116">ATAN2(Fz1_u,A137)</f>
        <v>1.5040619360672378</v>
      </c>
      <c r="Q137">
        <f t="shared" ref="Q137:Q200" si="117">SQRT(1+(A137/Fz2_u)^2)</f>
        <v>13.250372315139959</v>
      </c>
      <c r="R137">
        <f t="shared" ref="R137:R200" si="118">ATAN2(Fz2_u,A137)</f>
        <v>1.4952549236025736</v>
      </c>
      <c r="S137">
        <f t="shared" ref="S137:S200" si="119">1/SQRT(1+(A137/Fp1_u)^2)</f>
        <v>0.9289067139529511</v>
      </c>
      <c r="T137">
        <f t="shared" ref="T137:T200" si="120">-ATAN2(Fp1_u,A137)</f>
        <v>-0.37934682360208022</v>
      </c>
      <c r="U137">
        <f t="shared" ref="U137:U200" si="121">1/SQRT(1+(A137/Fp2_u)^2)</f>
        <v>0.95161081829341088</v>
      </c>
      <c r="V137">
        <f t="shared" ref="V137:V200" si="122">-ATAN2(Fp2_u,A137)</f>
        <v>-0.3123605265811179</v>
      </c>
      <c r="X137">
        <f t="shared" si="87"/>
        <v>-3.2199204526887493</v>
      </c>
      <c r="Y137">
        <f t="shared" ref="Y137:Y200" si="123">(180/Pi)*(D137+H137+N137+P137+R137+T137+V137)</f>
        <v>-112.72083884809331</v>
      </c>
      <c r="Z137">
        <f t="shared" si="88"/>
        <v>67.279161151906692</v>
      </c>
      <c r="AC137">
        <v>1</v>
      </c>
      <c r="AD137">
        <f t="shared" ref="AD137:AD200" si="124">Rcea1_u*Cc1ea_u*A137*2*Pi</f>
        <v>14.962526146008001</v>
      </c>
      <c r="AE137">
        <f t="shared" ref="AE137:AE200" si="125">-Rcea1_u*Cc1ea_u*Cc2ea_u*(A137*2*Pi)^2</f>
        <v>-7.2624520546055269E-4</v>
      </c>
      <c r="AF137">
        <f t="shared" ref="AF137:AF200" si="126">(Cc2ea_u+Cc1ea_u)*A137*2*Pi</f>
        <v>2.2489090985024999E-3</v>
      </c>
      <c r="AG137">
        <f t="shared" si="89"/>
        <v>5894.8922358345917</v>
      </c>
      <c r="AH137">
        <f t="shared" si="90"/>
        <v>-2348.3106660460862</v>
      </c>
      <c r="AJ137">
        <f t="shared" ref="AJ137:AJ200" si="127">_Rfb1</f>
        <v>18000</v>
      </c>
      <c r="AK137">
        <f t="shared" ref="AK137:AK200" si="128">_Rfb1*Rcea2_u*Cc3ea_u*A137*2*Pi</f>
        <v>7175.7997364591993</v>
      </c>
      <c r="AL137">
        <v>1</v>
      </c>
      <c r="AM137">
        <f t="shared" ref="AM137:AM200" si="129">(_Rfb1+Rcea2_u)*Cc3ea_u*A137*2*Pi</f>
        <v>13.212583641734399</v>
      </c>
      <c r="AN137">
        <f t="shared" si="91"/>
        <v>642.53194548607416</v>
      </c>
      <c r="AO137">
        <f t="shared" si="92"/>
        <v>-1313.7073357618824</v>
      </c>
      <c r="AQ137">
        <f t="shared" ref="AQ137:AQ200" si="130">Eadcg/(1+(Eadcg*A137/GBP)^2)</f>
        <v>0.94250706880301605</v>
      </c>
      <c r="AR137">
        <f t="shared" ref="AR137:AR200" si="131">-(A137*Eadcg*Eadcg/GBP)/(1+(Eadcg*A137/GBP)^2)</f>
        <v>-97.078228086710652</v>
      </c>
      <c r="AT137">
        <f t="shared" si="104"/>
        <v>-222413.86085477125</v>
      </c>
      <c r="AU137">
        <f t="shared" si="105"/>
        <v>-574478.99241942423</v>
      </c>
      <c r="AV137">
        <f t="shared" si="93"/>
        <v>-1.940182811269564</v>
      </c>
      <c r="AW137">
        <f t="shared" si="94"/>
        <v>-120179.54213168295</v>
      </c>
      <c r="AX137">
        <f t="shared" si="95"/>
        <v>-70039.116119885046</v>
      </c>
      <c r="AY137">
        <f t="shared" si="103"/>
        <v>-2.6139256725101276</v>
      </c>
      <c r="BA137">
        <f t="shared" ref="BA137:BA200" si="132">SQRT(AT137^2+AU137^2)/SQRT(AW137^2+AX137^2)</f>
        <v>4.4287147039514876</v>
      </c>
      <c r="BB137">
        <f t="shared" si="96"/>
        <v>12.925554082144185</v>
      </c>
      <c r="BC137">
        <f t="shared" si="97"/>
        <v>0.6737428612405636</v>
      </c>
      <c r="BD137">
        <f t="shared" ref="BD137:BD200" si="133">BC137*180/Pi-180</f>
        <v>-141.39737752973753</v>
      </c>
      <c r="BF137">
        <f t="shared" ref="BF137:BF200" si="134">20*LOG(BA137*J137*F137*C137)</f>
        <v>-3.0421233503743634</v>
      </c>
      <c r="BG137">
        <f t="shared" ref="BG137:BG200" si="135">(180/Pi)*(D137+H137+BC137)</f>
        <v>-116.33450218674702</v>
      </c>
      <c r="BH137">
        <f t="shared" si="98"/>
        <v>63.665497813252983</v>
      </c>
      <c r="BI137">
        <f t="shared" si="99"/>
        <v>63.665497813252983</v>
      </c>
      <c r="BJ137">
        <f t="shared" ref="BJ137:BJ200" si="136">SUM((BF138&lt;0)*(BF137&gt;0))*A137</f>
        <v>0</v>
      </c>
      <c r="BK137">
        <f t="shared" si="100"/>
        <v>0</v>
      </c>
      <c r="BM137">
        <f t="shared" si="101"/>
        <v>-15.967677432518547</v>
      </c>
      <c r="BN137">
        <f t="shared" ref="BN137:BN200" si="137">(H137+D137)*180/Pi</f>
        <v>-154.93712465700949</v>
      </c>
      <c r="BQ137" s="56">
        <f t="shared" si="102"/>
        <v>29.82751488242932</v>
      </c>
      <c r="BR137" s="59"/>
      <c r="BS137" s="59"/>
      <c r="BT137" s="59">
        <v>1862.087</v>
      </c>
      <c r="BU137" s="59">
        <v>9.8767200000000006</v>
      </c>
      <c r="BV137" s="59">
        <v>-255.47</v>
      </c>
      <c r="BW137" s="61"/>
      <c r="BY137" s="59"/>
      <c r="BZ137" s="59"/>
      <c r="CA137" s="59"/>
      <c r="CC137" s="59"/>
    </row>
    <row r="138" spans="1:81" x14ac:dyDescent="0.25">
      <c r="A138">
        <f t="shared" si="106"/>
        <v>52000</v>
      </c>
      <c r="B138">
        <f t="shared" ref="B138:B201" si="138">A138/1000</f>
        <v>52</v>
      </c>
      <c r="C138">
        <f t="shared" si="107"/>
        <v>1.0890365349269093</v>
      </c>
      <c r="D138">
        <f t="shared" si="108"/>
        <v>0.40717599417956951</v>
      </c>
      <c r="F138">
        <f t="shared" si="109"/>
        <v>9.5645859881809004E-3</v>
      </c>
      <c r="G138">
        <f t="shared" si="110"/>
        <v>3.3424905922647234E-2</v>
      </c>
      <c r="H138">
        <f t="shared" si="111"/>
        <v>-3.108167744077353</v>
      </c>
      <c r="J138">
        <f t="shared" si="112"/>
        <v>15</v>
      </c>
      <c r="M138">
        <f t="shared" si="113"/>
        <v>2.4465803245673674E-2</v>
      </c>
      <c r="N138">
        <f t="shared" si="114"/>
        <v>-1.5707963250000001</v>
      </c>
      <c r="O138">
        <f t="shared" si="115"/>
        <v>15.140852721008772</v>
      </c>
      <c r="P138">
        <f t="shared" si="116"/>
        <v>1.5047017367373781</v>
      </c>
      <c r="Q138">
        <f t="shared" si="117"/>
        <v>13.378287494997275</v>
      </c>
      <c r="R138">
        <f t="shared" si="118"/>
        <v>1.4959785625892195</v>
      </c>
      <c r="S138">
        <f t="shared" si="119"/>
        <v>0.92766646932495023</v>
      </c>
      <c r="T138">
        <f t="shared" si="120"/>
        <v>-0.38268205020566071</v>
      </c>
      <c r="U138">
        <f t="shared" si="121"/>
        <v>0.95073529623966624</v>
      </c>
      <c r="V138">
        <f t="shared" si="122"/>
        <v>-0.3151970979995079</v>
      </c>
      <c r="X138">
        <f t="shared" ref="X138:X201" si="139">20*LOG(C138*J138*O138*Q138*F138*M138*S138*U138)</f>
        <v>-3.3127660052997769</v>
      </c>
      <c r="Y138">
        <f t="shared" si="123"/>
        <v>-112.81464077774179</v>
      </c>
      <c r="Z138">
        <f t="shared" ref="Z138:Z201" si="140">Y138+180</f>
        <v>67.185359222258214</v>
      </c>
      <c r="AC138">
        <v>1</v>
      </c>
      <c r="AD138">
        <f t="shared" si="124"/>
        <v>15.107793390144002</v>
      </c>
      <c r="AE138">
        <f t="shared" si="125"/>
        <v>-7.404155096862418E-4</v>
      </c>
      <c r="AF138">
        <f t="shared" si="126"/>
        <v>2.2707431674199997E-3</v>
      </c>
      <c r="AG138">
        <f t="shared" ref="AG138:AG201" si="141">AC138*AE138/(AE138^2+AF138^2)+AD138*AF138/(AE138^2+AF138^2)</f>
        <v>5884.0501271925814</v>
      </c>
      <c r="AH138">
        <f t="shared" ref="AH138:AH201" si="142">AD138*AE138/(AE138^2+AF138^2)-AC138*AF138/(AE138^2+AF138^2)</f>
        <v>-2358.9818746568617</v>
      </c>
      <c r="AJ138">
        <f t="shared" si="127"/>
        <v>18000</v>
      </c>
      <c r="AK138">
        <f t="shared" si="128"/>
        <v>7245.4676950655994</v>
      </c>
      <c r="AL138">
        <v>1</v>
      </c>
      <c r="AM138">
        <f t="shared" si="129"/>
        <v>13.340861152819199</v>
      </c>
      <c r="AN138">
        <f t="shared" ref="AN138:AN201" si="143">AJ138*AL138/(AL138^2+AM138^2)+AK138*AM138/(AL138^2+AM138^2)</f>
        <v>640.63968368864278</v>
      </c>
      <c r="AO138">
        <f t="shared" ref="AO138:AO201" si="144">AK138*AL138/(AL138^2+AM138^2)-AJ138*AM138/(AL138^2+AM138^2)</f>
        <v>-1301.217374010595</v>
      </c>
      <c r="AQ138">
        <f t="shared" si="130"/>
        <v>0.92447074050106315</v>
      </c>
      <c r="AR138">
        <f t="shared" si="131"/>
        <v>-96.144957012110567</v>
      </c>
      <c r="AT138">
        <f t="shared" si="104"/>
        <v>-221364.57875300085</v>
      </c>
      <c r="AU138">
        <f t="shared" si="105"/>
        <v>-567902.55625652696</v>
      </c>
      <c r="AV138">
        <f t="shared" ref="AV138:AV201" si="145">ATAN2(AT138,AU138)</f>
        <v>-1.9424729265522207</v>
      </c>
      <c r="AW138">
        <f t="shared" ref="AW138:AW201" si="146">AG138-AH138*AO138/_Rfb2+AG138*AN138/_Rfb2+AN138-AO138*AR138+AQ138*AN138</f>
        <v>-117779.51592347311</v>
      </c>
      <c r="AX138">
        <f t="shared" ref="AX138:AX201" si="147">AH138+AH138*AN138/_Rfb2+AG138*AO138/_Rfb2+AO138+AO138*AQ138+AN138*AR138</f>
        <v>-69194.984286840539</v>
      </c>
      <c r="AY138">
        <f t="shared" si="103"/>
        <v>-2.6104180723835491</v>
      </c>
      <c r="BA138">
        <f t="shared" si="132"/>
        <v>4.4620369743822224</v>
      </c>
      <c r="BB138">
        <f t="shared" ref="BB138:BB201" si="148">20*LOG(BA138)</f>
        <v>12.99066329432007</v>
      </c>
      <c r="BC138">
        <f t="shared" ref="BC138:BC201" si="149">AV138-AY138</f>
        <v>0.66794514583132836</v>
      </c>
      <c r="BD138">
        <f t="shared" si="133"/>
        <v>-141.72956215388425</v>
      </c>
      <c r="BF138">
        <f t="shared" si="134"/>
        <v>-3.1333390121453606</v>
      </c>
      <c r="BG138">
        <f t="shared" si="135"/>
        <v>-116.4849900995159</v>
      </c>
      <c r="BH138">
        <f t="shared" ref="BH138:BH201" si="150">IF(BG138&gt;180,BG138-180,BG138+180)</f>
        <v>63.515009900484102</v>
      </c>
      <c r="BI138">
        <f t="shared" ref="BI138:BI201" si="151">IF(BH138&gt;180,BH138-360,BH138)</f>
        <v>63.515009900484102</v>
      </c>
      <c r="BJ138">
        <f t="shared" si="136"/>
        <v>0</v>
      </c>
      <c r="BK138">
        <f t="shared" ref="BK138:BK201" si="152">IF(BJ138&gt;0,BI138,0)</f>
        <v>0</v>
      </c>
      <c r="BM138">
        <f t="shared" ref="BM138:BM201" si="153">20*LOG(J138*F138*C138)</f>
        <v>-16.124002306465435</v>
      </c>
      <c r="BN138">
        <f t="shared" si="137"/>
        <v>-154.75542794563165</v>
      </c>
      <c r="BQ138" s="56">
        <f t="shared" ref="BQ138:BQ201" si="154">20*LOG(BA138*7)</f>
        <v>29.892624094605207</v>
      </c>
      <c r="BR138" s="59"/>
      <c r="BS138" s="59"/>
      <c r="BT138" s="59">
        <v>1905.461</v>
      </c>
      <c r="BU138" s="59">
        <v>9.7134199999999993</v>
      </c>
      <c r="BV138" s="59">
        <v>-255.059</v>
      </c>
      <c r="BW138" s="61"/>
      <c r="BY138" s="59"/>
      <c r="BZ138" s="59"/>
      <c r="CA138" s="59"/>
      <c r="CC138" s="59"/>
    </row>
    <row r="139" spans="1:81" x14ac:dyDescent="0.25">
      <c r="A139">
        <f t="shared" si="106"/>
        <v>52500</v>
      </c>
      <c r="B139">
        <f t="shared" si="138"/>
        <v>52.5</v>
      </c>
      <c r="C139">
        <f t="shared" si="107"/>
        <v>1.0906854291350294</v>
      </c>
      <c r="D139">
        <f t="shared" si="108"/>
        <v>0.41066725845668539</v>
      </c>
      <c r="F139">
        <f t="shared" si="109"/>
        <v>9.3816601400346974E-3</v>
      </c>
      <c r="G139">
        <f t="shared" si="110"/>
        <v>3.3100771223821122E-2</v>
      </c>
      <c r="H139">
        <f t="shared" si="111"/>
        <v>-3.1084918787761793</v>
      </c>
      <c r="J139">
        <f t="shared" si="112"/>
        <v>15</v>
      </c>
      <c r="M139">
        <f t="shared" si="113"/>
        <v>2.4232795595714878E-2</v>
      </c>
      <c r="N139">
        <f t="shared" si="114"/>
        <v>-1.5707963250000001</v>
      </c>
      <c r="O139">
        <f t="shared" si="115"/>
        <v>15.285805792074624</v>
      </c>
      <c r="P139">
        <f t="shared" si="116"/>
        <v>1.5053294033871754</v>
      </c>
      <c r="Q139">
        <f t="shared" si="117"/>
        <v>13.50620954774039</v>
      </c>
      <c r="R139">
        <f t="shared" si="118"/>
        <v>1.4966884942639438</v>
      </c>
      <c r="S139">
        <f t="shared" si="119"/>
        <v>0.92641926815428199</v>
      </c>
      <c r="T139">
        <f t="shared" si="120"/>
        <v>-0.38600834563680336</v>
      </c>
      <c r="U139">
        <f t="shared" si="121"/>
        <v>0.94985376218361472</v>
      </c>
      <c r="V139">
        <f t="shared" si="122"/>
        <v>-0.31802843195277436</v>
      </c>
      <c r="X139">
        <f t="shared" si="139"/>
        <v>-3.4047973419749229</v>
      </c>
      <c r="Y139">
        <f t="shared" si="123"/>
        <v>-112.90934505669647</v>
      </c>
      <c r="Z139">
        <f t="shared" si="140"/>
        <v>67.090654943303534</v>
      </c>
      <c r="AC139">
        <v>1</v>
      </c>
      <c r="AD139">
        <f t="shared" si="124"/>
        <v>15.253060634280001</v>
      </c>
      <c r="AE139">
        <f t="shared" si="125"/>
        <v>-7.5472272506386983E-4</v>
      </c>
      <c r="AF139">
        <f t="shared" si="126"/>
        <v>2.2925772363375E-3</v>
      </c>
      <c r="AG139">
        <f t="shared" si="141"/>
        <v>5873.1436511780976</v>
      </c>
      <c r="AH139">
        <f t="shared" si="142"/>
        <v>-2369.6453471672457</v>
      </c>
      <c r="AJ139">
        <f t="shared" si="127"/>
        <v>18000</v>
      </c>
      <c r="AK139">
        <f t="shared" si="128"/>
        <v>7315.1356536719995</v>
      </c>
      <c r="AL139">
        <v>1</v>
      </c>
      <c r="AM139">
        <f t="shared" si="129"/>
        <v>13.469138663903999</v>
      </c>
      <c r="AN139">
        <f t="shared" si="143"/>
        <v>638.80083345976334</v>
      </c>
      <c r="AO139">
        <f t="shared" si="144"/>
        <v>-1288.9613508149994</v>
      </c>
      <c r="AQ139">
        <f t="shared" si="130"/>
        <v>0.90694721567204784</v>
      </c>
      <c r="AR139">
        <f t="shared" si="131"/>
        <v>-95.229457645565034</v>
      </c>
      <c r="AT139">
        <f t="shared" si="104"/>
        <v>-220333.40994139554</v>
      </c>
      <c r="AU139">
        <f t="shared" si="105"/>
        <v>-561445.42782592727</v>
      </c>
      <c r="AV139">
        <f t="shared" si="145"/>
        <v>-1.9447681605617793</v>
      </c>
      <c r="AW139">
        <f t="shared" si="146"/>
        <v>-115447.53949892003</v>
      </c>
      <c r="AX139">
        <f t="shared" si="147"/>
        <v>-68372.862851147947</v>
      </c>
      <c r="AY139">
        <f t="shared" ref="AY139:AY202" si="155">ATAN2(AW139,AX139)</f>
        <v>-2.6068972146074119</v>
      </c>
      <c r="BA139">
        <f t="shared" si="132"/>
        <v>4.4951054281366369</v>
      </c>
      <c r="BB139">
        <f t="shared" si="148"/>
        <v>13.054797642501892</v>
      </c>
      <c r="BC139">
        <f t="shared" si="149"/>
        <v>0.6621290540456326</v>
      </c>
      <c r="BD139">
        <f t="shared" si="133"/>
        <v>-142.0627996668461</v>
      </c>
      <c r="BF139">
        <f t="shared" si="134"/>
        <v>-3.2237930279356237</v>
      </c>
      <c r="BG139">
        <f t="shared" si="135"/>
        <v>-116.63676445426334</v>
      </c>
      <c r="BH139">
        <f t="shared" si="150"/>
        <v>63.363235545736657</v>
      </c>
      <c r="BI139">
        <f t="shared" si="151"/>
        <v>63.363235545736657</v>
      </c>
      <c r="BJ139">
        <f t="shared" si="136"/>
        <v>0</v>
      </c>
      <c r="BK139">
        <f t="shared" si="152"/>
        <v>0</v>
      </c>
      <c r="BM139">
        <f t="shared" si="153"/>
        <v>-16.278590670437517</v>
      </c>
      <c r="BN139">
        <f t="shared" si="137"/>
        <v>-154.57396478741725</v>
      </c>
      <c r="BQ139" s="56">
        <f t="shared" si="154"/>
        <v>29.956758442787027</v>
      </c>
      <c r="BR139" s="59"/>
      <c r="BS139" s="59"/>
      <c r="BT139" s="59">
        <v>1949.845</v>
      </c>
      <c r="BU139" s="59">
        <v>9.5268499999999996</v>
      </c>
      <c r="BV139" s="59">
        <v>-254.971</v>
      </c>
      <c r="BW139" s="61"/>
      <c r="BY139" s="59"/>
      <c r="BZ139" s="59"/>
      <c r="CA139" s="59"/>
      <c r="CC139" s="59"/>
    </row>
    <row r="140" spans="1:81" x14ac:dyDescent="0.25">
      <c r="A140">
        <f t="shared" si="106"/>
        <v>53000</v>
      </c>
      <c r="B140">
        <f t="shared" si="138"/>
        <v>53</v>
      </c>
      <c r="C140">
        <f t="shared" si="107"/>
        <v>1.0923475773977145</v>
      </c>
      <c r="D140">
        <f t="shared" si="108"/>
        <v>0.41414794023122498</v>
      </c>
      <c r="F140">
        <f t="shared" si="109"/>
        <v>9.2039471114953534E-3</v>
      </c>
      <c r="G140">
        <f t="shared" si="110"/>
        <v>3.2782916022210548E-2</v>
      </c>
      <c r="H140">
        <f t="shared" si="111"/>
        <v>-3.1088097339777896</v>
      </c>
      <c r="J140">
        <f t="shared" si="112"/>
        <v>15</v>
      </c>
      <c r="M140">
        <f t="shared" si="113"/>
        <v>2.4004184316510017E-2</v>
      </c>
      <c r="N140">
        <f t="shared" si="114"/>
        <v>-1.5707963250000001</v>
      </c>
      <c r="O140">
        <f t="shared" si="115"/>
        <v>15.430764772078</v>
      </c>
      <c r="P140">
        <f t="shared" si="116"/>
        <v>1.5059452774815327</v>
      </c>
      <c r="Q140">
        <f t="shared" si="117"/>
        <v>13.634138279915129</v>
      </c>
      <c r="R140">
        <f t="shared" si="118"/>
        <v>1.4973851037468178</v>
      </c>
      <c r="S140">
        <f t="shared" si="119"/>
        <v>0.92516522108848476</v>
      </c>
      <c r="T140">
        <f t="shared" si="120"/>
        <v>-0.38932567241227417</v>
      </c>
      <c r="U140">
        <f t="shared" si="121"/>
        <v>0.94896627517381815</v>
      </c>
      <c r="V140">
        <f t="shared" si="122"/>
        <v>-0.32085449766494972</v>
      </c>
      <c r="X140">
        <f t="shared" si="139"/>
        <v>-3.4960320335120221</v>
      </c>
      <c r="Y140">
        <f t="shared" si="123"/>
        <v>-113.00491913462389</v>
      </c>
      <c r="Z140">
        <f t="shared" si="140"/>
        <v>66.99508086537611</v>
      </c>
      <c r="AC140">
        <v>1</v>
      </c>
      <c r="AD140">
        <f t="shared" si="124"/>
        <v>15.398327878416001</v>
      </c>
      <c r="AE140">
        <f t="shared" si="125"/>
        <v>-7.6916685159343688E-4</v>
      </c>
      <c r="AF140">
        <f t="shared" si="126"/>
        <v>2.3144113052549998E-3</v>
      </c>
      <c r="AG140">
        <f t="shared" si="141"/>
        <v>5862.1737443261782</v>
      </c>
      <c r="AH140">
        <f t="shared" si="142"/>
        <v>-2380.2984845038595</v>
      </c>
      <c r="AJ140">
        <f t="shared" si="127"/>
        <v>18000</v>
      </c>
      <c r="AK140">
        <f t="shared" si="128"/>
        <v>7384.8036122784006</v>
      </c>
      <c r="AL140">
        <v>1</v>
      </c>
      <c r="AM140">
        <f t="shared" si="129"/>
        <v>13.597416174988799</v>
      </c>
      <c r="AN140">
        <f t="shared" si="143"/>
        <v>637.01340697907608</v>
      </c>
      <c r="AO140">
        <f t="shared" si="144"/>
        <v>-1276.9327914636124</v>
      </c>
      <c r="AQ140">
        <f t="shared" si="130"/>
        <v>0.88991723769689424</v>
      </c>
      <c r="AR140">
        <f t="shared" si="131"/>
        <v>-94.331227195870781</v>
      </c>
      <c r="AT140">
        <f t="shared" si="104"/>
        <v>-219319.62767027048</v>
      </c>
      <c r="AU140">
        <f t="shared" si="105"/>
        <v>-555104.31198992499</v>
      </c>
      <c r="AV140">
        <f t="shared" si="145"/>
        <v>-1.9470681913672092</v>
      </c>
      <c r="AW140">
        <f t="shared" si="146"/>
        <v>-113181.08528122889</v>
      </c>
      <c r="AX140">
        <f t="shared" si="147"/>
        <v>-67571.914761648382</v>
      </c>
      <c r="AY140">
        <f t="shared" si="155"/>
        <v>-2.6033636724028186</v>
      </c>
      <c r="BA140">
        <f t="shared" si="132"/>
        <v>4.5279181864841229</v>
      </c>
      <c r="BB140">
        <f t="shared" si="148"/>
        <v>13.11797142244048</v>
      </c>
      <c r="BC140">
        <f t="shared" si="149"/>
        <v>0.65629548103560942</v>
      </c>
      <c r="BD140">
        <f t="shared" si="133"/>
        <v>-142.39703878018378</v>
      </c>
      <c r="BF140">
        <f t="shared" si="134"/>
        <v>-3.3135041111524943</v>
      </c>
      <c r="BG140">
        <f t="shared" si="135"/>
        <v>-116.78978695343326</v>
      </c>
      <c r="BH140">
        <f t="shared" si="150"/>
        <v>63.210213046566736</v>
      </c>
      <c r="BI140">
        <f t="shared" si="151"/>
        <v>63.210213046566736</v>
      </c>
      <c r="BJ140">
        <f t="shared" si="136"/>
        <v>0</v>
      </c>
      <c r="BK140">
        <f t="shared" si="152"/>
        <v>0</v>
      </c>
      <c r="BM140">
        <f t="shared" si="153"/>
        <v>-16.431475533592973</v>
      </c>
      <c r="BN140">
        <f t="shared" si="137"/>
        <v>-154.39274817324949</v>
      </c>
      <c r="BQ140" s="56">
        <f t="shared" si="154"/>
        <v>30.019932222725615</v>
      </c>
      <c r="BR140" s="59"/>
      <c r="BS140" s="59"/>
      <c r="BT140" s="59">
        <v>1995.2619999999999</v>
      </c>
      <c r="BU140" s="59">
        <v>9.3349399999999996</v>
      </c>
      <c r="BV140" s="59">
        <v>-254.804</v>
      </c>
      <c r="BW140" s="61"/>
      <c r="BY140" s="59"/>
      <c r="BZ140" s="59"/>
      <c r="CA140" s="59"/>
      <c r="CC140" s="59"/>
    </row>
    <row r="141" spans="1:81" x14ac:dyDescent="0.25">
      <c r="A141">
        <f t="shared" si="106"/>
        <v>53500</v>
      </c>
      <c r="B141">
        <f t="shared" si="138"/>
        <v>53.5</v>
      </c>
      <c r="C141">
        <f t="shared" si="107"/>
        <v>1.094022919304338</v>
      </c>
      <c r="D141">
        <f t="shared" si="108"/>
        <v>0.41761800359211104</v>
      </c>
      <c r="F141">
        <f t="shared" si="109"/>
        <v>9.0312501599817321E-3</v>
      </c>
      <c r="G141">
        <f t="shared" si="110"/>
        <v>3.2471158136452134E-2</v>
      </c>
      <c r="H141">
        <f t="shared" si="111"/>
        <v>-3.1091214918635481</v>
      </c>
      <c r="J141">
        <f t="shared" si="112"/>
        <v>15</v>
      </c>
      <c r="M141">
        <f t="shared" si="113"/>
        <v>2.3779846145327684E-2</v>
      </c>
      <c r="N141">
        <f t="shared" si="114"/>
        <v>-1.5707963250000001</v>
      </c>
      <c r="O141">
        <f t="shared" si="115"/>
        <v>15.575729496040379</v>
      </c>
      <c r="P141">
        <f t="shared" si="116"/>
        <v>1.50654968780974</v>
      </c>
      <c r="Q141">
        <f t="shared" si="117"/>
        <v>13.762073505250607</v>
      </c>
      <c r="R141">
        <f t="shared" si="118"/>
        <v>1.4980687618901214</v>
      </c>
      <c r="S141">
        <f t="shared" si="119"/>
        <v>0.92390443852285464</v>
      </c>
      <c r="T141">
        <f t="shared" si="120"/>
        <v>-0.39263399404025223</v>
      </c>
      <c r="U141">
        <f t="shared" si="121"/>
        <v>0.94807289434878994</v>
      </c>
      <c r="V141">
        <f t="shared" si="122"/>
        <v>-0.32367526481108549</v>
      </c>
      <c r="X141">
        <f t="shared" si="139"/>
        <v>-3.586487100527092</v>
      </c>
      <c r="Y141">
        <f t="shared" si="123"/>
        <v>-113.1013315924725</v>
      </c>
      <c r="Z141">
        <f t="shared" si="140"/>
        <v>66.898668407527495</v>
      </c>
      <c r="AC141">
        <v>1</v>
      </c>
      <c r="AD141">
        <f t="shared" si="124"/>
        <v>15.543595122552002</v>
      </c>
      <c r="AE141">
        <f t="shared" si="125"/>
        <v>-7.8374788927494264E-4</v>
      </c>
      <c r="AF141">
        <f t="shared" si="126"/>
        <v>2.3362453741724997E-3</v>
      </c>
      <c r="AG141">
        <f t="shared" si="141"/>
        <v>5851.141342946381</v>
      </c>
      <c r="AH141">
        <f t="shared" si="142"/>
        <v>-2390.9387854270581</v>
      </c>
      <c r="AJ141">
        <f t="shared" si="127"/>
        <v>18000</v>
      </c>
      <c r="AK141">
        <f t="shared" si="128"/>
        <v>7454.4715708847998</v>
      </c>
      <c r="AL141">
        <v>1</v>
      </c>
      <c r="AM141">
        <f t="shared" si="129"/>
        <v>13.725693686073599</v>
      </c>
      <c r="AN141">
        <f t="shared" si="143"/>
        <v>635.27550788625877</v>
      </c>
      <c r="AO141">
        <f t="shared" si="144"/>
        <v>-1265.1254566268215</v>
      </c>
      <c r="AQ141">
        <f t="shared" si="130"/>
        <v>0.8733624454148472</v>
      </c>
      <c r="AR141">
        <f t="shared" si="131"/>
        <v>-93.449781659388648</v>
      </c>
      <c r="AT141">
        <f t="shared" si="104"/>
        <v>-218322.5403473789</v>
      </c>
      <c r="AU141">
        <f t="shared" si="105"/>
        <v>-548876.0371010392</v>
      </c>
      <c r="AV141">
        <f t="shared" si="145"/>
        <v>-1.9493727082836487</v>
      </c>
      <c r="AW141">
        <f t="shared" si="146"/>
        <v>-110977.74174920961</v>
      </c>
      <c r="AX141">
        <f t="shared" si="147"/>
        <v>-66791.343884612957</v>
      </c>
      <c r="AY141">
        <f t="shared" si="155"/>
        <v>-2.599818004317195</v>
      </c>
      <c r="BA141">
        <f t="shared" si="132"/>
        <v>4.5604734134114002</v>
      </c>
      <c r="BB141">
        <f t="shared" si="148"/>
        <v>13.180198564518349</v>
      </c>
      <c r="BC141">
        <f t="shared" si="149"/>
        <v>0.65044529603354628</v>
      </c>
      <c r="BD141">
        <f t="shared" si="133"/>
        <v>-142.73222969055576</v>
      </c>
      <c r="BF141">
        <f t="shared" si="134"/>
        <v>-3.4024904043067599</v>
      </c>
      <c r="BG141">
        <f t="shared" si="135"/>
        <v>-116.94402028946061</v>
      </c>
      <c r="BH141">
        <f t="shared" si="150"/>
        <v>63.05597971053939</v>
      </c>
      <c r="BI141">
        <f t="shared" si="151"/>
        <v>63.05597971053939</v>
      </c>
      <c r="BJ141">
        <f t="shared" si="136"/>
        <v>0</v>
      </c>
      <c r="BK141">
        <f t="shared" si="152"/>
        <v>0</v>
      </c>
      <c r="BM141">
        <f t="shared" si="153"/>
        <v>-16.582688968825106</v>
      </c>
      <c r="BN141">
        <f t="shared" si="137"/>
        <v>-154.21179059890486</v>
      </c>
      <c r="BQ141" s="56">
        <f t="shared" si="154"/>
        <v>30.082159364803488</v>
      </c>
      <c r="BR141" s="59"/>
      <c r="BS141" s="59"/>
      <c r="BT141" s="59">
        <v>2041.7380000000001</v>
      </c>
      <c r="BU141" s="59">
        <v>9.0884699999999992</v>
      </c>
      <c r="BV141" s="59">
        <v>-254.411</v>
      </c>
      <c r="BW141" s="61"/>
      <c r="BY141" s="59"/>
      <c r="BZ141" s="59"/>
      <c r="CA141" s="59"/>
      <c r="CC141" s="59"/>
    </row>
    <row r="142" spans="1:81" x14ac:dyDescent="0.25">
      <c r="A142">
        <f t="shared" si="106"/>
        <v>54000</v>
      </c>
      <c r="B142">
        <f t="shared" si="138"/>
        <v>54</v>
      </c>
      <c r="C142">
        <f t="shared" si="107"/>
        <v>1.0957113943356869</v>
      </c>
      <c r="D142">
        <f t="shared" si="108"/>
        <v>0.42107741386988978</v>
      </c>
      <c r="F142">
        <f t="shared" si="109"/>
        <v>8.8633817625152055E-3</v>
      </c>
      <c r="G142">
        <f t="shared" si="110"/>
        <v>3.2165322416714132E-2</v>
      </c>
      <c r="H142">
        <f t="shared" si="111"/>
        <v>-3.109427327583286</v>
      </c>
      <c r="J142">
        <f t="shared" si="112"/>
        <v>15</v>
      </c>
      <c r="M142">
        <f t="shared" si="113"/>
        <v>2.3559662384722797E-2</v>
      </c>
      <c r="N142">
        <f t="shared" si="114"/>
        <v>-1.5707963250000001</v>
      </c>
      <c r="O142">
        <f t="shared" si="115"/>
        <v>15.720699805062081</v>
      </c>
      <c r="P142">
        <f t="shared" si="116"/>
        <v>1.5071429510674368</v>
      </c>
      <c r="Q142">
        <f t="shared" si="117"/>
        <v>13.89001504432931</v>
      </c>
      <c r="R142">
        <f t="shared" si="118"/>
        <v>1.4987398259318623</v>
      </c>
      <c r="S142">
        <f t="shared" si="119"/>
        <v>0.92263703058096336</v>
      </c>
      <c r="T142">
        <f t="shared" si="120"/>
        <v>-0.39593327501523651</v>
      </c>
      <c r="U142">
        <f t="shared" si="121"/>
        <v>0.94717367892789428</v>
      </c>
      <c r="V142">
        <f t="shared" si="122"/>
        <v>-0.32649070351710474</v>
      </c>
      <c r="X142">
        <f t="shared" si="139"/>
        <v>-3.6761790360407716</v>
      </c>
      <c r="Y142">
        <f t="shared" si="123"/>
        <v>-113.19855209247412</v>
      </c>
      <c r="Z142">
        <f t="shared" si="140"/>
        <v>66.801447907525883</v>
      </c>
      <c r="AC142">
        <v>1</v>
      </c>
      <c r="AD142">
        <f t="shared" si="124"/>
        <v>15.688862366688001</v>
      </c>
      <c r="AE142">
        <f t="shared" si="125"/>
        <v>-7.9846583810838775E-4</v>
      </c>
      <c r="AF142">
        <f t="shared" si="126"/>
        <v>2.3580794430899999E-3</v>
      </c>
      <c r="AG142">
        <f t="shared" si="141"/>
        <v>5840.0473829597449</v>
      </c>
      <c r="AH142">
        <f t="shared" si="142"/>
        <v>-2401.5638424831086</v>
      </c>
      <c r="AJ142">
        <f t="shared" si="127"/>
        <v>18000</v>
      </c>
      <c r="AK142">
        <f t="shared" si="128"/>
        <v>7524.1395294911999</v>
      </c>
      <c r="AL142">
        <v>1</v>
      </c>
      <c r="AM142">
        <f t="shared" si="129"/>
        <v>13.853971197158399</v>
      </c>
      <c r="AN142">
        <f t="shared" si="143"/>
        <v>633.58532628620628</v>
      </c>
      <c r="AO142">
        <f t="shared" si="144"/>
        <v>-1253.533331820109</v>
      </c>
      <c r="AQ142">
        <f t="shared" si="130"/>
        <v>0.85726532361765961</v>
      </c>
      <c r="AR142">
        <f t="shared" si="131"/>
        <v>-92.584654950707247</v>
      </c>
      <c r="AT142">
        <f t="shared" si="104"/>
        <v>-217341.48958869782</v>
      </c>
      <c r="AU142">
        <f t="shared" si="105"/>
        <v>-542757.54925172357</v>
      </c>
      <c r="AV142">
        <f t="shared" si="145"/>
        <v>-1.951681411377338</v>
      </c>
      <c r="AW142">
        <f t="shared" si="146"/>
        <v>-108835.20711182503</v>
      </c>
      <c r="AX142">
        <f t="shared" si="147"/>
        <v>-66030.392589249255</v>
      </c>
      <c r="AY142">
        <f t="shared" si="155"/>
        <v>-2.5962607549072887</v>
      </c>
      <c r="BA142">
        <f t="shared" si="132"/>
        <v>4.5927693160930527</v>
      </c>
      <c r="BB142">
        <f t="shared" si="148"/>
        <v>13.24149264768427</v>
      </c>
      <c r="BC142">
        <f t="shared" si="149"/>
        <v>0.64457934352995072</v>
      </c>
      <c r="BD142">
        <f t="shared" si="133"/>
        <v>-143.06832401221999</v>
      </c>
      <c r="BF142">
        <f t="shared" si="134"/>
        <v>-3.4907695011854272</v>
      </c>
      <c r="BG142">
        <f t="shared" si="135"/>
        <v>-117.09942809836284</v>
      </c>
      <c r="BH142">
        <f t="shared" si="150"/>
        <v>62.900571901637164</v>
      </c>
      <c r="BI142">
        <f t="shared" si="151"/>
        <v>62.900571901637164</v>
      </c>
      <c r="BJ142">
        <f t="shared" si="136"/>
        <v>0</v>
      </c>
      <c r="BK142">
        <f t="shared" si="152"/>
        <v>0</v>
      </c>
      <c r="BM142">
        <f t="shared" si="153"/>
        <v>-16.732262148869694</v>
      </c>
      <c r="BN142">
        <f t="shared" si="137"/>
        <v>-154.03110408614282</v>
      </c>
      <c r="BQ142" s="56">
        <f t="shared" si="154"/>
        <v>30.143453447969403</v>
      </c>
      <c r="BR142" s="59"/>
      <c r="BS142" s="59"/>
      <c r="BT142" s="59">
        <v>2089.2959999999998</v>
      </c>
      <c r="BU142" s="59">
        <v>8.9698600000000006</v>
      </c>
      <c r="BV142" s="59">
        <v>-254.113</v>
      </c>
      <c r="BW142" s="61"/>
      <c r="BY142" s="59"/>
      <c r="BZ142" s="59"/>
      <c r="CA142" s="59"/>
      <c r="CC142" s="59"/>
    </row>
    <row r="143" spans="1:81" x14ac:dyDescent="0.25">
      <c r="A143">
        <f t="shared" si="106"/>
        <v>54500</v>
      </c>
      <c r="B143">
        <f t="shared" si="138"/>
        <v>54.5</v>
      </c>
      <c r="C143">
        <f t="shared" si="107"/>
        <v>1.0974129418720477</v>
      </c>
      <c r="D143">
        <f t="shared" si="108"/>
        <v>0.42452613762755231</v>
      </c>
      <c r="F143">
        <f t="shared" si="109"/>
        <v>8.7001631007616442E-3</v>
      </c>
      <c r="G143">
        <f t="shared" si="110"/>
        <v>3.1865240406433681E-2</v>
      </c>
      <c r="H143">
        <f t="shared" si="111"/>
        <v>-3.1097274095935665</v>
      </c>
      <c r="J143">
        <f t="shared" si="112"/>
        <v>15</v>
      </c>
      <c r="M143">
        <f t="shared" si="113"/>
        <v>2.3343518693119836E-2</v>
      </c>
      <c r="N143">
        <f t="shared" si="114"/>
        <v>-1.5707963250000001</v>
      </c>
      <c r="O143">
        <f t="shared" si="115"/>
        <v>15.865675546045097</v>
      </c>
      <c r="P143">
        <f t="shared" si="116"/>
        <v>1.5077253724068482</v>
      </c>
      <c r="Q143">
        <f t="shared" si="117"/>
        <v>14.017962724275188</v>
      </c>
      <c r="R143">
        <f t="shared" si="118"/>
        <v>1.4993986401137618</v>
      </c>
      <c r="S143">
        <f t="shared" si="119"/>
        <v>0.92136310709554914</v>
      </c>
      <c r="T143">
        <f t="shared" si="120"/>
        <v>-0.39922348081277054</v>
      </c>
      <c r="U143">
        <f t="shared" si="121"/>
        <v>0.94626868820231935</v>
      </c>
      <c r="V143">
        <f t="shared" si="122"/>
        <v>-0.32930078435957572</v>
      </c>
      <c r="X143">
        <f t="shared" si="139"/>
        <v>-3.7651238269057412</v>
      </c>
      <c r="Y143">
        <f t="shared" si="123"/>
        <v>-113.29655133080192</v>
      </c>
      <c r="Z143">
        <f t="shared" si="140"/>
        <v>66.703448669198082</v>
      </c>
      <c r="AC143">
        <v>1</v>
      </c>
      <c r="AD143">
        <f t="shared" si="124"/>
        <v>15.834129610824002</v>
      </c>
      <c r="AE143">
        <f t="shared" si="125"/>
        <v>-8.1332069809377189E-4</v>
      </c>
      <c r="AF143">
        <f t="shared" si="126"/>
        <v>2.3799135120075002E-3</v>
      </c>
      <c r="AG143">
        <f t="shared" si="141"/>
        <v>5828.8927997376732</v>
      </c>
      <c r="AH143">
        <f t="shared" si="142"/>
        <v>-2412.1713381735331</v>
      </c>
      <c r="AJ143">
        <f t="shared" si="127"/>
        <v>18000</v>
      </c>
      <c r="AK143">
        <f t="shared" si="128"/>
        <v>7593.8074880976001</v>
      </c>
      <c r="AL143">
        <v>1</v>
      </c>
      <c r="AM143">
        <f t="shared" si="129"/>
        <v>13.982248708243199</v>
      </c>
      <c r="AN143">
        <f t="shared" si="143"/>
        <v>631.94113406902522</v>
      </c>
      <c r="AO143">
        <f t="shared" si="144"/>
        <v>-1242.1506174247695</v>
      </c>
      <c r="AQ143">
        <f t="shared" si="130"/>
        <v>0.84160915670762493</v>
      </c>
      <c r="AR143">
        <f t="shared" si="131"/>
        <v>-91.735398081131123</v>
      </c>
      <c r="AT143">
        <f t="shared" si="104"/>
        <v>-216375.84839351746</v>
      </c>
      <c r="AU143">
        <f t="shared" si="105"/>
        <v>-536745.90684192895</v>
      </c>
      <c r="AV143">
        <f t="shared" si="145"/>
        <v>-1.9539940109974103</v>
      </c>
      <c r="AW143">
        <f t="shared" si="146"/>
        <v>-106751.28338053482</v>
      </c>
      <c r="AX143">
        <f t="shared" si="147"/>
        <v>-65288.339498617184</v>
      </c>
      <c r="AY143">
        <f t="shared" si="155"/>
        <v>-2.5926924553810404</v>
      </c>
      <c r="BA143">
        <f t="shared" si="132"/>
        <v>4.6248041453588957</v>
      </c>
      <c r="BB143">
        <f t="shared" si="148"/>
        <v>13.301866912783522</v>
      </c>
      <c r="BC143">
        <f t="shared" si="149"/>
        <v>0.6386984443836301</v>
      </c>
      <c r="BD143">
        <f t="shared" si="133"/>
        <v>-143.40527471343128</v>
      </c>
      <c r="BF143">
        <f t="shared" si="134"/>
        <v>-3.578358467880558</v>
      </c>
      <c r="BG143">
        <f t="shared" si="135"/>
        <v>-117.25597491604429</v>
      </c>
      <c r="BH143">
        <f t="shared" si="150"/>
        <v>62.744025083955705</v>
      </c>
      <c r="BI143">
        <f t="shared" si="151"/>
        <v>62.744025083955705</v>
      </c>
      <c r="BJ143">
        <f t="shared" si="136"/>
        <v>0</v>
      </c>
      <c r="BK143">
        <f t="shared" si="152"/>
        <v>0</v>
      </c>
      <c r="BM143">
        <f t="shared" si="153"/>
        <v>-16.880225380664079</v>
      </c>
      <c r="BN143">
        <f t="shared" si="137"/>
        <v>-153.85070020261301</v>
      </c>
      <c r="BQ143" s="56">
        <f t="shared" si="154"/>
        <v>30.203827713068662</v>
      </c>
      <c r="BR143" s="59"/>
      <c r="BS143" s="59"/>
      <c r="BT143" s="59">
        <v>2137.962</v>
      </c>
      <c r="BU143" s="59">
        <v>8.68736</v>
      </c>
      <c r="BV143" s="59">
        <v>-254.34</v>
      </c>
      <c r="BW143" s="61"/>
      <c r="BY143" s="59"/>
      <c r="BZ143" s="59"/>
      <c r="CA143" s="59"/>
      <c r="CC143" s="59"/>
    </row>
    <row r="144" spans="1:81" x14ac:dyDescent="0.25">
      <c r="A144">
        <f t="shared" si="106"/>
        <v>55000</v>
      </c>
      <c r="B144">
        <f t="shared" si="138"/>
        <v>55</v>
      </c>
      <c r="C144">
        <f t="shared" si="107"/>
        <v>1.0991275012012063</v>
      </c>
      <c r="D144">
        <f t="shared" si="108"/>
        <v>0.42796414265114341</v>
      </c>
      <c r="F144">
        <f t="shared" si="109"/>
        <v>8.5414235794027942E-3</v>
      </c>
      <c r="G144">
        <f t="shared" si="110"/>
        <v>3.157075002351218E-2</v>
      </c>
      <c r="H144">
        <f t="shared" si="111"/>
        <v>-3.1100218999764881</v>
      </c>
      <c r="J144">
        <f t="shared" si="112"/>
        <v>15</v>
      </c>
      <c r="M144">
        <f t="shared" si="113"/>
        <v>2.3131304886818745E-2</v>
      </c>
      <c r="N144">
        <f t="shared" si="114"/>
        <v>-1.5707963250000001</v>
      </c>
      <c r="O144">
        <f t="shared" si="115"/>
        <v>16.010656571430964</v>
      </c>
      <c r="P144">
        <f t="shared" si="116"/>
        <v>1.5082972459572879</v>
      </c>
      <c r="Q144">
        <f t="shared" si="117"/>
        <v>14.145916378458589</v>
      </c>
      <c r="R144">
        <f t="shared" si="118"/>
        <v>1.5000455362659406</v>
      </c>
      <c r="S144">
        <f t="shared" si="119"/>
        <v>0.92008277758978674</v>
      </c>
      <c r="T144">
        <f t="shared" si="120"/>
        <v>-0.40250457788398925</v>
      </c>
      <c r="U144">
        <f t="shared" si="121"/>
        <v>0.94535798152612771</v>
      </c>
      <c r="V144">
        <f t="shared" si="122"/>
        <v>-0.33210547836540893</v>
      </c>
      <c r="X144">
        <f t="shared" si="139"/>
        <v>-3.8533369741462709</v>
      </c>
      <c r="Y144">
        <f t="shared" si="123"/>
        <v>-113.39530099272181</v>
      </c>
      <c r="Z144">
        <f t="shared" si="140"/>
        <v>66.604699007278185</v>
      </c>
      <c r="AC144">
        <v>1</v>
      </c>
      <c r="AD144">
        <f t="shared" si="124"/>
        <v>15.979396854959999</v>
      </c>
      <c r="AE144">
        <f t="shared" si="125"/>
        <v>-8.2831246923109505E-4</v>
      </c>
      <c r="AF144">
        <f t="shared" si="126"/>
        <v>2.4017475809249996E-3</v>
      </c>
      <c r="AG144">
        <f t="shared" si="141"/>
        <v>5817.6785279427786</v>
      </c>
      <c r="AH144">
        <f t="shared" si="142"/>
        <v>-2422.7590413277126</v>
      </c>
      <c r="AJ144">
        <f t="shared" si="127"/>
        <v>18000</v>
      </c>
      <c r="AK144">
        <f t="shared" si="128"/>
        <v>7663.4754467039993</v>
      </c>
      <c r="AL144">
        <v>1</v>
      </c>
      <c r="AM144">
        <f t="shared" si="129"/>
        <v>14.110526219327999</v>
      </c>
      <c r="AN144">
        <f t="shared" si="143"/>
        <v>630.34128052240817</v>
      </c>
      <c r="AO144">
        <f t="shared" si="144"/>
        <v>-1230.9717192322262</v>
      </c>
      <c r="AQ144">
        <f t="shared" si="130"/>
        <v>0.82637798529047191</v>
      </c>
      <c r="AR144">
        <f t="shared" si="131"/>
        <v>-90.901578381951907</v>
      </c>
      <c r="AT144">
        <f t="shared" si="104"/>
        <v>-215425.01943484475</v>
      </c>
      <c r="AU144">
        <f t="shared" si="105"/>
        <v>-530838.27544420585</v>
      </c>
      <c r="AV144">
        <f t="shared" si="145"/>
        <v>-1.9563102273328545</v>
      </c>
      <c r="AW144">
        <f t="shared" si="146"/>
        <v>-104723.87081115774</v>
      </c>
      <c r="AX144">
        <f t="shared" si="147"/>
        <v>-64564.497393133213</v>
      </c>
      <c r="AY144">
        <f t="shared" si="155"/>
        <v>-2.5891136242009156</v>
      </c>
      <c r="BA144">
        <f t="shared" si="132"/>
        <v>4.6565761961566574</v>
      </c>
      <c r="BB144">
        <f t="shared" si="148"/>
        <v>13.361334275313649</v>
      </c>
      <c r="BC144">
        <f t="shared" si="149"/>
        <v>0.63280339686806109</v>
      </c>
      <c r="BD144">
        <f t="shared" si="133"/>
        <v>-143.74303605648842</v>
      </c>
      <c r="BF144">
        <f t="shared" si="134"/>
        <v>-3.665273862745436</v>
      </c>
      <c r="BG144">
        <f t="shared" si="135"/>
        <v>-117.41362613714766</v>
      </c>
      <c r="BH144">
        <f t="shared" si="150"/>
        <v>62.586373862852341</v>
      </c>
      <c r="BI144">
        <f t="shared" si="151"/>
        <v>62.586373862852341</v>
      </c>
      <c r="BJ144">
        <f t="shared" si="136"/>
        <v>0</v>
      </c>
      <c r="BK144">
        <f t="shared" si="152"/>
        <v>0</v>
      </c>
      <c r="BM144">
        <f t="shared" si="153"/>
        <v>-17.026608138059082</v>
      </c>
      <c r="BN144">
        <f t="shared" si="137"/>
        <v>-153.67059008065925</v>
      </c>
      <c r="BQ144" s="56">
        <f t="shared" si="154"/>
        <v>30.263295075598784</v>
      </c>
      <c r="BR144" s="59"/>
      <c r="BS144" s="59"/>
      <c r="BT144" s="59">
        <v>2187.7620000000002</v>
      </c>
      <c r="BU144" s="59">
        <v>8.5308799999999998</v>
      </c>
      <c r="BV144" s="59">
        <v>-253.785</v>
      </c>
      <c r="BW144" s="61"/>
      <c r="BY144" s="59"/>
      <c r="BZ144" s="59"/>
      <c r="CA144" s="59"/>
      <c r="CC144" s="59"/>
    </row>
    <row r="145" spans="1:81" x14ac:dyDescent="0.25">
      <c r="A145">
        <f t="shared" si="106"/>
        <v>55500</v>
      </c>
      <c r="B145">
        <f t="shared" si="138"/>
        <v>55.5</v>
      </c>
      <c r="C145">
        <f t="shared" si="107"/>
        <v>1.1008550115263553</v>
      </c>
      <c r="D145">
        <f t="shared" si="108"/>
        <v>0.43139139794016834</v>
      </c>
      <c r="F145">
        <f t="shared" si="109"/>
        <v>8.3870003753884984E-3</v>
      </c>
      <c r="G145">
        <f t="shared" si="110"/>
        <v>3.1281695259668528E-2</v>
      </c>
      <c r="H145">
        <f t="shared" si="111"/>
        <v>-3.1103109547403318</v>
      </c>
      <c r="J145">
        <f t="shared" si="112"/>
        <v>15</v>
      </c>
      <c r="M145">
        <f t="shared" si="113"/>
        <v>2.2922914752703263E-2</v>
      </c>
      <c r="N145">
        <f t="shared" si="114"/>
        <v>-1.5707963250000001</v>
      </c>
      <c r="O145">
        <f t="shared" si="115"/>
        <v>16.155642738952707</v>
      </c>
      <c r="P145">
        <f t="shared" si="116"/>
        <v>1.5088588553177849</v>
      </c>
      <c r="Q145">
        <f t="shared" si="117"/>
        <v>14.273875846217015</v>
      </c>
      <c r="R145">
        <f t="shared" si="118"/>
        <v>1.5006808343603715</v>
      </c>
      <c r="S145">
        <f t="shared" si="119"/>
        <v>0.91879615125893721</v>
      </c>
      <c r="T145">
        <f t="shared" si="120"/>
        <v>-0.40577653364999311</v>
      </c>
      <c r="U145">
        <f t="shared" si="121"/>
        <v>0.94444161830738838</v>
      </c>
      <c r="V145">
        <f t="shared" si="122"/>
        <v>-0.33490475701147782</v>
      </c>
      <c r="X145">
        <f t="shared" si="139"/>
        <v>-3.9408335122758498</v>
      </c>
      <c r="Y145">
        <f t="shared" si="123"/>
        <v>-113.49477371008813</v>
      </c>
      <c r="Z145">
        <f t="shared" si="140"/>
        <v>66.505226289911874</v>
      </c>
      <c r="AC145">
        <v>1</v>
      </c>
      <c r="AD145">
        <f t="shared" si="124"/>
        <v>16.124664099095998</v>
      </c>
      <c r="AE145">
        <f t="shared" si="125"/>
        <v>-8.4344115152035725E-4</v>
      </c>
      <c r="AF145">
        <f t="shared" si="126"/>
        <v>2.4235816498424999E-3</v>
      </c>
      <c r="AG145">
        <f t="shared" si="141"/>
        <v>5806.4055013717216</v>
      </c>
      <c r="AH145">
        <f t="shared" si="142"/>
        <v>-2433.3248036658269</v>
      </c>
      <c r="AJ145">
        <f t="shared" si="127"/>
        <v>18000</v>
      </c>
      <c r="AK145">
        <f t="shared" si="128"/>
        <v>7733.1434053103994</v>
      </c>
      <c r="AL145">
        <v>1</v>
      </c>
      <c r="AM145">
        <f t="shared" si="129"/>
        <v>14.238803730412799</v>
      </c>
      <c r="AN145">
        <f t="shared" si="143"/>
        <v>628.78418821573462</v>
      </c>
      <c r="AO145">
        <f t="shared" si="144"/>
        <v>-1219.9912394803864</v>
      </c>
      <c r="AQ145">
        <f t="shared" si="130"/>
        <v>0.81155656549261479</v>
      </c>
      <c r="AR145">
        <f t="shared" si="131"/>
        <v>-90.082778769680246</v>
      </c>
      <c r="AT145">
        <f t="shared" si="104"/>
        <v>-214488.43345685367</v>
      </c>
      <c r="AU145">
        <f t="shared" si="105"/>
        <v>-525031.9229475141</v>
      </c>
      <c r="AV145">
        <f t="shared" si="145"/>
        <v>-1.9586297899930691</v>
      </c>
      <c r="AW145">
        <f t="shared" si="146"/>
        <v>-102750.96268921308</v>
      </c>
      <c r="AX145">
        <f t="shared" si="147"/>
        <v>-63858.211254946451</v>
      </c>
      <c r="AY145">
        <f t="shared" si="155"/>
        <v>-2.5855247676510889</v>
      </c>
      <c r="BA145">
        <f t="shared" si="132"/>
        <v>4.6880838080084981</v>
      </c>
      <c r="BB145">
        <f t="shared" si="148"/>
        <v>13.419907337633678</v>
      </c>
      <c r="BC145">
        <f t="shared" si="149"/>
        <v>0.62689497765801971</v>
      </c>
      <c r="BD145">
        <f t="shared" si="133"/>
        <v>-144.08156354120464</v>
      </c>
      <c r="BF145">
        <f t="shared" si="134"/>
        <v>-3.7515317553443515</v>
      </c>
      <c r="BG145">
        <f t="shared" si="135"/>
        <v>-117.57234797629978</v>
      </c>
      <c r="BH145">
        <f t="shared" si="150"/>
        <v>62.427652023700219</v>
      </c>
      <c r="BI145">
        <f t="shared" si="151"/>
        <v>62.427652023700219</v>
      </c>
      <c r="BJ145">
        <f t="shared" si="136"/>
        <v>0</v>
      </c>
      <c r="BK145">
        <f t="shared" si="152"/>
        <v>0</v>
      </c>
      <c r="BM145">
        <f t="shared" si="153"/>
        <v>-17.17143909297803</v>
      </c>
      <c r="BN145">
        <f t="shared" si="137"/>
        <v>-153.49078443509515</v>
      </c>
      <c r="BQ145" s="56">
        <f t="shared" si="154"/>
        <v>30.321868137918813</v>
      </c>
      <c r="BR145" s="59"/>
      <c r="BS145" s="59"/>
      <c r="BT145" s="59">
        <v>2238.721</v>
      </c>
      <c r="BU145" s="59">
        <v>8.3496900000000007</v>
      </c>
      <c r="BV145" s="59">
        <v>-253.78300000000002</v>
      </c>
      <c r="BW145" s="61"/>
      <c r="BY145" s="59"/>
      <c r="BZ145" s="59"/>
      <c r="CA145" s="59"/>
      <c r="CC145" s="59"/>
    </row>
    <row r="146" spans="1:81" x14ac:dyDescent="0.25">
      <c r="A146">
        <f t="shared" si="106"/>
        <v>56000</v>
      </c>
      <c r="B146">
        <f t="shared" si="138"/>
        <v>56</v>
      </c>
      <c r="C146">
        <f t="shared" si="107"/>
        <v>1.102595411973909</v>
      </c>
      <c r="D146">
        <f t="shared" si="108"/>
        <v>0.43480787369780305</v>
      </c>
      <c r="F146">
        <f t="shared" si="109"/>
        <v>8.2367380158221998E-3</v>
      </c>
      <c r="G146">
        <f t="shared" si="110"/>
        <v>3.0997925896748497E-2</v>
      </c>
      <c r="H146">
        <f t="shared" si="111"/>
        <v>-3.1105947241032519</v>
      </c>
      <c r="J146">
        <f t="shared" si="112"/>
        <v>15</v>
      </c>
      <c r="M146">
        <f t="shared" si="113"/>
        <v>2.2718245870982697E-2</v>
      </c>
      <c r="N146">
        <f t="shared" si="114"/>
        <v>-1.5707963250000001</v>
      </c>
      <c r="O146">
        <f t="shared" si="115"/>
        <v>16.300633911399981</v>
      </c>
      <c r="P146">
        <f t="shared" si="116"/>
        <v>1.5094104740235621</v>
      </c>
      <c r="Q146">
        <f t="shared" si="117"/>
        <v>14.401840972590701</v>
      </c>
      <c r="R146">
        <f t="shared" si="118"/>
        <v>1.5013048430350278</v>
      </c>
      <c r="S146">
        <f t="shared" si="119"/>
        <v>0.91750333695237674</v>
      </c>
      <c r="T146">
        <f t="shared" si="120"/>
        <v>-0.40903931649605568</v>
      </c>
      <c r="U146">
        <f t="shared" si="121"/>
        <v>0.94351965799938819</v>
      </c>
      <c r="V146">
        <f t="shared" si="122"/>
        <v>-0.33769859222416421</v>
      </c>
      <c r="X146">
        <f t="shared" si="139"/>
        <v>-4.027628027654564</v>
      </c>
      <c r="Y146">
        <f t="shared" si="123"/>
        <v>-113.59494302104193</v>
      </c>
      <c r="Z146">
        <f t="shared" si="140"/>
        <v>66.405056978958072</v>
      </c>
      <c r="AC146">
        <v>1</v>
      </c>
      <c r="AD146">
        <f t="shared" si="124"/>
        <v>16.269931343231999</v>
      </c>
      <c r="AE146">
        <f t="shared" si="125"/>
        <v>-8.5870674496155836E-4</v>
      </c>
      <c r="AF146">
        <f t="shared" si="126"/>
        <v>2.4454157187600001E-3</v>
      </c>
      <c r="AG146">
        <f t="shared" si="141"/>
        <v>5795.0746528000864</v>
      </c>
      <c r="AH146">
        <f t="shared" si="142"/>
        <v>-2443.8665565401652</v>
      </c>
      <c r="AJ146">
        <f t="shared" si="127"/>
        <v>18000</v>
      </c>
      <c r="AK146">
        <f t="shared" si="128"/>
        <v>7802.8113639167987</v>
      </c>
      <c r="AL146">
        <v>1</v>
      </c>
      <c r="AM146">
        <f t="shared" si="129"/>
        <v>14.367081241497599</v>
      </c>
      <c r="AN146">
        <f t="shared" si="143"/>
        <v>627.26834913686378</v>
      </c>
      <c r="AO146">
        <f t="shared" si="144"/>
        <v>-1209.2039683526029</v>
      </c>
      <c r="AQ146">
        <f t="shared" si="130"/>
        <v>0.79713033080908724</v>
      </c>
      <c r="AR146">
        <f t="shared" si="131"/>
        <v>-89.278597050617776</v>
      </c>
      <c r="AT146">
        <f t="shared" si="104"/>
        <v>-213565.54777178034</v>
      </c>
      <c r="AU146">
        <f t="shared" si="105"/>
        <v>-519324.21496225579</v>
      </c>
      <c r="AV146">
        <f t="shared" si="145"/>
        <v>-1.9609524376105585</v>
      </c>
      <c r="AW146">
        <f t="shared" si="146"/>
        <v>-100830.64043474276</v>
      </c>
      <c r="AX146">
        <f t="shared" si="147"/>
        <v>-63168.856442469703</v>
      </c>
      <c r="AY146">
        <f t="shared" si="155"/>
        <v>-2.5819263803707222</v>
      </c>
      <c r="BA146">
        <f t="shared" si="132"/>
        <v>4.7193253654600067</v>
      </c>
      <c r="BB146">
        <f t="shared" si="148"/>
        <v>13.477598400653349</v>
      </c>
      <c r="BC146">
        <f t="shared" si="149"/>
        <v>0.62097394276016371</v>
      </c>
      <c r="BD146">
        <f t="shared" si="133"/>
        <v>-144.42081385158912</v>
      </c>
      <c r="BF146">
        <f t="shared" si="134"/>
        <v>-3.8371477444576687</v>
      </c>
      <c r="BG146">
        <f t="shared" si="135"/>
        <v>-117.73210743160838</v>
      </c>
      <c r="BH146">
        <f t="shared" si="150"/>
        <v>62.267892568391616</v>
      </c>
      <c r="BI146">
        <f t="shared" si="151"/>
        <v>62.267892568391616</v>
      </c>
      <c r="BJ146">
        <f t="shared" si="136"/>
        <v>0</v>
      </c>
      <c r="BK146">
        <f t="shared" si="152"/>
        <v>0</v>
      </c>
      <c r="BM146">
        <f t="shared" si="153"/>
        <v>-17.31474614511102</v>
      </c>
      <c r="BN146">
        <f t="shared" si="137"/>
        <v>-153.31129358001928</v>
      </c>
      <c r="BQ146" s="56">
        <f t="shared" si="154"/>
        <v>30.379559200938488</v>
      </c>
      <c r="BR146" s="59"/>
      <c r="BS146" s="59"/>
      <c r="BT146" s="59">
        <v>2290.8679999999999</v>
      </c>
      <c r="BU146" s="59">
        <v>8.2818299999999994</v>
      </c>
      <c r="BV146" s="59">
        <v>-253.62</v>
      </c>
      <c r="BW146" s="61"/>
      <c r="BY146" s="59"/>
      <c r="BZ146" s="59"/>
      <c r="CA146" s="59"/>
      <c r="CC146" s="59"/>
    </row>
    <row r="147" spans="1:81" x14ac:dyDescent="0.25">
      <c r="A147">
        <f t="shared" si="106"/>
        <v>56500</v>
      </c>
      <c r="B147">
        <f t="shared" si="138"/>
        <v>56.5</v>
      </c>
      <c r="C147">
        <f t="shared" si="107"/>
        <v>1.1043486416012267</v>
      </c>
      <c r="D147">
        <f t="shared" si="108"/>
        <v>0.43821354132091633</v>
      </c>
      <c r="F147">
        <f t="shared" si="109"/>
        <v>8.0904879824149553E-3</v>
      </c>
      <c r="G147">
        <f t="shared" si="110"/>
        <v>3.0719297238879201E-2</v>
      </c>
      <c r="H147">
        <f t="shared" si="111"/>
        <v>-3.110873352761121</v>
      </c>
      <c r="J147">
        <f t="shared" si="112"/>
        <v>15</v>
      </c>
      <c r="M147">
        <f t="shared" si="113"/>
        <v>2.2517199447345679E-2</v>
      </c>
      <c r="N147">
        <f t="shared" si="114"/>
        <v>-1.5707963250000001</v>
      </c>
      <c r="O147">
        <f t="shared" si="115"/>
        <v>16.445629956396573</v>
      </c>
      <c r="P147">
        <f t="shared" si="116"/>
        <v>1.5099523659879617</v>
      </c>
      <c r="Q147">
        <f t="shared" si="117"/>
        <v>14.529811608072116</v>
      </c>
      <c r="R147">
        <f t="shared" si="118"/>
        <v>1.5019178600905192</v>
      </c>
      <c r="S147">
        <f t="shared" si="119"/>
        <v>0.91620444315601135</v>
      </c>
      <c r="T147">
        <f t="shared" si="120"/>
        <v>-0.41229289576566724</v>
      </c>
      <c r="U147">
        <f t="shared" si="121"/>
        <v>0.94259216009192714</v>
      </c>
      <c r="V147">
        <f t="shared" si="122"/>
        <v>-0.34048695637882959</v>
      </c>
      <c r="X147">
        <f t="shared" si="139"/>
        <v>-4.1137346759431885</v>
      </c>
      <c r="Y147">
        <f t="shared" si="123"/>
        <v>-113.69578333178227</v>
      </c>
      <c r="Z147">
        <f t="shared" si="140"/>
        <v>66.304216668217734</v>
      </c>
      <c r="AC147">
        <v>1</v>
      </c>
      <c r="AD147">
        <f t="shared" si="124"/>
        <v>16.415198587368</v>
      </c>
      <c r="AE147">
        <f t="shared" si="125"/>
        <v>-8.741092495546986E-4</v>
      </c>
      <c r="AF147">
        <f t="shared" si="126"/>
        <v>2.4672497876775E-3</v>
      </c>
      <c r="AG147">
        <f t="shared" si="141"/>
        <v>5783.6869138292932</v>
      </c>
      <c r="AH147">
        <f t="shared" si="142"/>
        <v>-2454.3823078436485</v>
      </c>
      <c r="AJ147">
        <f t="shared" si="127"/>
        <v>18000</v>
      </c>
      <c r="AK147">
        <f t="shared" si="128"/>
        <v>7872.4793225232006</v>
      </c>
      <c r="AL147">
        <v>1</v>
      </c>
      <c r="AM147">
        <f t="shared" si="129"/>
        <v>14.495358752582399</v>
      </c>
      <c r="AN147">
        <f t="shared" si="143"/>
        <v>625.79232106407483</v>
      </c>
      <c r="AO147">
        <f t="shared" si="144"/>
        <v>-1198.6048759117914</v>
      </c>
      <c r="AQ147">
        <f t="shared" si="130"/>
        <v>0.78308535630383713</v>
      </c>
      <c r="AR147">
        <f t="shared" si="131"/>
        <v>-88.488645262333591</v>
      </c>
      <c r="AT147">
        <f t="shared" si="104"/>
        <v>-212655.8448492584</v>
      </c>
      <c r="AU147">
        <f t="shared" si="105"/>
        <v>-513712.61047028482</v>
      </c>
      <c r="AV147">
        <f t="shared" si="145"/>
        <v>-1.9632779174644033</v>
      </c>
      <c r="AW147">
        <f t="shared" si="146"/>
        <v>-98961.069004482619</v>
      </c>
      <c r="AX147">
        <f t="shared" si="147"/>
        <v>-62495.836985255439</v>
      </c>
      <c r="AY147">
        <f t="shared" si="155"/>
        <v>-2.5783189458554214</v>
      </c>
      <c r="BA147">
        <f t="shared" si="132"/>
        <v>4.750299298520277</v>
      </c>
      <c r="BB147">
        <f t="shared" si="148"/>
        <v>13.5344194750271</v>
      </c>
      <c r="BC147">
        <f t="shared" si="149"/>
        <v>0.61504102839101815</v>
      </c>
      <c r="BD147">
        <f t="shared" si="133"/>
        <v>-144.76074480554209</v>
      </c>
      <c r="BF147">
        <f t="shared" si="134"/>
        <v>-3.9221369751994595</v>
      </c>
      <c r="BG147">
        <f t="shared" si="135"/>
        <v>-117.8928722502752</v>
      </c>
      <c r="BH147">
        <f t="shared" si="150"/>
        <v>62.107127749724796</v>
      </c>
      <c r="BI147">
        <f t="shared" si="151"/>
        <v>62.107127749724796</v>
      </c>
      <c r="BJ147">
        <f t="shared" si="136"/>
        <v>0</v>
      </c>
      <c r="BK147">
        <f t="shared" si="152"/>
        <v>0</v>
      </c>
      <c r="BM147">
        <f t="shared" si="153"/>
        <v>-17.456556450226557</v>
      </c>
      <c r="BN147">
        <f t="shared" si="137"/>
        <v>-153.1321274447331</v>
      </c>
      <c r="BQ147" s="56">
        <f t="shared" si="154"/>
        <v>30.436380275312235</v>
      </c>
      <c r="BR147" s="59"/>
      <c r="BS147" s="59"/>
      <c r="BT147" s="59">
        <v>2344.2289999999998</v>
      </c>
      <c r="BU147" s="59">
        <v>8.0662299999999991</v>
      </c>
      <c r="BV147" s="59">
        <v>-253.17099999999999</v>
      </c>
      <c r="BW147" s="61"/>
      <c r="BY147" s="59"/>
      <c r="BZ147" s="59"/>
      <c r="CA147" s="59"/>
      <c r="CC147" s="59"/>
    </row>
    <row r="148" spans="1:81" x14ac:dyDescent="0.25">
      <c r="A148">
        <f t="shared" si="106"/>
        <v>57000</v>
      </c>
      <c r="B148">
        <f t="shared" si="138"/>
        <v>57</v>
      </c>
      <c r="C148">
        <f t="shared" si="107"/>
        <v>1.1061146394042405</v>
      </c>
      <c r="D148">
        <f t="shared" si="108"/>
        <v>0.44160837338991288</v>
      </c>
      <c r="F148">
        <f t="shared" si="109"/>
        <v>7.9481083406095412E-3</v>
      </c>
      <c r="G148">
        <f t="shared" si="110"/>
        <v>3.0445669859440437E-2</v>
      </c>
      <c r="H148">
        <f t="shared" si="111"/>
        <v>-3.1111469801405596</v>
      </c>
      <c r="J148">
        <f t="shared" si="112"/>
        <v>15</v>
      </c>
      <c r="M148">
        <f t="shared" si="113"/>
        <v>2.2319680153947915E-2</v>
      </c>
      <c r="N148">
        <f t="shared" si="114"/>
        <v>-1.5707963250000001</v>
      </c>
      <c r="O148">
        <f t="shared" si="115"/>
        <v>16.590630746189593</v>
      </c>
      <c r="P148">
        <f t="shared" si="116"/>
        <v>1.510484785921318</v>
      </c>
      <c r="Q148">
        <f t="shared" si="117"/>
        <v>14.657787608368544</v>
      </c>
      <c r="R148">
        <f t="shared" si="118"/>
        <v>1.5025201729608795</v>
      </c>
      <c r="S148">
        <f t="shared" si="119"/>
        <v>0.91489957797507115</v>
      </c>
      <c r="T148">
        <f t="shared" si="120"/>
        <v>-0.41553724175442186</v>
      </c>
      <c r="U148">
        <f t="shared" si="121"/>
        <v>0.94165918410269756</v>
      </c>
      <c r="V148">
        <f t="shared" si="122"/>
        <v>-0.34326982229921305</v>
      </c>
      <c r="X148">
        <f t="shared" si="139"/>
        <v>-4.1991671987073156</v>
      </c>
      <c r="Y148">
        <f t="shared" si="123"/>
        <v>-113.79726988028672</v>
      </c>
      <c r="Z148">
        <f t="shared" si="140"/>
        <v>66.20273011971328</v>
      </c>
      <c r="AC148">
        <v>1</v>
      </c>
      <c r="AD148">
        <f t="shared" si="124"/>
        <v>16.560465831504001</v>
      </c>
      <c r="AE148">
        <f t="shared" si="125"/>
        <v>-8.8964866529977777E-4</v>
      </c>
      <c r="AF148">
        <f t="shared" si="126"/>
        <v>2.4890838565949998E-3</v>
      </c>
      <c r="AG148">
        <f t="shared" si="141"/>
        <v>5772.243214735613</v>
      </c>
      <c r="AH148">
        <f t="shared" si="142"/>
        <v>-2464.8701390752344</v>
      </c>
      <c r="AJ148">
        <f t="shared" si="127"/>
        <v>18000</v>
      </c>
      <c r="AK148">
        <f t="shared" si="128"/>
        <v>7942.1472811295998</v>
      </c>
      <c r="AL148">
        <v>1</v>
      </c>
      <c r="AM148">
        <f t="shared" si="129"/>
        <v>14.623636263667199</v>
      </c>
      <c r="AN148">
        <f t="shared" si="143"/>
        <v>624.35472415696358</v>
      </c>
      <c r="AO148">
        <f t="shared" si="144"/>
        <v>-1188.1891044441027</v>
      </c>
      <c r="AQ148">
        <f t="shared" si="130"/>
        <v>0.76940832499807643</v>
      </c>
      <c r="AR148">
        <f t="shared" si="131"/>
        <v>-87.712549049780719</v>
      </c>
      <c r="AT148">
        <f t="shared" si="104"/>
        <v>-211758.83099164508</v>
      </c>
      <c r="AU148">
        <f t="shared" si="105"/>
        <v>-508194.65770480502</v>
      </c>
      <c r="AV148">
        <f t="shared" si="145"/>
        <v>-1.9656059851232455</v>
      </c>
      <c r="AW148">
        <f t="shared" si="146"/>
        <v>-97140.492570958071</v>
      </c>
      <c r="AX148">
        <f t="shared" si="147"/>
        <v>-61838.583990228937</v>
      </c>
      <c r="AY148">
        <f t="shared" si="155"/>
        <v>-2.574702936928809</v>
      </c>
      <c r="BA148">
        <f t="shared" si="132"/>
        <v>4.7810040830918883</v>
      </c>
      <c r="BB148">
        <f t="shared" si="148"/>
        <v>13.590382291876546</v>
      </c>
      <c r="BC148">
        <f t="shared" si="149"/>
        <v>0.60909695180556356</v>
      </c>
      <c r="BD148">
        <f t="shared" si="133"/>
        <v>-145.10131530738033</v>
      </c>
      <c r="BF148">
        <f t="shared" si="134"/>
        <v>-4.006514155301085</v>
      </c>
      <c r="BG148">
        <f t="shared" si="135"/>
        <v>-118.05461089620097</v>
      </c>
      <c r="BH148">
        <f t="shared" si="150"/>
        <v>61.94538910379903</v>
      </c>
      <c r="BI148">
        <f t="shared" si="151"/>
        <v>61.94538910379903</v>
      </c>
      <c r="BJ148">
        <f t="shared" si="136"/>
        <v>0</v>
      </c>
      <c r="BK148">
        <f t="shared" si="152"/>
        <v>0</v>
      </c>
      <c r="BM148">
        <f t="shared" si="153"/>
        <v>-17.596896447177631</v>
      </c>
      <c r="BN148">
        <f t="shared" si="137"/>
        <v>-152.95329558882065</v>
      </c>
      <c r="BQ148" s="56">
        <f t="shared" si="154"/>
        <v>30.492343092161679</v>
      </c>
      <c r="BR148" s="59"/>
      <c r="BS148" s="59"/>
      <c r="BT148" s="59">
        <v>2398.8330000000001</v>
      </c>
      <c r="BU148" s="59">
        <v>7.8140200000000002</v>
      </c>
      <c r="BV148" s="59">
        <v>-252.65800000000002</v>
      </c>
      <c r="BW148" s="61"/>
      <c r="BY148" s="59"/>
      <c r="BZ148" s="59"/>
      <c r="CA148" s="59"/>
      <c r="CC148" s="59"/>
    </row>
    <row r="149" spans="1:81" x14ac:dyDescent="0.25">
      <c r="A149">
        <f t="shared" si="106"/>
        <v>57500</v>
      </c>
      <c r="B149">
        <f t="shared" si="138"/>
        <v>57.5</v>
      </c>
      <c r="C149">
        <f t="shared" si="107"/>
        <v>1.1078933443249899</v>
      </c>
      <c r="D149">
        <f t="shared" si="108"/>
        <v>0.44499234365840229</v>
      </c>
      <c r="F149">
        <f t="shared" si="109"/>
        <v>7.8094633916278378E-3</v>
      </c>
      <c r="G149">
        <f t="shared" si="110"/>
        <v>3.0176909361900327E-2</v>
      </c>
      <c r="H149">
        <f t="shared" si="111"/>
        <v>-3.1114157406380998</v>
      </c>
      <c r="J149">
        <f t="shared" si="112"/>
        <v>15</v>
      </c>
      <c r="M149">
        <f t="shared" si="113"/>
        <v>2.2125595978696191E-2</v>
      </c>
      <c r="N149">
        <f t="shared" si="114"/>
        <v>-1.5707963250000001</v>
      </c>
      <c r="O149">
        <f t="shared" si="115"/>
        <v>16.735636157449534</v>
      </c>
      <c r="P149">
        <f t="shared" si="116"/>
        <v>1.5110079797281624</v>
      </c>
      <c r="Q149">
        <f t="shared" si="117"/>
        <v>14.785768834176931</v>
      </c>
      <c r="R149">
        <f t="shared" si="118"/>
        <v>1.5031120591600649</v>
      </c>
      <c r="S149">
        <f t="shared" si="119"/>
        <v>0.91358884911729221</v>
      </c>
      <c r="T149">
        <f t="shared" si="120"/>
        <v>-0.41877232570375139</v>
      </c>
      <c r="U149">
        <f t="shared" si="121"/>
        <v>0.94072078956875138</v>
      </c>
      <c r="V149">
        <f t="shared" si="122"/>
        <v>-0.34604716325675738</v>
      </c>
      <c r="X149">
        <f t="shared" si="139"/>
        <v>-4.2839389392210938</v>
      </c>
      <c r="Y149">
        <f t="shared" si="123"/>
        <v>-113.89937870186839</v>
      </c>
      <c r="Z149">
        <f t="shared" si="140"/>
        <v>66.100621298131614</v>
      </c>
      <c r="AC149">
        <v>1</v>
      </c>
      <c r="AD149">
        <f t="shared" si="124"/>
        <v>16.705733075640001</v>
      </c>
      <c r="AE149">
        <f t="shared" si="125"/>
        <v>-9.0532499219679618E-4</v>
      </c>
      <c r="AF149">
        <f t="shared" si="126"/>
        <v>2.5109179255125001E-3</v>
      </c>
      <c r="AG149">
        <f t="shared" si="141"/>
        <v>5760.7444843212852</v>
      </c>
      <c r="AH149">
        <f t="shared" si="142"/>
        <v>-2475.3282025525782</v>
      </c>
      <c r="AJ149">
        <f t="shared" si="127"/>
        <v>18000</v>
      </c>
      <c r="AK149">
        <f t="shared" si="128"/>
        <v>8011.815239736</v>
      </c>
      <c r="AL149">
        <v>1</v>
      </c>
      <c r="AM149">
        <f t="shared" si="129"/>
        <v>14.751913774751999</v>
      </c>
      <c r="AN149">
        <f t="shared" si="143"/>
        <v>622.95423775134645</v>
      </c>
      <c r="AO149">
        <f t="shared" si="144"/>
        <v>-1177.9519611882213</v>
      </c>
      <c r="AQ149">
        <f t="shared" si="130"/>
        <v>0.75608649629517621</v>
      </c>
      <c r="AR149">
        <f t="shared" si="131"/>
        <v>-86.949947073945253</v>
      </c>
      <c r="AT149">
        <f t="shared" si="104"/>
        <v>-210874.03508938846</v>
      </c>
      <c r="AU149">
        <f t="shared" si="105"/>
        <v>-502767.9902461064</v>
      </c>
      <c r="AV149">
        <f t="shared" si="145"/>
        <v>-1.9679364041066096</v>
      </c>
      <c r="AW149">
        <f t="shared" si="146"/>
        <v>-95367.230459640676</v>
      </c>
      <c r="AX149">
        <f t="shared" si="147"/>
        <v>-61196.554151037235</v>
      </c>
      <c r="AY149">
        <f t="shared" si="155"/>
        <v>-2.5710788161860303</v>
      </c>
      <c r="BA149">
        <f t="shared" si="132"/>
        <v>4.8114382413895118</v>
      </c>
      <c r="BB149">
        <f t="shared" si="148"/>
        <v>13.645498313063536</v>
      </c>
      <c r="BC149">
        <f t="shared" si="149"/>
        <v>0.60314241207942065</v>
      </c>
      <c r="BD149">
        <f t="shared" si="133"/>
        <v>-145.44248530302116</v>
      </c>
      <c r="BF149">
        <f t="shared" si="134"/>
        <v>-4.0902935706104602</v>
      </c>
      <c r="BG149">
        <f t="shared" si="135"/>
        <v>-118.21729251946454</v>
      </c>
      <c r="BH149">
        <f t="shared" si="150"/>
        <v>61.782707480535464</v>
      </c>
      <c r="BI149">
        <f t="shared" si="151"/>
        <v>61.782707480535464</v>
      </c>
      <c r="BJ149">
        <f t="shared" si="136"/>
        <v>0</v>
      </c>
      <c r="BK149">
        <f t="shared" si="152"/>
        <v>0</v>
      </c>
      <c r="BM149">
        <f t="shared" si="153"/>
        <v>-17.735791883673993</v>
      </c>
      <c r="BN149">
        <f t="shared" si="137"/>
        <v>-152.77480721644341</v>
      </c>
      <c r="BQ149" s="56">
        <f t="shared" si="154"/>
        <v>30.547459113348673</v>
      </c>
      <c r="BR149" s="59"/>
      <c r="BS149" s="59"/>
      <c r="BT149" s="59">
        <v>2454.7089999999998</v>
      </c>
      <c r="BU149" s="59">
        <v>7.6423899999999998</v>
      </c>
      <c r="BV149" s="59">
        <v>-251.97399999999999</v>
      </c>
      <c r="BW149" s="61"/>
      <c r="BY149" s="59"/>
      <c r="BZ149" s="59"/>
      <c r="CA149" s="59"/>
      <c r="CC149" s="59"/>
    </row>
    <row r="150" spans="1:81" x14ac:dyDescent="0.25">
      <c r="A150">
        <f t="shared" si="106"/>
        <v>58000</v>
      </c>
      <c r="B150">
        <f t="shared" si="138"/>
        <v>58</v>
      </c>
      <c r="C150">
        <f t="shared" si="107"/>
        <v>1.1096846952590569</v>
      </c>
      <c r="D150">
        <f t="shared" si="108"/>
        <v>0.4483654270427046</v>
      </c>
      <c r="F150">
        <f t="shared" si="109"/>
        <v>7.674423345832882E-3</v>
      </c>
      <c r="G150">
        <f t="shared" si="110"/>
        <v>2.9912886153632721E-2</v>
      </c>
      <c r="H150">
        <f t="shared" si="111"/>
        <v>-3.1116797638463676</v>
      </c>
      <c r="J150">
        <f t="shared" si="112"/>
        <v>15</v>
      </c>
      <c r="M150">
        <f t="shared" si="113"/>
        <v>2.1934858082328122E-2</v>
      </c>
      <c r="N150">
        <f t="shared" si="114"/>
        <v>-1.5707963250000001</v>
      </c>
      <c r="O150">
        <f t="shared" si="115"/>
        <v>16.880646071080655</v>
      </c>
      <c r="P150">
        <f t="shared" si="116"/>
        <v>1.5115221848840554</v>
      </c>
      <c r="Q150">
        <f t="shared" si="117"/>
        <v>14.91375515097031</v>
      </c>
      <c r="R150">
        <f t="shared" si="118"/>
        <v>1.5036937867056037</v>
      </c>
      <c r="S150">
        <f t="shared" si="119"/>
        <v>0.91227236387648103</v>
      </c>
      <c r="T150">
        <f t="shared" si="120"/>
        <v>-0.42199811979451129</v>
      </c>
      <c r="U150">
        <f t="shared" si="121"/>
        <v>0.93977703603805351</v>
      </c>
      <c r="V150">
        <f t="shared" si="122"/>
        <v>-0.34881895296986343</v>
      </c>
      <c r="X150">
        <f t="shared" si="139"/>
        <v>-4.3680628575167866</v>
      </c>
      <c r="Y150">
        <f t="shared" si="123"/>
        <v>-114.00208659646185</v>
      </c>
      <c r="Z150">
        <f t="shared" si="140"/>
        <v>65.997913403538149</v>
      </c>
      <c r="AC150">
        <v>1</v>
      </c>
      <c r="AD150">
        <f t="shared" si="124"/>
        <v>16.851000319775999</v>
      </c>
      <c r="AE150">
        <f t="shared" si="125"/>
        <v>-9.2113823024575351E-4</v>
      </c>
      <c r="AF150">
        <f t="shared" si="126"/>
        <v>2.5327519944299999E-3</v>
      </c>
      <c r="AG150">
        <f t="shared" si="141"/>
        <v>5749.1916497677721</v>
      </c>
      <c r="AH150">
        <f t="shared" si="142"/>
        <v>-2485.7547187629912</v>
      </c>
      <c r="AJ150">
        <f t="shared" si="127"/>
        <v>18000</v>
      </c>
      <c r="AK150">
        <f t="shared" si="128"/>
        <v>8081.4831983423992</v>
      </c>
      <c r="AL150">
        <v>1</v>
      </c>
      <c r="AM150">
        <f t="shared" si="129"/>
        <v>14.8801912858368</v>
      </c>
      <c r="AN150">
        <f t="shared" si="143"/>
        <v>621.58959734436007</v>
      </c>
      <c r="AO150">
        <f t="shared" si="144"/>
        <v>-1167.8889114279523</v>
      </c>
      <c r="AQ150">
        <f t="shared" si="130"/>
        <v>0.74310767630229624</v>
      </c>
      <c r="AR150">
        <f t="shared" si="131"/>
        <v>-86.200490451066358</v>
      </c>
      <c r="AT150">
        <f t="shared" ref="AT150:AT213" si="156">-AR150*AH150+AG150*AQ150</f>
        <v>-210001.00745094684</v>
      </c>
      <c r="AU150">
        <f t="shared" ref="AU150:AU213" si="157">AQ150*AH150+AG150*AR150</f>
        <v>-497430.32332007471</v>
      </c>
      <c r="AV150">
        <f t="shared" si="145"/>
        <v>-1.970268945563465</v>
      </c>
      <c r="AW150">
        <f t="shared" si="146"/>
        <v>-93639.673326733013</v>
      </c>
      <c r="AX150">
        <f t="shared" si="147"/>
        <v>-60569.228352951497</v>
      </c>
      <c r="AY150">
        <f t="shared" si="155"/>
        <v>-2.5674470364108841</v>
      </c>
      <c r="BA150">
        <f t="shared" si="132"/>
        <v>4.841600342346057</v>
      </c>
      <c r="BB150">
        <f t="shared" si="148"/>
        <v>13.699778741034848</v>
      </c>
      <c r="BC150">
        <f t="shared" si="149"/>
        <v>0.59717809084741913</v>
      </c>
      <c r="BD150">
        <f t="shared" si="133"/>
        <v>-145.78421573766559</v>
      </c>
      <c r="BF150">
        <f t="shared" si="134"/>
        <v>-4.1734890998533185</v>
      </c>
      <c r="BG150">
        <f t="shared" si="135"/>
        <v>-118.38088692756646</v>
      </c>
      <c r="BH150">
        <f t="shared" si="150"/>
        <v>61.619113072433535</v>
      </c>
      <c r="BI150">
        <f t="shared" si="151"/>
        <v>61.619113072433535</v>
      </c>
      <c r="BJ150">
        <f t="shared" si="136"/>
        <v>0</v>
      </c>
      <c r="BK150">
        <f t="shared" si="152"/>
        <v>0</v>
      </c>
      <c r="BM150">
        <f t="shared" si="153"/>
        <v>-17.873267840888165</v>
      </c>
      <c r="BN150">
        <f t="shared" si="137"/>
        <v>-152.59667118990086</v>
      </c>
      <c r="BQ150" s="56">
        <f t="shared" si="154"/>
        <v>30.601739541319986</v>
      </c>
      <c r="BR150" s="59"/>
      <c r="BS150" s="59"/>
      <c r="BT150" s="59">
        <v>2511.886</v>
      </c>
      <c r="BU150" s="59">
        <v>7.45716</v>
      </c>
      <c r="BV150" s="59">
        <v>-252.25200000000001</v>
      </c>
      <c r="BW150" s="61"/>
      <c r="BY150" s="59"/>
      <c r="BZ150" s="59"/>
      <c r="CA150" s="59"/>
      <c r="CC150" s="59"/>
    </row>
    <row r="151" spans="1:81" x14ac:dyDescent="0.25">
      <c r="A151">
        <f t="shared" si="106"/>
        <v>58500</v>
      </c>
      <c r="B151">
        <f t="shared" si="138"/>
        <v>58.5</v>
      </c>
      <c r="C151">
        <f t="shared" si="107"/>
        <v>1.1114886310629091</v>
      </c>
      <c r="D151">
        <f t="shared" si="108"/>
        <v>0.45172759961119735</v>
      </c>
      <c r="F151">
        <f t="shared" si="109"/>
        <v>7.5428640159231342E-3</v>
      </c>
      <c r="G151">
        <f t="shared" si="110"/>
        <v>2.9653475231897396E-2</v>
      </c>
      <c r="H151">
        <f t="shared" si="111"/>
        <v>-3.1119391747681027</v>
      </c>
      <c r="J151">
        <f t="shared" si="112"/>
        <v>15</v>
      </c>
      <c r="M151">
        <f t="shared" si="113"/>
        <v>2.1747380662821041E-2</v>
      </c>
      <c r="N151">
        <f t="shared" si="114"/>
        <v>-1.5707963250000001</v>
      </c>
      <c r="O151">
        <f t="shared" si="115"/>
        <v>17.025660372040996</v>
      </c>
      <c r="P151">
        <f t="shared" si="116"/>
        <v>1.5120276307932567</v>
      </c>
      <c r="Q151">
        <f t="shared" si="117"/>
        <v>15.041746428795074</v>
      </c>
      <c r="R151">
        <f t="shared" si="118"/>
        <v>1.5042656145207551</v>
      </c>
      <c r="S151">
        <f t="shared" si="119"/>
        <v>0.91095022911646595</v>
      </c>
      <c r="T151">
        <f t="shared" si="120"/>
        <v>-0.42521459714042442</v>
      </c>
      <c r="U151">
        <f t="shared" si="121"/>
        <v>0.93882798306112492</v>
      </c>
      <c r="V151">
        <f t="shared" si="122"/>
        <v>-0.35158516560307468</v>
      </c>
      <c r="X151">
        <f t="shared" si="139"/>
        <v>-4.4515515447232872</v>
      </c>
      <c r="Y151">
        <f t="shared" si="123"/>
        <v>-114.10537109753891</v>
      </c>
      <c r="Z151">
        <f t="shared" si="140"/>
        <v>65.894628902461093</v>
      </c>
      <c r="AC151">
        <v>1</v>
      </c>
      <c r="AD151">
        <f t="shared" si="124"/>
        <v>16.996267563911999</v>
      </c>
      <c r="AE151">
        <f t="shared" si="125"/>
        <v>-9.3708837944664943E-4</v>
      </c>
      <c r="AF151">
        <f t="shared" si="126"/>
        <v>2.5545860633474997E-3</v>
      </c>
      <c r="AG151">
        <f t="shared" si="141"/>
        <v>5737.5856364911779</v>
      </c>
      <c r="AH151">
        <f t="shared" si="142"/>
        <v>-2496.1479738443559</v>
      </c>
      <c r="AJ151">
        <f t="shared" si="127"/>
        <v>18000</v>
      </c>
      <c r="AK151">
        <f t="shared" si="128"/>
        <v>8151.1511569487993</v>
      </c>
      <c r="AL151">
        <v>1</v>
      </c>
      <c r="AM151">
        <f t="shared" si="129"/>
        <v>15.0084687969216</v>
      </c>
      <c r="AN151">
        <f t="shared" si="143"/>
        <v>620.25959175698358</v>
      </c>
      <c r="AO151">
        <f t="shared" si="144"/>
        <v>-1157.9955719272168</v>
      </c>
      <c r="AQ151">
        <f t="shared" si="130"/>
        <v>0.73046018991964934</v>
      </c>
      <c r="AR151">
        <f t="shared" si="131"/>
        <v>-85.463842220598977</v>
      </c>
      <c r="AT151">
        <f t="shared" si="156"/>
        <v>-209139.31870219024</v>
      </c>
      <c r="AU151">
        <f t="shared" si="157"/>
        <v>-492179.45028729888</v>
      </c>
      <c r="AV151">
        <f t="shared" si="145"/>
        <v>-1.9726033879669995</v>
      </c>
      <c r="AW151">
        <f t="shared" si="146"/>
        <v>-91956.279561460833</v>
      </c>
      <c r="AX151">
        <f t="shared" si="147"/>
        <v>-59956.110366377143</v>
      </c>
      <c r="AY151">
        <f t="shared" si="155"/>
        <v>-2.5638080409681634</v>
      </c>
      <c r="BA151">
        <f t="shared" si="132"/>
        <v>4.8714890020052568</v>
      </c>
      <c r="BB151">
        <f t="shared" si="148"/>
        <v>13.75323452825835</v>
      </c>
      <c r="BC151">
        <f t="shared" si="149"/>
        <v>0.59120465300116387</v>
      </c>
      <c r="BD151">
        <f t="shared" si="133"/>
        <v>-146.12646851583082</v>
      </c>
      <c r="BF151">
        <f t="shared" si="134"/>
        <v>-4.256114228699726</v>
      </c>
      <c r="BG151">
        <f t="shared" si="135"/>
        <v>-118.54536455833428</v>
      </c>
      <c r="BH151">
        <f t="shared" si="150"/>
        <v>61.454635441665715</v>
      </c>
      <c r="BI151">
        <f t="shared" si="151"/>
        <v>61.454635441665715</v>
      </c>
      <c r="BJ151">
        <f t="shared" si="136"/>
        <v>0</v>
      </c>
      <c r="BK151">
        <f t="shared" si="152"/>
        <v>0</v>
      </c>
      <c r="BM151">
        <f t="shared" si="153"/>
        <v>-18.009348756958076</v>
      </c>
      <c r="BN151">
        <f t="shared" si="137"/>
        <v>-152.41889604250346</v>
      </c>
      <c r="BQ151" s="56">
        <f t="shared" si="154"/>
        <v>30.655195328543488</v>
      </c>
      <c r="BR151" s="59"/>
      <c r="BS151" s="59"/>
      <c r="BT151" s="59">
        <v>2570.3960000000002</v>
      </c>
      <c r="BU151" s="59">
        <v>7.31271</v>
      </c>
      <c r="BV151" s="59">
        <v>-251.702</v>
      </c>
      <c r="BW151" s="61"/>
      <c r="BY151" s="59"/>
      <c r="BZ151" s="59"/>
      <c r="CA151" s="59"/>
      <c r="CC151" s="59"/>
    </row>
    <row r="152" spans="1:81" x14ac:dyDescent="0.25">
      <c r="A152">
        <f t="shared" si="106"/>
        <v>59000</v>
      </c>
      <c r="B152">
        <f t="shared" si="138"/>
        <v>59</v>
      </c>
      <c r="C152">
        <f t="shared" si="107"/>
        <v>1.1133050905611417</v>
      </c>
      <c r="D152">
        <f t="shared" si="108"/>
        <v>0.45507883857351317</v>
      </c>
      <c r="F152">
        <f t="shared" si="109"/>
        <v>7.4146665285917419E-3</v>
      </c>
      <c r="G152">
        <f t="shared" si="110"/>
        <v>2.9398555981223085E-2</v>
      </c>
      <c r="H152">
        <f t="shared" si="111"/>
        <v>-3.1121940940187773</v>
      </c>
      <c r="J152">
        <f t="shared" si="112"/>
        <v>15</v>
      </c>
      <c r="M152">
        <f t="shared" si="113"/>
        <v>2.1563080826695443E-2</v>
      </c>
      <c r="N152">
        <f t="shared" si="114"/>
        <v>-1.5707963250000001</v>
      </c>
      <c r="O152">
        <f t="shared" si="115"/>
        <v>17.170678949171496</v>
      </c>
      <c r="P152">
        <f t="shared" si="116"/>
        <v>1.5125245391283548</v>
      </c>
      <c r="Q152">
        <f t="shared" si="117"/>
        <v>15.169742542078472</v>
      </c>
      <c r="R152">
        <f t="shared" si="118"/>
        <v>1.50482779281643</v>
      </c>
      <c r="S152">
        <f t="shared" si="119"/>
        <v>0.90962255125543123</v>
      </c>
      <c r="T152">
        <f t="shared" si="120"/>
        <v>-0.42842173178138604</v>
      </c>
      <c r="U152">
        <f t="shared" si="121"/>
        <v>0.93787369018277877</v>
      </c>
      <c r="V152">
        <f t="shared" si="122"/>
        <v>-0.35434577576619264</v>
      </c>
      <c r="X152">
        <f t="shared" si="139"/>
        <v>-4.5344172367339377</v>
      </c>
      <c r="Y152">
        <f t="shared" si="123"/>
        <v>-114.20921044256021</v>
      </c>
      <c r="Z152">
        <f t="shared" si="140"/>
        <v>65.790789557439794</v>
      </c>
      <c r="AC152">
        <v>1</v>
      </c>
      <c r="AD152">
        <f t="shared" si="124"/>
        <v>17.141534808048</v>
      </c>
      <c r="AE152">
        <f t="shared" si="125"/>
        <v>-9.5317543979948482E-4</v>
      </c>
      <c r="AF152">
        <f t="shared" si="126"/>
        <v>2.576420132265E-3</v>
      </c>
      <c r="AG152">
        <f t="shared" si="141"/>
        <v>5725.9273679998369</v>
      </c>
      <c r="AH152">
        <f t="shared" si="142"/>
        <v>-2506.506317188228</v>
      </c>
      <c r="AJ152">
        <f t="shared" si="127"/>
        <v>18000</v>
      </c>
      <c r="AK152">
        <f t="shared" si="128"/>
        <v>8220.8191155551995</v>
      </c>
      <c r="AL152">
        <v>1</v>
      </c>
      <c r="AM152">
        <f t="shared" si="129"/>
        <v>15.1367463080064</v>
      </c>
      <c r="AN152">
        <f t="shared" si="143"/>
        <v>618.9630604621716</v>
      </c>
      <c r="AO152">
        <f t="shared" si="144"/>
        <v>-1148.267704687918</v>
      </c>
      <c r="AQ152">
        <f t="shared" si="130"/>
        <v>0.71813285457809695</v>
      </c>
      <c r="AR152">
        <f t="shared" si="131"/>
        <v>-84.739676840215438</v>
      </c>
      <c r="AT152">
        <f t="shared" si="156"/>
        <v>-208288.55875060041</v>
      </c>
      <c r="AU152">
        <f t="shared" si="157"/>
        <v>-487013.23931143194</v>
      </c>
      <c r="AV152">
        <f t="shared" si="145"/>
        <v>-1.9749395168246604</v>
      </c>
      <c r="AW152">
        <f t="shared" si="146"/>
        <v>-90315.571897953851</v>
      </c>
      <c r="AX152">
        <f t="shared" si="147"/>
        <v>-59356.725622588892</v>
      </c>
      <c r="AY152">
        <f t="shared" si="155"/>
        <v>-2.5601622641726856</v>
      </c>
      <c r="BA152">
        <f t="shared" si="132"/>
        <v>4.9011028838996493</v>
      </c>
      <c r="BB152">
        <f t="shared" si="148"/>
        <v>13.805876386269365</v>
      </c>
      <c r="BC152">
        <f t="shared" si="149"/>
        <v>0.58522274734802515</v>
      </c>
      <c r="BD152">
        <f t="shared" si="133"/>
        <v>-146.46920646359274</v>
      </c>
      <c r="BF152">
        <f t="shared" si="134"/>
        <v>-4.3381820631762462</v>
      </c>
      <c r="BG152">
        <f t="shared" si="135"/>
        <v>-118.71069645439327</v>
      </c>
      <c r="BH152">
        <f t="shared" si="150"/>
        <v>61.289303545606728</v>
      </c>
      <c r="BI152">
        <f t="shared" si="151"/>
        <v>61.289303545606728</v>
      </c>
      <c r="BJ152">
        <f t="shared" si="136"/>
        <v>0</v>
      </c>
      <c r="BK152">
        <f t="shared" si="152"/>
        <v>0</v>
      </c>
      <c r="BM152">
        <f t="shared" si="153"/>
        <v>-18.144058449445609</v>
      </c>
      <c r="BN152">
        <f t="shared" si="137"/>
        <v>-152.24148999080055</v>
      </c>
      <c r="BQ152" s="56">
        <f t="shared" si="154"/>
        <v>30.707837186554503</v>
      </c>
      <c r="BR152" s="59"/>
      <c r="BS152" s="59"/>
      <c r="BT152" s="59">
        <v>2630.268</v>
      </c>
      <c r="BU152" s="59">
        <v>7.13504</v>
      </c>
      <c r="BV152" s="59">
        <v>-251.40100000000001</v>
      </c>
      <c r="BW152" s="61"/>
      <c r="BY152" s="59"/>
      <c r="BZ152" s="59"/>
      <c r="CA152" s="59"/>
      <c r="CC152" s="59"/>
    </row>
    <row r="153" spans="1:81" x14ac:dyDescent="0.25">
      <c r="A153">
        <f t="shared" si="106"/>
        <v>59500</v>
      </c>
      <c r="B153">
        <f t="shared" si="138"/>
        <v>59.5</v>
      </c>
      <c r="C153">
        <f t="shared" si="107"/>
        <v>1.1151340125536222</v>
      </c>
      <c r="D153">
        <f t="shared" si="108"/>
        <v>0.45841912226959497</v>
      </c>
      <c r="F153">
        <f t="shared" si="109"/>
        <v>7.2897170533889281E-3</v>
      </c>
      <c r="G153">
        <f t="shared" si="110"/>
        <v>2.9148011981487351E-2</v>
      </c>
      <c r="H153">
        <f t="shared" si="111"/>
        <v>-3.1124446380185127</v>
      </c>
      <c r="J153">
        <f t="shared" si="112"/>
        <v>15</v>
      </c>
      <c r="M153">
        <f t="shared" si="113"/>
        <v>2.1381878466807242E-2</v>
      </c>
      <c r="N153">
        <f t="shared" si="114"/>
        <v>-1.5707963250000001</v>
      </c>
      <c r="O153">
        <f t="shared" si="115"/>
        <v>17.315701695033699</v>
      </c>
      <c r="P153">
        <f t="shared" si="116"/>
        <v>1.5130131241529094</v>
      </c>
      <c r="Q153">
        <f t="shared" si="117"/>
        <v>15.29774336944576</v>
      </c>
      <c r="R153">
        <f t="shared" si="118"/>
        <v>1.5053805634540534</v>
      </c>
      <c r="S153">
        <f t="shared" si="119"/>
        <v>0.90828943625063874</v>
      </c>
      <c r="T153">
        <f t="shared" si="120"/>
        <v>-0.43161949867663602</v>
      </c>
      <c r="U153">
        <f t="shared" si="121"/>
        <v>0.93691421693394483</v>
      </c>
      <c r="V153">
        <f t="shared" si="122"/>
        <v>-0.35710075851332401</v>
      </c>
      <c r="X153">
        <f t="shared" si="139"/>
        <v>-4.616671827241154</v>
      </c>
      <c r="Y153">
        <f t="shared" si="123"/>
        <v>-114.31358354487644</v>
      </c>
      <c r="Z153">
        <f t="shared" si="140"/>
        <v>65.686416455123563</v>
      </c>
      <c r="AC153">
        <v>1</v>
      </c>
      <c r="AD153">
        <f t="shared" si="124"/>
        <v>17.286802052184001</v>
      </c>
      <c r="AE153">
        <f t="shared" si="125"/>
        <v>-9.6939941130425912E-4</v>
      </c>
      <c r="AF153">
        <f t="shared" si="126"/>
        <v>2.5982542011825003E-3</v>
      </c>
      <c r="AG153">
        <f t="shared" si="141"/>
        <v>5714.2177657541361</v>
      </c>
      <c r="AH153">
        <f t="shared" si="142"/>
        <v>-2516.8281591578871</v>
      </c>
      <c r="AJ153">
        <f t="shared" si="127"/>
        <v>18000</v>
      </c>
      <c r="AK153">
        <f t="shared" si="128"/>
        <v>8290.4870741615996</v>
      </c>
      <c r="AL153">
        <v>1</v>
      </c>
      <c r="AM153">
        <f t="shared" si="129"/>
        <v>15.2650238190912</v>
      </c>
      <c r="AN153">
        <f t="shared" si="143"/>
        <v>617.69889106765697</v>
      </c>
      <c r="AO153">
        <f t="shared" si="144"/>
        <v>-1138.7012110124042</v>
      </c>
      <c r="AQ153">
        <f t="shared" si="130"/>
        <v>0.70611495551475778</v>
      </c>
      <c r="AR153">
        <f t="shared" si="131"/>
        <v>-84.02767970625618</v>
      </c>
      <c r="AT153">
        <f t="shared" si="156"/>
        <v>-207448.33580993817</v>
      </c>
      <c r="AU153">
        <f t="shared" si="157"/>
        <v>-481929.63019622938</v>
      </c>
      <c r="AV153">
        <f t="shared" si="145"/>
        <v>-1.9772771244025606</v>
      </c>
      <c r="AW153">
        <f t="shared" si="146"/>
        <v>-88716.134222900568</v>
      </c>
      <c r="AX153">
        <f t="shared" si="147"/>
        <v>-58770.62006581897</v>
      </c>
      <c r="AY153">
        <f t="shared" si="155"/>
        <v>-2.5565101316363954</v>
      </c>
      <c r="BA153">
        <f t="shared" si="132"/>
        <v>4.9304406994130261</v>
      </c>
      <c r="BB153">
        <f t="shared" si="148"/>
        <v>13.857714794345046</v>
      </c>
      <c r="BC153">
        <f t="shared" si="149"/>
        <v>0.57923300723383475</v>
      </c>
      <c r="BD153">
        <f t="shared" si="133"/>
        <v>-146.81239329290821</v>
      </c>
      <c r="BF153">
        <f t="shared" si="134"/>
        <v>-4.4197053424613877</v>
      </c>
      <c r="BG153">
        <f t="shared" si="135"/>
        <v>-118.87685423911176</v>
      </c>
      <c r="BH153">
        <f t="shared" si="150"/>
        <v>61.123145760888235</v>
      </c>
      <c r="BI153">
        <f t="shared" si="151"/>
        <v>61.123145760888235</v>
      </c>
      <c r="BJ153">
        <f t="shared" si="136"/>
        <v>0</v>
      </c>
      <c r="BK153">
        <f t="shared" si="152"/>
        <v>0</v>
      </c>
      <c r="BM153">
        <f t="shared" si="153"/>
        <v>-18.277420136806434</v>
      </c>
      <c r="BN153">
        <f t="shared" si="137"/>
        <v>-152.06446094620355</v>
      </c>
      <c r="BQ153" s="56">
        <f t="shared" si="154"/>
        <v>30.759675594630185</v>
      </c>
      <c r="BR153" s="59"/>
      <c r="BS153" s="59"/>
      <c r="BT153" s="59">
        <v>2691.5349999999999</v>
      </c>
      <c r="BU153" s="59">
        <v>6.8809300000000002</v>
      </c>
      <c r="BV153" s="59">
        <v>-251.244</v>
      </c>
      <c r="BW153" s="61"/>
      <c r="BY153" s="59"/>
      <c r="BZ153" s="59"/>
      <c r="CA153" s="59"/>
      <c r="CC153" s="59"/>
    </row>
    <row r="154" spans="1:81" x14ac:dyDescent="0.25">
      <c r="A154">
        <f t="shared" si="106"/>
        <v>60000</v>
      </c>
      <c r="B154">
        <f t="shared" si="138"/>
        <v>60</v>
      </c>
      <c r="C154">
        <f t="shared" si="107"/>
        <v>1.1169753358225376</v>
      </c>
      <c r="D154">
        <f t="shared" si="108"/>
        <v>0.46174843015861505</v>
      </c>
      <c r="F154">
        <f t="shared" si="109"/>
        <v>7.167906547622018E-3</v>
      </c>
      <c r="G154">
        <f t="shared" si="110"/>
        <v>2.8901730826036948E-2</v>
      </c>
      <c r="H154">
        <f t="shared" si="111"/>
        <v>-3.1126909191739633</v>
      </c>
      <c r="J154">
        <f t="shared" si="112"/>
        <v>15</v>
      </c>
      <c r="M154">
        <f t="shared" si="113"/>
        <v>2.120369614625052E-2</v>
      </c>
      <c r="N154">
        <f t="shared" si="114"/>
        <v>-1.5707963250000001</v>
      </c>
      <c r="O154">
        <f t="shared" si="115"/>
        <v>17.46072850575549</v>
      </c>
      <c r="P154">
        <f t="shared" si="116"/>
        <v>1.5134935930280906</v>
      </c>
      <c r="Q154">
        <f t="shared" si="117"/>
        <v>15.425748793546401</v>
      </c>
      <c r="R154">
        <f t="shared" si="118"/>
        <v>1.5059241602904689</v>
      </c>
      <c r="S154">
        <f t="shared" si="119"/>
        <v>0.90695098958353304</v>
      </c>
      <c r="T154">
        <f t="shared" si="120"/>
        <v>-0.43480787369780305</v>
      </c>
      <c r="U154">
        <f t="shared" si="121"/>
        <v>0.93594962282359173</v>
      </c>
      <c r="V154">
        <f t="shared" si="122"/>
        <v>-0.35985008934186125</v>
      </c>
      <c r="X154">
        <f t="shared" si="139"/>
        <v>-4.6983268801731404</v>
      </c>
      <c r="Y154">
        <f t="shared" si="123"/>
        <v>-114.41846996699637</v>
      </c>
      <c r="Z154">
        <f t="shared" si="140"/>
        <v>65.581530033003631</v>
      </c>
      <c r="AC154">
        <v>1</v>
      </c>
      <c r="AD154">
        <f t="shared" si="124"/>
        <v>17.432069296320002</v>
      </c>
      <c r="AE154">
        <f t="shared" si="125"/>
        <v>-9.8576029396097256E-4</v>
      </c>
      <c r="AF154">
        <f t="shared" si="126"/>
        <v>2.6200882700999997E-3</v>
      </c>
      <c r="AG154">
        <f t="shared" si="141"/>
        <v>5702.4577490285237</v>
      </c>
      <c r="AH154">
        <f t="shared" si="142"/>
        <v>-2527.1119689145712</v>
      </c>
      <c r="AJ154">
        <f t="shared" si="127"/>
        <v>18000</v>
      </c>
      <c r="AK154">
        <f t="shared" si="128"/>
        <v>8360.1550327679997</v>
      </c>
      <c r="AL154">
        <v>1</v>
      </c>
      <c r="AM154">
        <f t="shared" si="129"/>
        <v>15.393301330176001</v>
      </c>
      <c r="AN154">
        <f t="shared" si="143"/>
        <v>616.4660169432882</v>
      </c>
      <c r="AO154">
        <f t="shared" si="144"/>
        <v>-1129.2921258534186</v>
      </c>
      <c r="AQ154">
        <f t="shared" si="130"/>
        <v>0.69439622248454969</v>
      </c>
      <c r="AR154">
        <f t="shared" si="131"/>
        <v>-83.327546698145966</v>
      </c>
      <c r="AT154">
        <f t="shared" si="156"/>
        <v>-206618.27548136938</v>
      </c>
      <c r="AU154">
        <f t="shared" si="157"/>
        <v>-476926.63138138846</v>
      </c>
      <c r="AV154">
        <f t="shared" si="145"/>
        <v>-1.9796160094634279</v>
      </c>
      <c r="AW154">
        <f t="shared" si="146"/>
        <v>-87156.608566176859</v>
      </c>
      <c r="AX154">
        <f t="shared" si="147"/>
        <v>-58197.359076294015</v>
      </c>
      <c r="AY154">
        <f t="shared" si="155"/>
        <v>-2.5528520605948399</v>
      </c>
      <c r="BA154">
        <f t="shared" si="132"/>
        <v>4.9595012081264089</v>
      </c>
      <c r="BB154">
        <f t="shared" si="148"/>
        <v>13.908760007823533</v>
      </c>
      <c r="BC154">
        <f t="shared" si="149"/>
        <v>0.57323605113141207</v>
      </c>
      <c r="BD154">
        <f t="shared" si="133"/>
        <v>-147.15599356789488</v>
      </c>
      <c r="BF154">
        <f t="shared" si="134"/>
        <v>-4.5006964510995937</v>
      </c>
      <c r="BG154">
        <f t="shared" si="135"/>
        <v>-119.04381009393707</v>
      </c>
      <c r="BH154">
        <f t="shared" si="150"/>
        <v>60.956189906062932</v>
      </c>
      <c r="BI154">
        <f t="shared" si="151"/>
        <v>60.956189906062932</v>
      </c>
      <c r="BJ154">
        <f t="shared" si="136"/>
        <v>0</v>
      </c>
      <c r="BK154">
        <f t="shared" si="152"/>
        <v>0</v>
      </c>
      <c r="BM154">
        <f t="shared" si="153"/>
        <v>-18.409456458923128</v>
      </c>
      <c r="BN154">
        <f t="shared" si="137"/>
        <v>-151.8878165260422</v>
      </c>
      <c r="BQ154" s="56">
        <f t="shared" si="154"/>
        <v>30.81072080810867</v>
      </c>
      <c r="BR154" s="59"/>
      <c r="BS154" s="59"/>
      <c r="BT154" s="59">
        <v>2754.2289999999998</v>
      </c>
      <c r="BU154" s="59">
        <v>6.7009400000000001</v>
      </c>
      <c r="BV154" s="59">
        <v>-251.05099999999999</v>
      </c>
      <c r="BW154" s="61"/>
      <c r="BY154" s="59"/>
      <c r="BZ154" s="59"/>
      <c r="CA154" s="59"/>
      <c r="CC154" s="59"/>
    </row>
    <row r="155" spans="1:81" x14ac:dyDescent="0.25">
      <c r="A155">
        <f t="shared" si="106"/>
        <v>60500</v>
      </c>
      <c r="B155">
        <f t="shared" si="138"/>
        <v>60.5</v>
      </c>
      <c r="C155">
        <f t="shared" si="107"/>
        <v>1.1188289991393401</v>
      </c>
      <c r="D155">
        <f t="shared" si="108"/>
        <v>0.46506674280776694</v>
      </c>
      <c r="F155">
        <f t="shared" si="109"/>
        <v>7.0491305162158615E-3</v>
      </c>
      <c r="G155">
        <f t="shared" si="110"/>
        <v>2.8659603949238281E-2</v>
      </c>
      <c r="H155">
        <f t="shared" si="111"/>
        <v>-3.1129330460507618</v>
      </c>
      <c r="J155">
        <f t="shared" si="112"/>
        <v>15</v>
      </c>
      <c r="M155">
        <f t="shared" si="113"/>
        <v>2.1028458988017043E-2</v>
      </c>
      <c r="N155">
        <f t="shared" si="114"/>
        <v>-1.5707963250000001</v>
      </c>
      <c r="O155">
        <f t="shared" si="115"/>
        <v>17.60575928088447</v>
      </c>
      <c r="P155">
        <f t="shared" si="116"/>
        <v>1.5139661461042284</v>
      </c>
      <c r="Q155">
        <f t="shared" si="117"/>
        <v>15.55375870088883</v>
      </c>
      <c r="R155">
        <f t="shared" si="118"/>
        <v>1.5064588095059077</v>
      </c>
      <c r="S155">
        <f t="shared" si="119"/>
        <v>0.90560731624522983</v>
      </c>
      <c r="T155">
        <f t="shared" si="120"/>
        <v>-0.43798683362182433</v>
      </c>
      <c r="U155">
        <f t="shared" si="121"/>
        <v>0.93497996733074151</v>
      </c>
      <c r="V155">
        <f t="shared" si="122"/>
        <v>-0.36259374419139678</v>
      </c>
      <c r="X155">
        <f t="shared" si="139"/>
        <v>-4.7793936415655738</v>
      </c>
      <c r="Y155">
        <f t="shared" si="123"/>
        <v>-114.52384989514613</v>
      </c>
      <c r="Z155">
        <f t="shared" si="140"/>
        <v>65.476150104853872</v>
      </c>
      <c r="AC155">
        <v>1</v>
      </c>
      <c r="AD155">
        <f t="shared" si="124"/>
        <v>17.577336540456002</v>
      </c>
      <c r="AE155">
        <f t="shared" si="125"/>
        <v>-1.0022580877696249E-3</v>
      </c>
      <c r="AF155">
        <f t="shared" si="126"/>
        <v>2.6419223390174999E-3</v>
      </c>
      <c r="AG155">
        <f t="shared" si="141"/>
        <v>5690.6482347757865</v>
      </c>
      <c r="AH155">
        <f t="shared" si="142"/>
        <v>-2537.3562723455843</v>
      </c>
      <c r="AJ155">
        <f t="shared" si="127"/>
        <v>18000</v>
      </c>
      <c r="AK155">
        <f t="shared" si="128"/>
        <v>8429.8229913743999</v>
      </c>
      <c r="AL155">
        <v>1</v>
      </c>
      <c r="AM155">
        <f t="shared" si="129"/>
        <v>15.521578841260801</v>
      </c>
      <c r="AN155">
        <f t="shared" si="143"/>
        <v>615.26341498351007</v>
      </c>
      <c r="AO155">
        <f t="shared" si="144"/>
        <v>-1120.0366124355135</v>
      </c>
      <c r="AQ155">
        <f t="shared" si="130"/>
        <v>0.68296680781314023</v>
      </c>
      <c r="AR155">
        <f t="shared" si="131"/>
        <v>-82.638983745389979</v>
      </c>
      <c r="AT155">
        <f t="shared" si="156"/>
        <v>-205798.01988733775</v>
      </c>
      <c r="AU155">
        <f t="shared" si="157"/>
        <v>-472002.31708797696</v>
      </c>
      <c r="AV155">
        <f t="shared" si="145"/>
        <v>-1.9819559770173101</v>
      </c>
      <c r="AW155">
        <f t="shared" si="146"/>
        <v>-85635.692262580968</v>
      </c>
      <c r="AX155">
        <f t="shared" si="147"/>
        <v>-57636.52645924269</v>
      </c>
      <c r="AY155">
        <f t="shared" si="155"/>
        <v>-2.5491884602142383</v>
      </c>
      <c r="BA155">
        <f t="shared" si="132"/>
        <v>4.9882832181466634</v>
      </c>
      <c r="BB155">
        <f t="shared" si="148"/>
        <v>13.959022066083737</v>
      </c>
      <c r="BC155">
        <f t="shared" si="149"/>
        <v>0.56723248319692821</v>
      </c>
      <c r="BD155">
        <f t="shared" si="133"/>
        <v>-147.49997267295393</v>
      </c>
      <c r="BF155">
        <f t="shared" si="134"/>
        <v>-4.5811674306668095</v>
      </c>
      <c r="BG155">
        <f t="shared" si="135"/>
        <v>-119.21153673704065</v>
      </c>
      <c r="BH155">
        <f t="shared" si="150"/>
        <v>60.788463262959354</v>
      </c>
      <c r="BI155">
        <f t="shared" si="151"/>
        <v>60.788463262959354</v>
      </c>
      <c r="BJ155">
        <f t="shared" si="136"/>
        <v>0</v>
      </c>
      <c r="BK155">
        <f t="shared" si="152"/>
        <v>0</v>
      </c>
      <c r="BM155">
        <f t="shared" si="153"/>
        <v>-18.540189496750546</v>
      </c>
      <c r="BN155">
        <f t="shared" si="137"/>
        <v>-151.71156406408673</v>
      </c>
      <c r="BQ155" s="56">
        <f t="shared" si="154"/>
        <v>30.860982866368872</v>
      </c>
      <c r="BR155" s="59"/>
      <c r="BS155" s="59"/>
      <c r="BT155" s="59">
        <v>2818.3829999999998</v>
      </c>
      <c r="BU155" s="59">
        <v>6.5356199999999998</v>
      </c>
      <c r="BV155" s="59">
        <v>-250.48</v>
      </c>
      <c r="BW155" s="61"/>
      <c r="BY155" s="59"/>
      <c r="BZ155" s="59"/>
      <c r="CA155" s="59"/>
      <c r="CC155" s="59"/>
    </row>
    <row r="156" spans="1:81" x14ac:dyDescent="0.25">
      <c r="A156">
        <f t="shared" si="106"/>
        <v>61000</v>
      </c>
      <c r="B156">
        <f t="shared" si="138"/>
        <v>61</v>
      </c>
      <c r="C156">
        <f t="shared" si="107"/>
        <v>1.1206949412715945</v>
      </c>
      <c r="D156">
        <f t="shared" si="108"/>
        <v>0.46837404188093584</v>
      </c>
      <c r="F156">
        <f t="shared" si="109"/>
        <v>6.933288785537315E-3</v>
      </c>
      <c r="G156">
        <f t="shared" si="110"/>
        <v>2.8421526462889719E-2</v>
      </c>
      <c r="H156">
        <f t="shared" si="111"/>
        <v>-3.1131711235371107</v>
      </c>
      <c r="J156">
        <f t="shared" si="112"/>
        <v>15</v>
      </c>
      <c r="M156">
        <f t="shared" si="113"/>
        <v>2.0856094570082476E-2</v>
      </c>
      <c r="N156">
        <f t="shared" si="114"/>
        <v>-1.5707963250000001</v>
      </c>
      <c r="O156">
        <f t="shared" si="115"/>
        <v>17.750793923248466</v>
      </c>
      <c r="P156">
        <f t="shared" si="116"/>
        <v>1.5144309771981348</v>
      </c>
      <c r="Q156">
        <f t="shared" si="117"/>
        <v>15.681772981683288</v>
      </c>
      <c r="R156">
        <f t="shared" si="118"/>
        <v>1.5069847299159873</v>
      </c>
      <c r="S156">
        <f t="shared" si="119"/>
        <v>0.90425852072238877</v>
      </c>
      <c r="T156">
        <f t="shared" si="120"/>
        <v>-0.44115635612374776</v>
      </c>
      <c r="U156">
        <f t="shared" si="121"/>
        <v>0.9340053098965807</v>
      </c>
      <c r="V156">
        <f t="shared" si="122"/>
        <v>-0.36533169944257254</v>
      </c>
      <c r="X156">
        <f t="shared" si="139"/>
        <v>-4.8598830508990893</v>
      </c>
      <c r="Y156">
        <f t="shared" si="123"/>
        <v>-114.6297041150472</v>
      </c>
      <c r="Z156">
        <f t="shared" si="140"/>
        <v>65.370295884952796</v>
      </c>
      <c r="AC156">
        <v>1</v>
      </c>
      <c r="AD156">
        <f t="shared" si="124"/>
        <v>17.722603784592</v>
      </c>
      <c r="AE156">
        <f t="shared" si="125"/>
        <v>-1.0188927927302163E-3</v>
      </c>
      <c r="AF156">
        <f t="shared" si="126"/>
        <v>2.6637564079350002E-3</v>
      </c>
      <c r="AG156">
        <f t="shared" si="141"/>
        <v>5678.7901374935809</v>
      </c>
      <c r="AH156">
        <f t="shared" si="142"/>
        <v>-2547.559650088408</v>
      </c>
      <c r="AJ156">
        <f t="shared" si="127"/>
        <v>18000</v>
      </c>
      <c r="AK156">
        <f t="shared" si="128"/>
        <v>8499.4909499808</v>
      </c>
      <c r="AL156">
        <v>1</v>
      </c>
      <c r="AM156">
        <f t="shared" si="129"/>
        <v>15.649856352345601</v>
      </c>
      <c r="AN156">
        <f t="shared" si="143"/>
        <v>614.09010349627204</v>
      </c>
      <c r="AO156">
        <f t="shared" si="144"/>
        <v>-1110.930957132902</v>
      </c>
      <c r="AQ156">
        <f t="shared" si="130"/>
        <v>0.67181726570372857</v>
      </c>
      <c r="AR156">
        <f t="shared" si="131"/>
        <v>-81.961706415854891</v>
      </c>
      <c r="AT156">
        <f t="shared" si="156"/>
        <v>-204987.22685474789</v>
      </c>
      <c r="AU156">
        <f t="shared" si="157"/>
        <v>-467154.82460484066</v>
      </c>
      <c r="AV156">
        <f t="shared" si="145"/>
        <v>-1.9842968380843182</v>
      </c>
      <c r="AW156">
        <f t="shared" si="146"/>
        <v>-84152.135273663429</v>
      </c>
      <c r="AX156">
        <f t="shared" si="147"/>
        <v>-57087.723495284547</v>
      </c>
      <c r="AY156">
        <f t="shared" si="155"/>
        <v>-2.5455197318802729</v>
      </c>
      <c r="BA156">
        <f t="shared" si="132"/>
        <v>5.0167855864170212</v>
      </c>
      <c r="BB156">
        <f t="shared" si="148"/>
        <v>14.008510800200977</v>
      </c>
      <c r="BC156">
        <f t="shared" si="149"/>
        <v>0.56122289379595469</v>
      </c>
      <c r="BD156">
        <f t="shared" si="133"/>
        <v>-147.84429678262973</v>
      </c>
      <c r="BF156">
        <f t="shared" si="134"/>
        <v>-4.6611299909182797</v>
      </c>
      <c r="BG156">
        <f t="shared" si="135"/>
        <v>-119.38000740320028</v>
      </c>
      <c r="BH156">
        <f t="shared" si="150"/>
        <v>60.619992596799719</v>
      </c>
      <c r="BI156">
        <f t="shared" si="151"/>
        <v>60.619992596799719</v>
      </c>
      <c r="BJ156">
        <f t="shared" si="136"/>
        <v>0</v>
      </c>
      <c r="BK156">
        <f t="shared" si="152"/>
        <v>0</v>
      </c>
      <c r="BM156">
        <f t="shared" si="153"/>
        <v>-18.669640791119257</v>
      </c>
      <c r="BN156">
        <f t="shared" si="137"/>
        <v>-151.53571062057057</v>
      </c>
      <c r="BQ156" s="56">
        <f t="shared" si="154"/>
        <v>30.910471600486112</v>
      </c>
      <c r="BR156" s="59"/>
      <c r="BS156" s="59"/>
      <c r="BT156" s="59">
        <v>2884.0320000000002</v>
      </c>
      <c r="BU156" s="59">
        <v>6.3265200000000004</v>
      </c>
      <c r="BV156" s="59">
        <v>-250.202</v>
      </c>
      <c r="BW156" s="61"/>
      <c r="BY156" s="59"/>
      <c r="BZ156" s="59"/>
      <c r="CA156" s="59"/>
      <c r="CC156" s="59"/>
    </row>
    <row r="157" spans="1:81" x14ac:dyDescent="0.25">
      <c r="A157">
        <f t="shared" si="106"/>
        <v>61500</v>
      </c>
      <c r="B157">
        <f t="shared" si="138"/>
        <v>61.5</v>
      </c>
      <c r="C157">
        <f t="shared" si="107"/>
        <v>1.1225731009897246</v>
      </c>
      <c r="D157">
        <f t="shared" si="108"/>
        <v>0.47167031012725513</v>
      </c>
      <c r="F157">
        <f t="shared" si="109"/>
        <v>6.8202852902616131E-3</v>
      </c>
      <c r="G157">
        <f t="shared" si="110"/>
        <v>2.8187397000966483E-2</v>
      </c>
      <c r="H157">
        <f t="shared" si="111"/>
        <v>-3.1134052529990339</v>
      </c>
      <c r="J157">
        <f t="shared" si="112"/>
        <v>15</v>
      </c>
      <c r="M157">
        <f t="shared" si="113"/>
        <v>2.0686532825610261E-2</v>
      </c>
      <c r="N157">
        <f t="shared" si="114"/>
        <v>-1.5707963250000001</v>
      </c>
      <c r="O157">
        <f t="shared" si="115"/>
        <v>17.895832338822842</v>
      </c>
      <c r="P157">
        <f t="shared" si="116"/>
        <v>1.5148882738569973</v>
      </c>
      <c r="Q157">
        <f t="shared" si="117"/>
        <v>15.80979152969226</v>
      </c>
      <c r="R157">
        <f t="shared" si="118"/>
        <v>1.5075021332686356</v>
      </c>
      <c r="S157">
        <f t="shared" si="119"/>
        <v>0.9029047069834677</v>
      </c>
      <c r="T157">
        <f t="shared" si="120"/>
        <v>-0.44431641976941921</v>
      </c>
      <c r="U157">
        <f t="shared" si="121"/>
        <v>0.933025709916669</v>
      </c>
      <c r="V157">
        <f t="shared" si="122"/>
        <v>-0.36806393191586606</v>
      </c>
      <c r="X157">
        <f t="shared" si="139"/>
        <v>-4.9398057519313499</v>
      </c>
      <c r="Y157">
        <f t="shared" si="123"/>
        <v>-114.73601398884658</v>
      </c>
      <c r="Z157">
        <f t="shared" si="140"/>
        <v>65.26398601115342</v>
      </c>
      <c r="AC157">
        <v>1</v>
      </c>
      <c r="AD157">
        <f t="shared" si="124"/>
        <v>17.867871028728</v>
      </c>
      <c r="AE157">
        <f t="shared" si="125"/>
        <v>-1.0356644088427469E-3</v>
      </c>
      <c r="AF157">
        <f t="shared" si="126"/>
        <v>2.6855904768524996E-3</v>
      </c>
      <c r="AG157">
        <f t="shared" si="141"/>
        <v>5666.884369093239</v>
      </c>
      <c r="AH157">
        <f t="shared" si="142"/>
        <v>-2557.7207356452868</v>
      </c>
      <c r="AJ157">
        <f t="shared" si="127"/>
        <v>18000</v>
      </c>
      <c r="AK157">
        <f t="shared" si="128"/>
        <v>8569.1589085872001</v>
      </c>
      <c r="AL157">
        <v>1</v>
      </c>
      <c r="AM157">
        <f t="shared" si="129"/>
        <v>15.778133863430401</v>
      </c>
      <c r="AN157">
        <f t="shared" si="143"/>
        <v>612.94514021027749</v>
      </c>
      <c r="AO157">
        <f t="shared" si="144"/>
        <v>-1101.9715645896745</v>
      </c>
      <c r="AQ157">
        <f t="shared" si="130"/>
        <v>0.66093853271645742</v>
      </c>
      <c r="AR157">
        <f t="shared" si="131"/>
        <v>-81.295439524124262</v>
      </c>
      <c r="AT157">
        <f t="shared" si="156"/>
        <v>-204185.56914426771</v>
      </c>
      <c r="AU157">
        <f t="shared" si="157"/>
        <v>-462382.35170794034</v>
      </c>
      <c r="AV157">
        <f t="shared" si="145"/>
        <v>-1.9866384094687179</v>
      </c>
      <c r="AW157">
        <f t="shared" si="146"/>
        <v>-82704.737659431819</v>
      </c>
      <c r="AX157">
        <f t="shared" si="147"/>
        <v>-56550.568047966939</v>
      </c>
      <c r="AY157">
        <f t="shared" si="155"/>
        <v>-2.5418462694696888</v>
      </c>
      <c r="BA157">
        <f t="shared" si="132"/>
        <v>5.0450072190086654</v>
      </c>
      <c r="BB157">
        <f t="shared" si="148"/>
        <v>14.057235840292622</v>
      </c>
      <c r="BC157">
        <f t="shared" si="149"/>
        <v>0.55520786000097089</v>
      </c>
      <c r="BD157">
        <f t="shared" si="133"/>
        <v>-148.18893283310464</v>
      </c>
      <c r="BF157">
        <f t="shared" si="134"/>
        <v>-4.7405955204476218</v>
      </c>
      <c r="BG157">
        <f t="shared" si="135"/>
        <v>-119.54919582484554</v>
      </c>
      <c r="BH157">
        <f t="shared" si="150"/>
        <v>60.45080417515446</v>
      </c>
      <c r="BI157">
        <f t="shared" si="151"/>
        <v>60.45080417515446</v>
      </c>
      <c r="BJ157">
        <f t="shared" si="136"/>
        <v>0</v>
      </c>
      <c r="BK157">
        <f t="shared" si="152"/>
        <v>0</v>
      </c>
      <c r="BM157">
        <f t="shared" si="153"/>
        <v>-18.79783136074024</v>
      </c>
      <c r="BN157">
        <f t="shared" si="137"/>
        <v>-151.36026299174088</v>
      </c>
      <c r="BQ157" s="56">
        <f t="shared" si="154"/>
        <v>30.959196640577758</v>
      </c>
      <c r="BR157" s="59"/>
      <c r="BS157" s="59"/>
      <c r="BT157" s="59">
        <v>2951.2089999999998</v>
      </c>
      <c r="BU157" s="59">
        <v>6.1830800000000004</v>
      </c>
      <c r="BV157" s="59">
        <v>-249.92599999999999</v>
      </c>
      <c r="BW157" s="61"/>
      <c r="BY157" s="59"/>
      <c r="BZ157" s="59"/>
      <c r="CA157" s="59"/>
      <c r="CC157" s="59"/>
    </row>
    <row r="158" spans="1:81" x14ac:dyDescent="0.25">
      <c r="A158">
        <f t="shared" si="106"/>
        <v>62000</v>
      </c>
      <c r="B158">
        <f t="shared" si="138"/>
        <v>62</v>
      </c>
      <c r="C158">
        <f t="shared" si="107"/>
        <v>1.1244634170736585</v>
      </c>
      <c r="D158">
        <f t="shared" si="108"/>
        <v>0.47495553136955582</v>
      </c>
      <c r="F158">
        <f t="shared" si="109"/>
        <v>6.7100278724265185E-3</v>
      </c>
      <c r="G158">
        <f t="shared" si="110"/>
        <v>2.7957117572204888E-2</v>
      </c>
      <c r="H158">
        <f t="shared" si="111"/>
        <v>-3.1136355324277951</v>
      </c>
      <c r="J158">
        <f t="shared" si="112"/>
        <v>15</v>
      </c>
      <c r="M158">
        <f t="shared" si="113"/>
        <v>2.0519705947984374E-2</v>
      </c>
      <c r="N158">
        <f t="shared" si="114"/>
        <v>-1.5707963250000001</v>
      </c>
      <c r="O158">
        <f t="shared" si="115"/>
        <v>18.040874436604167</v>
      </c>
      <c r="P158">
        <f t="shared" si="116"/>
        <v>1.5153382176095997</v>
      </c>
      <c r="Q158">
        <f t="shared" si="117"/>
        <v>15.937814242088109</v>
      </c>
      <c r="R158">
        <f t="shared" si="118"/>
        <v>1.5080112245267852</v>
      </c>
      <c r="S158">
        <f t="shared" si="119"/>
        <v>0.90154597846535722</v>
      </c>
      <c r="T158">
        <f t="shared" si="120"/>
        <v>-0.44746700400806055</v>
      </c>
      <c r="U158">
        <f t="shared" si="121"/>
        <v>0.9320412267332463</v>
      </c>
      <c r="V158">
        <f t="shared" si="122"/>
        <v>-0.37079041887031339</v>
      </c>
      <c r="X158">
        <f t="shared" si="139"/>
        <v>-5.0191721030508667</v>
      </c>
      <c r="Y158">
        <f t="shared" si="123"/>
        <v>-114.84276143313524</v>
      </c>
      <c r="Z158">
        <f t="shared" si="140"/>
        <v>65.157238566864763</v>
      </c>
      <c r="AC158">
        <v>1</v>
      </c>
      <c r="AD158">
        <f t="shared" si="124"/>
        <v>18.013138272863998</v>
      </c>
      <c r="AE158">
        <f t="shared" si="125"/>
        <v>-1.0525729361072166E-3</v>
      </c>
      <c r="AF158">
        <f t="shared" si="126"/>
        <v>2.7074245457699999E-3</v>
      </c>
      <c r="AG158">
        <f t="shared" si="141"/>
        <v>5654.9318387708472</v>
      </c>
      <c r="AH158">
        <f t="shared" si="142"/>
        <v>-2567.8382135831516</v>
      </c>
      <c r="AJ158">
        <f t="shared" si="127"/>
        <v>18000</v>
      </c>
      <c r="AK158">
        <f t="shared" si="128"/>
        <v>8638.8268671936003</v>
      </c>
      <c r="AL158">
        <v>1</v>
      </c>
      <c r="AM158">
        <f t="shared" si="129"/>
        <v>15.906411374515201</v>
      </c>
      <c r="AN158">
        <f t="shared" si="143"/>
        <v>611.82762039306135</v>
      </c>
      <c r="AO158">
        <f t="shared" si="144"/>
        <v>-1093.1549530691611</v>
      </c>
      <c r="AQ158">
        <f t="shared" si="130"/>
        <v>0.65032190934512579</v>
      </c>
      <c r="AR158">
        <f t="shared" si="131"/>
        <v>-80.639916758795607</v>
      </c>
      <c r="AT158">
        <f t="shared" si="156"/>
        <v>-203392.73372279378</v>
      </c>
      <c r="AU158">
        <f t="shared" si="157"/>
        <v>-457683.15420509089</v>
      </c>
      <c r="AV158">
        <f t="shared" si="145"/>
        <v>-1.9889805135437399</v>
      </c>
      <c r="AW158">
        <f t="shared" si="146"/>
        <v>-81292.347190435918</v>
      </c>
      <c r="AX158">
        <f t="shared" si="147"/>
        <v>-56024.693724541961</v>
      </c>
      <c r="AY158">
        <f t="shared" si="155"/>
        <v>-2.5381684596056937</v>
      </c>
      <c r="BA158">
        <f t="shared" si="132"/>
        <v>5.0729470713927007</v>
      </c>
      <c r="BB158">
        <f t="shared" si="148"/>
        <v>14.105206622567284</v>
      </c>
      <c r="BC158">
        <f t="shared" si="149"/>
        <v>0.54918794606195376</v>
      </c>
      <c r="BD158">
        <f t="shared" si="133"/>
        <v>-148.53384849523644</v>
      </c>
      <c r="BF158">
        <f t="shared" si="134"/>
        <v>-4.8195750968841375</v>
      </c>
      <c r="BG158">
        <f t="shared" si="135"/>
        <v>-119.71907621420344</v>
      </c>
      <c r="BH158">
        <f t="shared" si="150"/>
        <v>60.28092378579656</v>
      </c>
      <c r="BI158">
        <f t="shared" si="151"/>
        <v>60.28092378579656</v>
      </c>
      <c r="BJ158">
        <f t="shared" si="136"/>
        <v>0</v>
      </c>
      <c r="BK158">
        <f t="shared" si="152"/>
        <v>0</v>
      </c>
      <c r="BM158">
        <f t="shared" si="153"/>
        <v>-18.924781719451421</v>
      </c>
      <c r="BN158">
        <f t="shared" si="137"/>
        <v>-151.18522771896701</v>
      </c>
      <c r="BQ158" s="56">
        <f t="shared" si="154"/>
        <v>31.007167422852419</v>
      </c>
      <c r="BR158" s="59"/>
      <c r="BS158" s="59"/>
      <c r="BT158" s="59">
        <v>3019.9520000000002</v>
      </c>
      <c r="BU158" s="59">
        <v>6.0130600000000003</v>
      </c>
      <c r="BV158" s="59">
        <v>-249.65100000000001</v>
      </c>
      <c r="BW158" s="61"/>
      <c r="BY158" s="59"/>
      <c r="BZ158" s="59"/>
      <c r="CA158" s="59"/>
      <c r="CC158" s="59"/>
    </row>
    <row r="159" spans="1:81" x14ac:dyDescent="0.25">
      <c r="A159">
        <f t="shared" si="106"/>
        <v>62500</v>
      </c>
      <c r="B159">
        <f t="shared" si="138"/>
        <v>62.5</v>
      </c>
      <c r="C159">
        <f t="shared" si="107"/>
        <v>1.1263658283193738</v>
      </c>
      <c r="D159">
        <f t="shared" si="108"/>
        <v>0.47822969049271558</v>
      </c>
      <c r="F159">
        <f t="shared" si="109"/>
        <v>6.6024280918827024E-3</v>
      </c>
      <c r="G159">
        <f t="shared" si="110"/>
        <v>2.7730593420065713E-2</v>
      </c>
      <c r="H159">
        <f t="shared" si="111"/>
        <v>-3.1138620565799346</v>
      </c>
      <c r="J159">
        <f t="shared" si="112"/>
        <v>15</v>
      </c>
      <c r="M159">
        <f t="shared" si="113"/>
        <v>2.0355548300400497E-2</v>
      </c>
      <c r="N159">
        <f t="shared" si="114"/>
        <v>-1.5707963250000001</v>
      </c>
      <c r="O159">
        <f t="shared" si="115"/>
        <v>18.185920128489951</v>
      </c>
      <c r="P159">
        <f t="shared" si="116"/>
        <v>1.5157809842055698</v>
      </c>
      <c r="Q159">
        <f t="shared" si="117"/>
        <v>16.065841019317482</v>
      </c>
      <c r="R159">
        <f t="shared" si="118"/>
        <v>1.5085122021376216</v>
      </c>
      <c r="S159">
        <f t="shared" si="119"/>
        <v>0.90018243806039522</v>
      </c>
      <c r="T159">
        <f t="shared" si="120"/>
        <v>-0.45060808916474338</v>
      </c>
      <c r="U159">
        <f t="shared" si="121"/>
        <v>0.931051919627639</v>
      </c>
      <c r="V159">
        <f t="shared" si="122"/>
        <v>-0.37351113800217089</v>
      </c>
      <c r="X159">
        <f t="shared" si="139"/>
        <v>-5.0979921871778311</v>
      </c>
      <c r="Y159">
        <f t="shared" si="123"/>
        <v>-114.94992889799684</v>
      </c>
      <c r="Z159">
        <f t="shared" si="140"/>
        <v>65.050071102003159</v>
      </c>
      <c r="AC159">
        <v>1</v>
      </c>
      <c r="AD159">
        <f t="shared" si="124"/>
        <v>18.158405516999998</v>
      </c>
      <c r="AE159">
        <f t="shared" si="125"/>
        <v>-1.069618374523625E-3</v>
      </c>
      <c r="AF159">
        <f t="shared" si="126"/>
        <v>2.7292586146875002E-3</v>
      </c>
      <c r="AG159">
        <f t="shared" si="141"/>
        <v>5642.9334528806603</v>
      </c>
      <c r="AH159">
        <f t="shared" si="142"/>
        <v>-2577.9108178140882</v>
      </c>
      <c r="AJ159">
        <f t="shared" si="127"/>
        <v>18000</v>
      </c>
      <c r="AK159">
        <f t="shared" si="128"/>
        <v>8708.4948257999986</v>
      </c>
      <c r="AL159">
        <v>1</v>
      </c>
      <c r="AM159">
        <f t="shared" si="129"/>
        <v>16.034688885600001</v>
      </c>
      <c r="AN159">
        <f t="shared" si="143"/>
        <v>610.73667507292032</v>
      </c>
      <c r="AO159">
        <f t="shared" si="144"/>
        <v>-1084.4777500200555</v>
      </c>
      <c r="AQ159">
        <f t="shared" si="130"/>
        <v>0.63995904262127223</v>
      </c>
      <c r="AR159">
        <f t="shared" si="131"/>
        <v>-79.994880327659033</v>
      </c>
      <c r="AT159">
        <f t="shared" si="156"/>
        <v>-202608.42107633455</v>
      </c>
      <c r="AU159">
        <f t="shared" si="157"/>
        <v>-453055.54359906353</v>
      </c>
      <c r="AV159">
        <f t="shared" si="145"/>
        <v>-1.9913229780465076</v>
      </c>
      <c r="AW159">
        <f t="shared" si="146"/>
        <v>-79913.857091409707</v>
      </c>
      <c r="AX159">
        <f t="shared" si="147"/>
        <v>-55509.749086373682</v>
      </c>
      <c r="AY159">
        <f t="shared" si="155"/>
        <v>-2.5344866818981133</v>
      </c>
      <c r="BA159">
        <f t="shared" si="132"/>
        <v>5.1006041486918745</v>
      </c>
      <c r="BB159">
        <f t="shared" si="148"/>
        <v>14.152432396090543</v>
      </c>
      <c r="BC159">
        <f t="shared" si="149"/>
        <v>0.54316370385160573</v>
      </c>
      <c r="BD159">
        <f t="shared" si="133"/>
        <v>-148.87901214904835</v>
      </c>
      <c r="BF159">
        <f t="shared" si="134"/>
        <v>-4.8980794966536987</v>
      </c>
      <c r="BG159">
        <f t="shared" si="135"/>
        <v>-119.88962324647989</v>
      </c>
      <c r="BH159">
        <f t="shared" si="150"/>
        <v>60.110376753520114</v>
      </c>
      <c r="BI159">
        <f t="shared" si="151"/>
        <v>60.110376753520114</v>
      </c>
      <c r="BJ159">
        <f t="shared" si="136"/>
        <v>0</v>
      </c>
      <c r="BK159">
        <f t="shared" si="152"/>
        <v>0</v>
      </c>
      <c r="BM159">
        <f t="shared" si="153"/>
        <v>-19.050511892744243</v>
      </c>
      <c r="BN159">
        <f t="shared" si="137"/>
        <v>-151.01061109743154</v>
      </c>
      <c r="BQ159" s="56">
        <f t="shared" si="154"/>
        <v>31.054393196375681</v>
      </c>
      <c r="BR159" s="59"/>
      <c r="BS159" s="59"/>
      <c r="BT159" s="59">
        <v>3090.2950000000001</v>
      </c>
      <c r="BU159" s="59">
        <v>5.8544900000000002</v>
      </c>
      <c r="BV159" s="59">
        <v>-248.41800000000001</v>
      </c>
      <c r="BW159" s="61"/>
      <c r="BY159" s="59"/>
      <c r="BZ159" s="59"/>
      <c r="CA159" s="59"/>
      <c r="CC159" s="59"/>
    </row>
    <row r="160" spans="1:81" x14ac:dyDescent="0.25">
      <c r="A160">
        <f t="shared" si="106"/>
        <v>63000</v>
      </c>
      <c r="B160">
        <f t="shared" si="138"/>
        <v>63</v>
      </c>
      <c r="C160">
        <f t="shared" si="107"/>
        <v>1.1282802735453401</v>
      </c>
      <c r="D160">
        <f t="shared" si="108"/>
        <v>0.48149277343191482</v>
      </c>
      <c r="F160">
        <f t="shared" si="109"/>
        <v>6.4974010474062706E-3</v>
      </c>
      <c r="G160">
        <f t="shared" si="110"/>
        <v>2.750773288964763E-2</v>
      </c>
      <c r="H160">
        <f t="shared" si="111"/>
        <v>-3.1140849171103526</v>
      </c>
      <c r="J160">
        <f t="shared" si="112"/>
        <v>15</v>
      </c>
      <c r="M160">
        <f t="shared" si="113"/>
        <v>2.0193996329762397E-2</v>
      </c>
      <c r="N160">
        <f t="shared" si="114"/>
        <v>-1.5707963250000001</v>
      </c>
      <c r="O160">
        <f t="shared" si="115"/>
        <v>18.330969329164017</v>
      </c>
      <c r="P160">
        <f t="shared" si="116"/>
        <v>1.5162167438433165</v>
      </c>
      <c r="Q160">
        <f t="shared" si="117"/>
        <v>16.193871764972144</v>
      </c>
      <c r="R160">
        <f t="shared" si="118"/>
        <v>1.5090052582891313</v>
      </c>
      <c r="S160">
        <f t="shared" si="119"/>
        <v>0.89881418810375968</v>
      </c>
      <c r="T160">
        <f t="shared" si="120"/>
        <v>-0.45373965643276226</v>
      </c>
      <c r="U160">
        <f t="shared" si="121"/>
        <v>0.93005784781276735</v>
      </c>
      <c r="V160">
        <f t="shared" si="122"/>
        <v>-0.37622606744351655</v>
      </c>
      <c r="X160">
        <f t="shared" si="139"/>
        <v>-5.1762758212358619</v>
      </c>
      <c r="Y160">
        <f t="shared" si="123"/>
        <v>-115.05749934702969</v>
      </c>
      <c r="Z160">
        <f t="shared" si="140"/>
        <v>64.94250065297031</v>
      </c>
      <c r="AC160">
        <v>1</v>
      </c>
      <c r="AD160">
        <f t="shared" si="124"/>
        <v>18.303672761135999</v>
      </c>
      <c r="AE160">
        <f t="shared" si="125"/>
        <v>-1.0868007240919723E-3</v>
      </c>
      <c r="AF160">
        <f t="shared" si="126"/>
        <v>2.751092683605E-3</v>
      </c>
      <c r="AG160">
        <f t="shared" si="141"/>
        <v>5630.8901148108025</v>
      </c>
      <c r="AH160">
        <f t="shared" si="142"/>
        <v>-2587.9373299518197</v>
      </c>
      <c r="AJ160">
        <f t="shared" si="127"/>
        <v>18000</v>
      </c>
      <c r="AK160">
        <f t="shared" si="128"/>
        <v>8778.1627844064005</v>
      </c>
      <c r="AL160">
        <v>1</v>
      </c>
      <c r="AM160">
        <f t="shared" si="129"/>
        <v>16.162966396684801</v>
      </c>
      <c r="AN160">
        <f t="shared" si="143"/>
        <v>609.67146935820062</v>
      </c>
      <c r="AO160">
        <f t="shared" si="144"/>
        <v>-1075.936687847643</v>
      </c>
      <c r="AQ160">
        <f t="shared" si="130"/>
        <v>0.62984190968067011</v>
      </c>
      <c r="AR160">
        <f t="shared" si="131"/>
        <v>-79.360080619764446</v>
      </c>
      <c r="AT160">
        <f t="shared" si="156"/>
        <v>-201832.34456075993</v>
      </c>
      <c r="AU160">
        <f t="shared" si="157"/>
        <v>-448497.88486245077</v>
      </c>
      <c r="AV160">
        <f t="shared" si="145"/>
        <v>-1.9936656358825271</v>
      </c>
      <c r="AW160">
        <f t="shared" si="146"/>
        <v>-78568.203908264288</v>
      </c>
      <c r="AX160">
        <f t="shared" si="147"/>
        <v>-55005.396905638307</v>
      </c>
      <c r="AY160">
        <f t="shared" si="155"/>
        <v>-2.5308013091691843</v>
      </c>
      <c r="BA160">
        <f t="shared" si="132"/>
        <v>5.1279775059114039</v>
      </c>
      <c r="BB160">
        <f t="shared" si="148"/>
        <v>14.198922229279265</v>
      </c>
      <c r="BC160">
        <f t="shared" si="149"/>
        <v>0.53713567328665723</v>
      </c>
      <c r="BD160">
        <f t="shared" si="133"/>
        <v>-149.22439285959041</v>
      </c>
      <c r="BF160">
        <f t="shared" si="134"/>
        <v>-4.9761192043269933</v>
      </c>
      <c r="BG160">
        <f t="shared" si="135"/>
        <v>-120.06081204401865</v>
      </c>
      <c r="BH160">
        <f t="shared" si="150"/>
        <v>59.939187955981353</v>
      </c>
      <c r="BI160">
        <f t="shared" si="151"/>
        <v>59.939187955981353</v>
      </c>
      <c r="BJ160">
        <f t="shared" si="136"/>
        <v>0</v>
      </c>
      <c r="BK160">
        <f t="shared" si="152"/>
        <v>0</v>
      </c>
      <c r="BM160">
        <f t="shared" si="153"/>
        <v>-19.17504143360626</v>
      </c>
      <c r="BN160">
        <f t="shared" si="137"/>
        <v>-150.83641918442825</v>
      </c>
      <c r="BQ160" s="56">
        <f t="shared" si="154"/>
        <v>31.1008830295644</v>
      </c>
      <c r="BR160" s="59"/>
      <c r="BS160" s="59"/>
      <c r="BT160" s="59">
        <v>3162.2779999999998</v>
      </c>
      <c r="BU160" s="59">
        <v>5.6099300000000003</v>
      </c>
      <c r="BV160" s="59">
        <v>-248.626</v>
      </c>
      <c r="BW160" s="61"/>
      <c r="BY160" s="59"/>
      <c r="BZ160" s="59"/>
      <c r="CA160" s="59"/>
      <c r="CC160" s="59"/>
    </row>
    <row r="161" spans="1:81" x14ac:dyDescent="0.25">
      <c r="A161">
        <f t="shared" si="106"/>
        <v>63500</v>
      </c>
      <c r="B161">
        <f t="shared" si="138"/>
        <v>63.5</v>
      </c>
      <c r="C161">
        <f t="shared" si="107"/>
        <v>1.1302066915988618</v>
      </c>
      <c r="D161">
        <f t="shared" si="108"/>
        <v>0.48474476716080533</v>
      </c>
      <c r="F161">
        <f t="shared" si="109"/>
        <v>6.3948652077922032E-3</v>
      </c>
      <c r="G161">
        <f t="shared" si="110"/>
        <v>2.7288447301149495E-2</v>
      </c>
      <c r="H161">
        <f t="shared" si="111"/>
        <v>-3.1143042026988508</v>
      </c>
      <c r="J161">
        <f t="shared" si="112"/>
        <v>15</v>
      </c>
      <c r="M161">
        <f t="shared" si="113"/>
        <v>2.0034988484646157E-2</v>
      </c>
      <c r="N161">
        <f t="shared" si="114"/>
        <v>-1.5707963250000001</v>
      </c>
      <c r="O161">
        <f t="shared" si="115"/>
        <v>18.476021955987321</v>
      </c>
      <c r="P161">
        <f t="shared" si="116"/>
        <v>1.5166456613872741</v>
      </c>
      <c r="Q161">
        <f t="shared" si="117"/>
        <v>16.321906385665866</v>
      </c>
      <c r="R161">
        <f t="shared" si="118"/>
        <v>1.5094905791546349</v>
      </c>
      <c r="S161">
        <f t="shared" si="119"/>
        <v>0.8974413303612353</v>
      </c>
      <c r="T161">
        <f t="shared" si="120"/>
        <v>-0.45686168786591241</v>
      </c>
      <c r="U161">
        <f t="shared" si="121"/>
        <v>0.92905907042575164</v>
      </c>
      <c r="V161">
        <f t="shared" si="122"/>
        <v>-0.37893518576079188</v>
      </c>
      <c r="X161">
        <f t="shared" si="139"/>
        <v>-5.2540325652169217</v>
      </c>
      <c r="Y161">
        <f t="shared" si="123"/>
        <v>-115.16545623829091</v>
      </c>
      <c r="Z161">
        <f t="shared" si="140"/>
        <v>64.834543761709085</v>
      </c>
      <c r="AC161">
        <v>1</v>
      </c>
      <c r="AD161">
        <f t="shared" si="124"/>
        <v>18.448940005272</v>
      </c>
      <c r="AE161">
        <f t="shared" si="125"/>
        <v>-1.1041199848122586E-3</v>
      </c>
      <c r="AF161">
        <f t="shared" si="126"/>
        <v>2.7729267525224998E-3</v>
      </c>
      <c r="AG161">
        <f t="shared" si="141"/>
        <v>5618.8027248612934</v>
      </c>
      <c r="AH161">
        <f t="shared" si="142"/>
        <v>-2597.9165777399949</v>
      </c>
      <c r="AJ161">
        <f t="shared" si="127"/>
        <v>18000</v>
      </c>
      <c r="AK161">
        <f t="shared" si="128"/>
        <v>8847.8307430128007</v>
      </c>
      <c r="AL161">
        <v>1</v>
      </c>
      <c r="AM161">
        <f t="shared" si="129"/>
        <v>16.291243907769601</v>
      </c>
      <c r="AN161">
        <f t="shared" si="143"/>
        <v>608.63120084791024</v>
      </c>
      <c r="AO161">
        <f t="shared" si="144"/>
        <v>-1067.528599879216</v>
      </c>
      <c r="AQ161">
        <f t="shared" si="130"/>
        <v>0.61996280223186606</v>
      </c>
      <c r="AR161">
        <f t="shared" si="131"/>
        <v>-78.735275883446988</v>
      </c>
      <c r="AT161">
        <f t="shared" si="156"/>
        <v>-201064.22978804589</v>
      </c>
      <c r="AU161">
        <f t="shared" si="157"/>
        <v>-444008.59431811795</v>
      </c>
      <c r="AV161">
        <f t="shared" si="145"/>
        <v>-1.9960083249392102</v>
      </c>
      <c r="AW161">
        <f t="shared" si="146"/>
        <v>-77254.365490797005</v>
      </c>
      <c r="AX161">
        <f t="shared" si="147"/>
        <v>-54511.313465230836</v>
      </c>
      <c r="AY161">
        <f t="shared" si="155"/>
        <v>-2.5271127076658226</v>
      </c>
      <c r="BA161">
        <f t="shared" si="132"/>
        <v>5.1550662481483345</v>
      </c>
      <c r="BB161">
        <f t="shared" si="148"/>
        <v>14.244685016136145</v>
      </c>
      <c r="BC161">
        <f t="shared" si="149"/>
        <v>0.53110438272661242</v>
      </c>
      <c r="BD161">
        <f t="shared" si="133"/>
        <v>-149.56996035409293</v>
      </c>
      <c r="BF161">
        <f t="shared" si="134"/>
        <v>-5.0537044215774412</v>
      </c>
      <c r="BG161">
        <f t="shared" si="135"/>
        <v>-120.23261816138317</v>
      </c>
      <c r="BH161">
        <f t="shared" si="150"/>
        <v>59.767381838616828</v>
      </c>
      <c r="BI161">
        <f t="shared" si="151"/>
        <v>59.767381838616828</v>
      </c>
      <c r="BJ161">
        <f t="shared" si="136"/>
        <v>0</v>
      </c>
      <c r="BK161">
        <f t="shared" si="152"/>
        <v>0</v>
      </c>
      <c r="BM161">
        <f t="shared" si="153"/>
        <v>-19.298389437713585</v>
      </c>
      <c r="BN161">
        <f t="shared" si="137"/>
        <v>-150.66265780729026</v>
      </c>
      <c r="BQ161" s="56">
        <f t="shared" si="154"/>
        <v>31.14664581642128</v>
      </c>
      <c r="BR161" s="59"/>
      <c r="BS161" s="59"/>
      <c r="BT161" s="59">
        <v>3235.9369999999999</v>
      </c>
      <c r="BU161" s="59">
        <v>5.4320899999999996</v>
      </c>
      <c r="BV161" s="59">
        <v>-248.57499999999999</v>
      </c>
      <c r="BW161" s="61"/>
      <c r="BY161" s="59"/>
      <c r="BZ161" s="59"/>
      <c r="CA161" s="59"/>
      <c r="CC161" s="59"/>
    </row>
    <row r="162" spans="1:81" x14ac:dyDescent="0.25">
      <c r="A162">
        <f t="shared" si="106"/>
        <v>64000</v>
      </c>
      <c r="B162">
        <f t="shared" si="138"/>
        <v>64</v>
      </c>
      <c r="C162">
        <f t="shared" si="107"/>
        <v>1.1321450213623163</v>
      </c>
      <c r="D162">
        <f t="shared" si="108"/>
        <v>0.48798565967959845</v>
      </c>
      <c r="F162">
        <f t="shared" si="109"/>
        <v>6.2947422522961621E-3</v>
      </c>
      <c r="G162">
        <f t="shared" si="110"/>
        <v>2.7072650829507154E-2</v>
      </c>
      <c r="H162">
        <f t="shared" si="111"/>
        <v>-3.114519999170493</v>
      </c>
      <c r="J162">
        <f t="shared" si="112"/>
        <v>15</v>
      </c>
      <c r="M162">
        <f t="shared" si="113"/>
        <v>1.987846513710986E-2</v>
      </c>
      <c r="N162">
        <f t="shared" si="114"/>
        <v>-1.5707963250000001</v>
      </c>
      <c r="O162">
        <f t="shared" si="115"/>
        <v>18.621077928893829</v>
      </c>
      <c r="P162">
        <f t="shared" si="116"/>
        <v>1.5170678965750326</v>
      </c>
      <c r="Q162">
        <f t="shared" si="117"/>
        <v>16.449944790917034</v>
      </c>
      <c r="R162">
        <f t="shared" si="118"/>
        <v>1.5099683451259613</v>
      </c>
      <c r="S162">
        <f t="shared" si="119"/>
        <v>0.89606396601735594</v>
      </c>
      <c r="T162">
        <f t="shared" si="120"/>
        <v>-0.45997416637067678</v>
      </c>
      <c r="U162">
        <f t="shared" si="121"/>
        <v>0.92805564652062422</v>
      </c>
      <c r="V162">
        <f t="shared" si="122"/>
        <v>-0.38163847195328549</v>
      </c>
      <c r="X162">
        <f t="shared" si="139"/>
        <v>-5.331271730860494</v>
      </c>
      <c r="Y162">
        <f t="shared" si="123"/>
        <v>-115.27378350611279</v>
      </c>
      <c r="Z162">
        <f t="shared" si="140"/>
        <v>64.726216493887208</v>
      </c>
      <c r="AC162">
        <v>1</v>
      </c>
      <c r="AD162">
        <f t="shared" si="124"/>
        <v>18.594207249408001</v>
      </c>
      <c r="AE162">
        <f t="shared" si="125"/>
        <v>-1.1215761566844844E-3</v>
      </c>
      <c r="AF162">
        <f t="shared" si="126"/>
        <v>2.7947608214400001E-3</v>
      </c>
      <c r="AG162">
        <f t="shared" si="141"/>
        <v>5606.6721801244294</v>
      </c>
      <c r="AH162">
        <f t="shared" si="142"/>
        <v>-2607.8474335483479</v>
      </c>
      <c r="AJ162">
        <f t="shared" si="127"/>
        <v>18000</v>
      </c>
      <c r="AK162">
        <f t="shared" si="128"/>
        <v>8917.4987016192008</v>
      </c>
      <c r="AL162">
        <v>1</v>
      </c>
      <c r="AM162">
        <f t="shared" si="129"/>
        <v>16.419521418854401</v>
      </c>
      <c r="AN162">
        <f t="shared" si="143"/>
        <v>607.61509812803479</v>
      </c>
      <c r="AO162">
        <f t="shared" si="144"/>
        <v>-1059.2504165133846</v>
      </c>
      <c r="AQ162">
        <f t="shared" si="130"/>
        <v>0.61031431187061336</v>
      </c>
      <c r="AR162">
        <f t="shared" si="131"/>
        <v>-78.12023191943851</v>
      </c>
      <c r="AT162">
        <f t="shared" si="156"/>
        <v>-200303.8140458127</v>
      </c>
      <c r="AU162">
        <f t="shared" si="157"/>
        <v>-439586.13761945395</v>
      </c>
      <c r="AV162">
        <f t="shared" si="145"/>
        <v>-1.9983508879079448</v>
      </c>
      <c r="AW162">
        <f t="shared" si="146"/>
        <v>-75971.359084007738</v>
      </c>
      <c r="AX162">
        <f t="shared" si="147"/>
        <v>-54027.187899021148</v>
      </c>
      <c r="AY162">
        <f t="shared" si="155"/>
        <v>-2.5234212372591553</v>
      </c>
      <c r="BA162">
        <f t="shared" si="132"/>
        <v>5.181869530778954</v>
      </c>
      <c r="BB162">
        <f t="shared" si="148"/>
        <v>14.289729482235519</v>
      </c>
      <c r="BC162">
        <f t="shared" si="149"/>
        <v>0.52507034935121055</v>
      </c>
      <c r="BD162">
        <f t="shared" si="133"/>
        <v>-149.91568500033958</v>
      </c>
      <c r="BF162">
        <f t="shared" si="134"/>
        <v>-5.1308450757696971</v>
      </c>
      <c r="BG162">
        <f t="shared" si="135"/>
        <v>-120.40501757130832</v>
      </c>
      <c r="BH162">
        <f t="shared" si="150"/>
        <v>59.594982428691679</v>
      </c>
      <c r="BI162">
        <f t="shared" si="151"/>
        <v>59.594982428691679</v>
      </c>
      <c r="BJ162">
        <f t="shared" si="136"/>
        <v>0</v>
      </c>
      <c r="BK162">
        <f t="shared" si="152"/>
        <v>0</v>
      </c>
      <c r="BM162">
        <f t="shared" si="153"/>
        <v>-19.420574558005217</v>
      </c>
      <c r="BN162">
        <f t="shared" si="137"/>
        <v>-150.48933257096874</v>
      </c>
      <c r="BQ162" s="56">
        <f t="shared" si="154"/>
        <v>31.191690282520653</v>
      </c>
      <c r="BR162" s="59"/>
      <c r="BS162" s="59"/>
      <c r="BT162" s="59">
        <v>3311.3110000000001</v>
      </c>
      <c r="BU162" s="59">
        <v>5.2356100000000003</v>
      </c>
      <c r="BV162" s="59">
        <v>-247.75799999999998</v>
      </c>
      <c r="BW162" s="61"/>
      <c r="BY162" s="59"/>
      <c r="BZ162" s="59"/>
      <c r="CA162" s="59"/>
      <c r="CC162" s="59"/>
    </row>
    <row r="163" spans="1:81" x14ac:dyDescent="0.25">
      <c r="A163">
        <f t="shared" si="106"/>
        <v>64500</v>
      </c>
      <c r="B163">
        <f t="shared" si="138"/>
        <v>64.5</v>
      </c>
      <c r="C163">
        <f t="shared" si="107"/>
        <v>1.1340952017592936</v>
      </c>
      <c r="D163">
        <f t="shared" si="108"/>
        <v>0.49121544000308009</v>
      </c>
      <c r="F163">
        <f t="shared" si="109"/>
        <v>6.1969569198369392E-3</v>
      </c>
      <c r="G163">
        <f t="shared" si="110"/>
        <v>2.6860260389854441E-2</v>
      </c>
      <c r="H163">
        <f t="shared" si="111"/>
        <v>-3.114732389610146</v>
      </c>
      <c r="J163">
        <f t="shared" si="112"/>
        <v>15</v>
      </c>
      <c r="M163">
        <f t="shared" si="113"/>
        <v>1.9724368508140015E-2</v>
      </c>
      <c r="N163">
        <f t="shared" si="114"/>
        <v>-1.5707963250000001</v>
      </c>
      <c r="O163">
        <f t="shared" si="115"/>
        <v>18.766137170291231</v>
      </c>
      <c r="P163">
        <f t="shared" si="116"/>
        <v>1.5174836042149009</v>
      </c>
      <c r="Q163">
        <f t="shared" si="117"/>
        <v>16.577986893036712</v>
      </c>
      <c r="R163">
        <f t="shared" si="118"/>
        <v>1.5104387310358713</v>
      </c>
      <c r="S163">
        <f t="shared" si="119"/>
        <v>0.89468219566391771</v>
      </c>
      <c r="T163">
        <f t="shared" si="120"/>
        <v>-0.46307707569832574</v>
      </c>
      <c r="U163">
        <f t="shared" si="121"/>
        <v>0.92704763506114107</v>
      </c>
      <c r="V163">
        <f t="shared" si="122"/>
        <v>-0.3843359054515601</v>
      </c>
      <c r="X163">
        <f t="shared" si="139"/>
        <v>-5.4080023899666854</v>
      </c>
      <c r="Y163">
        <f t="shared" si="123"/>
        <v>-115.38246554374653</v>
      </c>
      <c r="Z163">
        <f t="shared" si="140"/>
        <v>64.617534456253466</v>
      </c>
      <c r="AC163">
        <v>1</v>
      </c>
      <c r="AD163">
        <f t="shared" si="124"/>
        <v>18.739474493544002</v>
      </c>
      <c r="AE163">
        <f t="shared" si="125"/>
        <v>-1.139169239708649E-3</v>
      </c>
      <c r="AF163">
        <f t="shared" si="126"/>
        <v>2.8165948903574999E-3</v>
      </c>
      <c r="AG163">
        <f t="shared" si="141"/>
        <v>5594.4993743674822</v>
      </c>
      <c r="AH163">
        <f t="shared" si="142"/>
        <v>-2617.7288129330091</v>
      </c>
      <c r="AJ163">
        <f t="shared" si="127"/>
        <v>18000</v>
      </c>
      <c r="AK163">
        <f t="shared" si="128"/>
        <v>8987.1666602255991</v>
      </c>
      <c r="AL163">
        <v>1</v>
      </c>
      <c r="AM163">
        <f t="shared" si="129"/>
        <v>16.547798929939201</v>
      </c>
      <c r="AN163">
        <f t="shared" si="143"/>
        <v>606.6224193483182</v>
      </c>
      <c r="AO163">
        <f t="shared" si="144"/>
        <v>-1051.0991615436305</v>
      </c>
      <c r="AQ163">
        <f t="shared" si="130"/>
        <v>0.60088931618795816</v>
      </c>
      <c r="AR163">
        <f t="shared" si="131"/>
        <v>-77.514721788246604</v>
      </c>
      <c r="AT163">
        <f t="shared" si="156"/>
        <v>-199550.84574810159</v>
      </c>
      <c r="AU163">
        <f t="shared" si="157"/>
        <v>-435229.02782498393</v>
      </c>
      <c r="AV163">
        <f t="shared" si="145"/>
        <v>-2.0006931721142456</v>
      </c>
      <c r="AW163">
        <f t="shared" si="146"/>
        <v>-74718.239521401119</v>
      </c>
      <c r="AX163">
        <f t="shared" si="147"/>
        <v>-53552.721569812704</v>
      </c>
      <c r="AY163">
        <f t="shared" si="155"/>
        <v>-2.5197272516320552</v>
      </c>
      <c r="BA163">
        <f t="shared" si="132"/>
        <v>5.2083865596237624</v>
      </c>
      <c r="BB163">
        <f t="shared" si="148"/>
        <v>14.334064190470873</v>
      </c>
      <c r="BC163">
        <f t="shared" si="149"/>
        <v>0.51903407951780967</v>
      </c>
      <c r="BD163">
        <f t="shared" si="133"/>
        <v>-150.26153778619079</v>
      </c>
      <c r="BF163">
        <f t="shared" si="134"/>
        <v>-5.2075508281983618</v>
      </c>
      <c r="BG163">
        <f t="shared" si="135"/>
        <v>-120.57798665147313</v>
      </c>
      <c r="BH163">
        <f t="shared" si="150"/>
        <v>59.422013348526875</v>
      </c>
      <c r="BI163">
        <f t="shared" si="151"/>
        <v>59.422013348526875</v>
      </c>
      <c r="BJ163">
        <f t="shared" si="136"/>
        <v>0</v>
      </c>
      <c r="BK163">
        <f t="shared" si="152"/>
        <v>0</v>
      </c>
      <c r="BM163">
        <f t="shared" si="153"/>
        <v>-19.541615018669233</v>
      </c>
      <c r="BN163">
        <f t="shared" si="137"/>
        <v>-150.31644886528233</v>
      </c>
      <c r="BQ163" s="56">
        <f t="shared" si="154"/>
        <v>31.236024990756007</v>
      </c>
      <c r="BR163" s="59"/>
      <c r="BS163" s="59"/>
      <c r="BT163" s="59">
        <v>3388.442</v>
      </c>
      <c r="BU163" s="59">
        <v>5.0528199999999996</v>
      </c>
      <c r="BV163" s="59">
        <v>-247.756</v>
      </c>
      <c r="BW163" s="61"/>
      <c r="BY163" s="59"/>
      <c r="BZ163" s="59"/>
      <c r="CA163" s="59"/>
      <c r="CC163" s="59"/>
    </row>
    <row r="164" spans="1:81" x14ac:dyDescent="0.25">
      <c r="A164">
        <f t="shared" si="106"/>
        <v>65000</v>
      </c>
      <c r="B164">
        <f t="shared" si="138"/>
        <v>65</v>
      </c>
      <c r="C164">
        <f t="shared" si="107"/>
        <v>1.1360571717606314</v>
      </c>
      <c r="D164">
        <f t="shared" si="108"/>
        <v>0.4944340981485571</v>
      </c>
      <c r="F164">
        <f t="shared" si="109"/>
        <v>6.1014368664131157E-3</v>
      </c>
      <c r="G164">
        <f t="shared" si="110"/>
        <v>2.6651195528480807E-2</v>
      </c>
      <c r="H164">
        <f t="shared" si="111"/>
        <v>-3.1149414544715195</v>
      </c>
      <c r="J164">
        <f t="shared" si="112"/>
        <v>15</v>
      </c>
      <c r="M164">
        <f t="shared" si="113"/>
        <v>1.9572642596538938E-2</v>
      </c>
      <c r="N164">
        <f t="shared" si="114"/>
        <v>-1.5707963250000001</v>
      </c>
      <c r="O164">
        <f t="shared" si="115"/>
        <v>18.911199604966182</v>
      </c>
      <c r="P164">
        <f t="shared" si="116"/>
        <v>1.5178929343744114</v>
      </c>
      <c r="Q164">
        <f t="shared" si="117"/>
        <v>16.706032607021804</v>
      </c>
      <c r="R164">
        <f t="shared" si="118"/>
        <v>1.5109019063703015</v>
      </c>
      <c r="S164">
        <f t="shared" si="119"/>
        <v>0.89329611928886177</v>
      </c>
      <c r="T164">
        <f t="shared" si="120"/>
        <v>-0.46617040043693575</v>
      </c>
      <c r="U164">
        <f t="shared" si="121"/>
        <v>0.92603509491370006</v>
      </c>
      <c r="V164">
        <f t="shared" si="122"/>
        <v>-0.38702746611582323</v>
      </c>
      <c r="X164">
        <f t="shared" si="139"/>
        <v>-5.4842333823618636</v>
      </c>
      <c r="Y164">
        <f t="shared" si="123"/>
        <v>-115.49148718678771</v>
      </c>
      <c r="Z164">
        <f t="shared" si="140"/>
        <v>64.508512813212292</v>
      </c>
      <c r="AC164">
        <v>1</v>
      </c>
      <c r="AD164">
        <f t="shared" si="124"/>
        <v>18.884741737679999</v>
      </c>
      <c r="AE164">
        <f t="shared" si="125"/>
        <v>-1.1568992338847526E-3</v>
      </c>
      <c r="AF164">
        <f t="shared" si="126"/>
        <v>2.8384289592749998E-3</v>
      </c>
      <c r="AG164">
        <f t="shared" si="141"/>
        <v>5582.285197917754</v>
      </c>
      <c r="AH164">
        <f t="shared" si="142"/>
        <v>-2627.5596732575</v>
      </c>
      <c r="AJ164">
        <f t="shared" si="127"/>
        <v>18000</v>
      </c>
      <c r="AK164">
        <f t="shared" si="128"/>
        <v>9056.8346188319993</v>
      </c>
      <c r="AL164">
        <v>1</v>
      </c>
      <c r="AM164">
        <f t="shared" si="129"/>
        <v>16.676076441024001</v>
      </c>
      <c r="AN164">
        <f t="shared" si="143"/>
        <v>605.65245087463859</v>
      </c>
      <c r="AO164">
        <f t="shared" si="144"/>
        <v>-1043.0719486470075</v>
      </c>
      <c r="AQ164">
        <f t="shared" si="130"/>
        <v>0.59168096562333594</v>
      </c>
      <c r="AR164">
        <f t="shared" si="131"/>
        <v>-76.918525531033666</v>
      </c>
      <c r="AT164">
        <f t="shared" si="156"/>
        <v>-198805.08391548265</v>
      </c>
      <c r="AU164">
        <f t="shared" si="157"/>
        <v>-430935.82356225402</v>
      </c>
      <c r="AV164">
        <f t="shared" si="145"/>
        <v>-2.0030350293555559</v>
      </c>
      <c r="AW164">
        <f t="shared" si="146"/>
        <v>-73494.097514102876</v>
      </c>
      <c r="AX164">
        <f t="shared" si="147"/>
        <v>-53087.627482552176</v>
      </c>
      <c r="AY164">
        <f t="shared" si="155"/>
        <v>-2.5160310984553815</v>
      </c>
      <c r="BA164">
        <f t="shared" si="132"/>
        <v>5.2346165910895515</v>
      </c>
      <c r="BB164">
        <f t="shared" si="148"/>
        <v>14.37769754657397</v>
      </c>
      <c r="BC164">
        <f t="shared" si="149"/>
        <v>0.51299606909982565</v>
      </c>
      <c r="BD164">
        <f t="shared" si="133"/>
        <v>-150.60749030019261</v>
      </c>
      <c r="BF164">
        <f t="shared" si="134"/>
        <v>-5.2838310819954657</v>
      </c>
      <c r="BG164">
        <f t="shared" si="135"/>
        <v>-120.75150217204784</v>
      </c>
      <c r="BH164">
        <f t="shared" si="150"/>
        <v>59.248497827952164</v>
      </c>
      <c r="BI164">
        <f t="shared" si="151"/>
        <v>59.248497827952164</v>
      </c>
      <c r="BJ164">
        <f t="shared" si="136"/>
        <v>0</v>
      </c>
      <c r="BK164">
        <f t="shared" si="152"/>
        <v>0</v>
      </c>
      <c r="BM164">
        <f t="shared" si="153"/>
        <v>-19.661528628569435</v>
      </c>
      <c r="BN164">
        <f t="shared" si="137"/>
        <v>-150.14401187185524</v>
      </c>
      <c r="BQ164" s="56">
        <f t="shared" si="154"/>
        <v>31.279658346859108</v>
      </c>
      <c r="BR164" s="59"/>
      <c r="BS164" s="59"/>
      <c r="BT164" s="59">
        <v>3467.3690000000001</v>
      </c>
      <c r="BU164" s="59">
        <v>4.9028999999999998</v>
      </c>
      <c r="BV164" s="59">
        <v>-247.51300000000001</v>
      </c>
      <c r="BW164" s="61"/>
      <c r="BY164" s="59"/>
      <c r="BZ164" s="59"/>
      <c r="CA164" s="59"/>
      <c r="CC164" s="59"/>
    </row>
    <row r="165" spans="1:81" x14ac:dyDescent="0.25">
      <c r="A165">
        <f t="shared" si="106"/>
        <v>65500</v>
      </c>
      <c r="B165">
        <f t="shared" si="138"/>
        <v>65.5</v>
      </c>
      <c r="C165">
        <f t="shared" si="107"/>
        <v>1.138030870390349</v>
      </c>
      <c r="D165">
        <f t="shared" si="108"/>
        <v>0.49764162512374288</v>
      </c>
      <c r="F165">
        <f t="shared" si="109"/>
        <v>6.0081125302256407E-3</v>
      </c>
      <c r="G165">
        <f t="shared" si="110"/>
        <v>2.6445378318978967E-2</v>
      </c>
      <c r="H165">
        <f t="shared" si="111"/>
        <v>-3.1151472716810211</v>
      </c>
      <c r="J165">
        <f t="shared" si="112"/>
        <v>15</v>
      </c>
      <c r="M165">
        <f t="shared" si="113"/>
        <v>1.9423233111069176E-2</v>
      </c>
      <c r="N165">
        <f t="shared" si="114"/>
        <v>-1.5707963250000001</v>
      </c>
      <c r="O165">
        <f t="shared" si="115"/>
        <v>19.056265159993906</v>
      </c>
      <c r="P165">
        <f t="shared" si="116"/>
        <v>1.5182960325602488</v>
      </c>
      <c r="Q165">
        <f t="shared" si="117"/>
        <v>16.834081850453106</v>
      </c>
      <c r="R165">
        <f t="shared" si="118"/>
        <v>1.5113580354709728</v>
      </c>
      <c r="S165">
        <f t="shared" si="119"/>
        <v>0.891905836265523</v>
      </c>
      <c r="T165">
        <f t="shared" si="120"/>
        <v>-0.46925412600332883</v>
      </c>
      <c r="U165">
        <f t="shared" si="121"/>
        <v>0.92501808484036063</v>
      </c>
      <c r="V165">
        <f t="shared" si="122"/>
        <v>-0.38971313423424292</v>
      </c>
      <c r="X165">
        <f t="shared" si="139"/>
        <v>-5.559973323534332</v>
      </c>
      <c r="Y165">
        <f t="shared" si="123"/>
        <v>-115.60083369734552</v>
      </c>
      <c r="Z165">
        <f t="shared" si="140"/>
        <v>64.399166302654478</v>
      </c>
      <c r="AC165">
        <v>1</v>
      </c>
      <c r="AD165">
        <f t="shared" si="124"/>
        <v>19.030008981816</v>
      </c>
      <c r="AE165">
        <f t="shared" si="125"/>
        <v>-1.1747661392127952E-3</v>
      </c>
      <c r="AF165">
        <f t="shared" si="126"/>
        <v>2.8602630281925E-3</v>
      </c>
      <c r="AG165">
        <f t="shared" si="141"/>
        <v>5570.0305375499902</v>
      </c>
      <c r="AH165">
        <f t="shared" si="142"/>
        <v>-2637.3390123711674</v>
      </c>
      <c r="AJ165">
        <f t="shared" si="127"/>
        <v>18000</v>
      </c>
      <c r="AK165">
        <f t="shared" si="128"/>
        <v>9126.5025774383994</v>
      </c>
      <c r="AL165">
        <v>1</v>
      </c>
      <c r="AM165">
        <f t="shared" si="129"/>
        <v>16.804353952108801</v>
      </c>
      <c r="AN165">
        <f t="shared" si="143"/>
        <v>604.70450601242169</v>
      </c>
      <c r="AO165">
        <f t="shared" si="144"/>
        <v>-1035.1659780294392</v>
      </c>
      <c r="AQ165">
        <f t="shared" si="130"/>
        <v>0.58268267101736393</v>
      </c>
      <c r="AR165">
        <f t="shared" si="131"/>
        <v>-76.331429903274682</v>
      </c>
      <c r="AT165">
        <f t="shared" si="156"/>
        <v>-198066.29768271351</v>
      </c>
      <c r="AU165">
        <f t="shared" si="157"/>
        <v>-426705.12727620319</v>
      </c>
      <c r="AV165">
        <f t="shared" si="145"/>
        <v>-2.005376315746294</v>
      </c>
      <c r="AW165">
        <f t="shared" si="146"/>
        <v>-72298.058030035303</v>
      </c>
      <c r="AX165">
        <f t="shared" si="147"/>
        <v>-52631.629730514658</v>
      </c>
      <c r="AY165">
        <f t="shared" si="155"/>
        <v>-2.5123331195535759</v>
      </c>
      <c r="BA165">
        <f t="shared" si="132"/>
        <v>5.2605589322882675</v>
      </c>
      <c r="BB165">
        <f t="shared" si="148"/>
        <v>14.420637804415151</v>
      </c>
      <c r="BC165">
        <f t="shared" si="149"/>
        <v>0.50695680380728181</v>
      </c>
      <c r="BD165">
        <f t="shared" si="133"/>
        <v>-150.95351471321061</v>
      </c>
      <c r="BF165">
        <f t="shared" si="134"/>
        <v>-5.3596949897239723</v>
      </c>
      <c r="BG165">
        <f t="shared" si="135"/>
        <v>-120.92554128397242</v>
      </c>
      <c r="BH165">
        <f t="shared" si="150"/>
        <v>59.074458716027578</v>
      </c>
      <c r="BI165">
        <f t="shared" si="151"/>
        <v>59.074458716027578</v>
      </c>
      <c r="BJ165">
        <f t="shared" si="136"/>
        <v>0</v>
      </c>
      <c r="BK165">
        <f t="shared" si="152"/>
        <v>0</v>
      </c>
      <c r="BM165">
        <f t="shared" si="153"/>
        <v>-19.78033279413912</v>
      </c>
      <c r="BN165">
        <f t="shared" si="137"/>
        <v>-149.97202657076184</v>
      </c>
      <c r="BQ165" s="56">
        <f t="shared" si="154"/>
        <v>31.322598604700286</v>
      </c>
      <c r="BR165" s="59"/>
      <c r="BS165" s="59"/>
      <c r="BT165" s="59">
        <v>3548.134</v>
      </c>
      <c r="BU165" s="59">
        <v>4.6522600000000001</v>
      </c>
      <c r="BV165" s="59">
        <v>-246.726</v>
      </c>
      <c r="BW165" s="61"/>
      <c r="BY165" s="59"/>
      <c r="BZ165" s="59"/>
      <c r="CA165" s="59"/>
      <c r="CC165" s="59"/>
    </row>
    <row r="166" spans="1:81" x14ac:dyDescent="0.25">
      <c r="A166">
        <f t="shared" ref="A166:A200" si="158">A165+500</f>
        <v>66000</v>
      </c>
      <c r="B166">
        <f t="shared" si="138"/>
        <v>66</v>
      </c>
      <c r="C166">
        <f t="shared" si="107"/>
        <v>1.140016236731479</v>
      </c>
      <c r="D166">
        <f t="shared" si="108"/>
        <v>0.50083801291458685</v>
      </c>
      <c r="F166">
        <f t="shared" si="109"/>
        <v>5.9169170040332076E-3</v>
      </c>
      <c r="G166">
        <f t="shared" si="110"/>
        <v>2.6242733263295417E-2</v>
      </c>
      <c r="H166">
        <f t="shared" si="111"/>
        <v>-3.1153499167367049</v>
      </c>
      <c r="J166">
        <f t="shared" si="112"/>
        <v>15</v>
      </c>
      <c r="M166">
        <f t="shared" si="113"/>
        <v>1.9276087405682287E-2</v>
      </c>
      <c r="N166">
        <f t="shared" si="114"/>
        <v>-1.5707963250000001</v>
      </c>
      <c r="O166">
        <f t="shared" si="115"/>
        <v>19.201333764651871</v>
      </c>
      <c r="P166">
        <f t="shared" si="116"/>
        <v>1.5186930398900527</v>
      </c>
      <c r="Q166">
        <f t="shared" si="117"/>
        <v>16.962134543397948</v>
      </c>
      <c r="R166">
        <f t="shared" si="118"/>
        <v>1.5118072777288625</v>
      </c>
      <c r="S166">
        <f t="shared" si="119"/>
        <v>0.8905114453422438</v>
      </c>
      <c r="T166">
        <f t="shared" si="120"/>
        <v>-0.47232823863494</v>
      </c>
      <c r="U166">
        <f t="shared" si="121"/>
        <v>0.92399666349197096</v>
      </c>
      <c r="V166">
        <f t="shared" si="122"/>
        <v>-0.39239289052121062</v>
      </c>
      <c r="X166">
        <f t="shared" si="139"/>
        <v>-5.6352306119563718</v>
      </c>
      <c r="Y166">
        <f t="shared" si="123"/>
        <v>-115.71049074891474</v>
      </c>
      <c r="Z166">
        <f t="shared" si="140"/>
        <v>64.289509251085263</v>
      </c>
      <c r="AC166">
        <v>1</v>
      </c>
      <c r="AD166">
        <f t="shared" si="124"/>
        <v>19.175276225952</v>
      </c>
      <c r="AE166">
        <f t="shared" si="125"/>
        <v>-1.1927699556927769E-3</v>
      </c>
      <c r="AF166">
        <f t="shared" si="126"/>
        <v>2.8820970971100003E-3</v>
      </c>
      <c r="AG166">
        <f t="shared" si="141"/>
        <v>5557.7362763761457</v>
      </c>
      <c r="AH166">
        <f t="shared" si="142"/>
        <v>-2647.0658673419898</v>
      </c>
      <c r="AJ166">
        <f t="shared" si="127"/>
        <v>18000</v>
      </c>
      <c r="AK166">
        <f t="shared" si="128"/>
        <v>9196.1705360447995</v>
      </c>
      <c r="AL166">
        <v>1</v>
      </c>
      <c r="AM166">
        <f t="shared" si="129"/>
        <v>16.932631463193601</v>
      </c>
      <c r="AN166">
        <f t="shared" si="143"/>
        <v>603.77792379685604</v>
      </c>
      <c r="AO166">
        <f t="shared" si="144"/>
        <v>-1027.3785332195559</v>
      </c>
      <c r="AQ166">
        <f t="shared" si="130"/>
        <v>0.57388809182209466</v>
      </c>
      <c r="AR166">
        <f t="shared" si="131"/>
        <v>-75.753228120516496</v>
      </c>
      <c r="AT166">
        <f t="shared" si="156"/>
        <v>-197334.26583229066</v>
      </c>
      <c r="AU166">
        <f t="shared" si="157"/>
        <v>-422535.58355752839</v>
      </c>
      <c r="AV166">
        <f t="shared" si="145"/>
        <v>-2.0077168915697556</v>
      </c>
      <c r="AW166">
        <f t="shared" si="146"/>
        <v>-71129.278757781707</v>
      </c>
      <c r="AX166">
        <f t="shared" si="147"/>
        <v>-52184.4629723545</v>
      </c>
      <c r="AY166">
        <f t="shared" si="155"/>
        <v>-2.5086336510602472</v>
      </c>
      <c r="BA166">
        <f t="shared" si="132"/>
        <v>5.2862129411322654</v>
      </c>
      <c r="BB166">
        <f t="shared" si="148"/>
        <v>14.462893071093735</v>
      </c>
      <c r="BC166">
        <f t="shared" si="149"/>
        <v>0.50091675949049153</v>
      </c>
      <c r="BD166">
        <f t="shared" si="133"/>
        <v>-151.29958376103011</v>
      </c>
      <c r="BF166">
        <f t="shared" si="134"/>
        <v>-5.4351514606736657</v>
      </c>
      <c r="BG166">
        <f t="shared" si="135"/>
        <v>-121.10008150792328</v>
      </c>
      <c r="BH166">
        <f t="shared" si="150"/>
        <v>58.899918492076722</v>
      </c>
      <c r="BI166">
        <f t="shared" si="151"/>
        <v>58.899918492076722</v>
      </c>
      <c r="BJ166">
        <f t="shared" si="136"/>
        <v>0</v>
      </c>
      <c r="BK166">
        <f t="shared" si="152"/>
        <v>0</v>
      </c>
      <c r="BM166">
        <f t="shared" si="153"/>
        <v>-19.8980445317674</v>
      </c>
      <c r="BN166">
        <f t="shared" si="137"/>
        <v>-149.80049774689317</v>
      </c>
      <c r="BQ166" s="56">
        <f t="shared" si="154"/>
        <v>31.36485387137887</v>
      </c>
      <c r="BR166" s="59"/>
      <c r="BS166" s="59"/>
      <c r="BT166" s="59">
        <v>3630.7809999999999</v>
      </c>
      <c r="BU166" s="59">
        <v>4.4950999999999999</v>
      </c>
      <c r="BV166" s="59">
        <v>-246.21199999999999</v>
      </c>
      <c r="BW166" s="61"/>
      <c r="BY166" s="59"/>
      <c r="BZ166" s="59"/>
      <c r="CA166" s="59"/>
      <c r="CC166" s="59"/>
    </row>
    <row r="167" spans="1:81" x14ac:dyDescent="0.25">
      <c r="A167">
        <f t="shared" si="158"/>
        <v>66500</v>
      </c>
      <c r="B167">
        <f t="shared" si="138"/>
        <v>66.5</v>
      </c>
      <c r="C167">
        <f t="shared" si="107"/>
        <v>1.1420132099317986</v>
      </c>
      <c r="D167">
        <f t="shared" si="108"/>
        <v>0.50402325447305552</v>
      </c>
      <c r="F167">
        <f t="shared" si="109"/>
        <v>5.8277859142997481E-3</v>
      </c>
      <c r="G167">
        <f t="shared" si="110"/>
        <v>2.6043187197414747E-2</v>
      </c>
      <c r="H167">
        <f t="shared" si="111"/>
        <v>-3.1155494628025853</v>
      </c>
      <c r="J167">
        <f t="shared" si="112"/>
        <v>15</v>
      </c>
      <c r="M167">
        <f t="shared" si="113"/>
        <v>1.9131154417669639E-2</v>
      </c>
      <c r="N167">
        <f t="shared" si="114"/>
        <v>-1.5707963250000001</v>
      </c>
      <c r="O167">
        <f t="shared" si="115"/>
        <v>19.346405350337307</v>
      </c>
      <c r="P167">
        <f t="shared" si="116"/>
        <v>1.5190840932565197</v>
      </c>
      <c r="Q167">
        <f t="shared" si="117"/>
        <v>17.090190608317197</v>
      </c>
      <c r="R167">
        <f t="shared" si="118"/>
        <v>1.5122497877690226</v>
      </c>
      <c r="S167">
        <f t="shared" si="119"/>
        <v>0.88911304463234853</v>
      </c>
      <c r="T167">
        <f t="shared" si="120"/>
        <v>-0.47539272538161415</v>
      </c>
      <c r="U167">
        <f t="shared" si="121"/>
        <v>0.92297088940139982</v>
      </c>
      <c r="V167">
        <f t="shared" si="122"/>
        <v>-0.39506671611555033</v>
      </c>
      <c r="X167">
        <f t="shared" si="139"/>
        <v>-5.7100134361082961</v>
      </c>
      <c r="Y167">
        <f t="shared" si="123"/>
        <v>-115.8204444119155</v>
      </c>
      <c r="Z167">
        <f t="shared" si="140"/>
        <v>64.179555588084497</v>
      </c>
      <c r="AC167">
        <v>1</v>
      </c>
      <c r="AD167">
        <f t="shared" si="124"/>
        <v>19.320543470088001</v>
      </c>
      <c r="AE167">
        <f t="shared" si="125"/>
        <v>-1.2109106833246978E-3</v>
      </c>
      <c r="AF167">
        <f t="shared" si="126"/>
        <v>2.9039311660274997E-3</v>
      </c>
      <c r="AG167">
        <f t="shared" si="141"/>
        <v>5545.403293737505</v>
      </c>
      <c r="AH167">
        <f t="shared" si="142"/>
        <v>-2656.7393132408884</v>
      </c>
      <c r="AJ167">
        <f t="shared" si="127"/>
        <v>18000</v>
      </c>
      <c r="AK167">
        <f t="shared" si="128"/>
        <v>9265.8384946511997</v>
      </c>
      <c r="AL167">
        <v>1</v>
      </c>
      <c r="AM167">
        <f t="shared" si="129"/>
        <v>17.060908974278401</v>
      </c>
      <c r="AN167">
        <f t="shared" si="143"/>
        <v>602.87206784594673</v>
      </c>
      <c r="AO167">
        <f t="shared" si="144"/>
        <v>-1019.7069780034901</v>
      </c>
      <c r="AQ167">
        <f t="shared" si="130"/>
        <v>0.56529112492933864</v>
      </c>
      <c r="AR167">
        <f t="shared" si="131"/>
        <v>-75.18371961560203</v>
      </c>
      <c r="AT167">
        <f t="shared" si="156"/>
        <v>-196608.77635234629</v>
      </c>
      <c r="AU167">
        <f t="shared" si="157"/>
        <v>-418425.87754682248</v>
      </c>
      <c r="AV167">
        <f t="shared" si="145"/>
        <v>-2.0100566211365196</v>
      </c>
      <c r="AW167">
        <f t="shared" si="146"/>
        <v>-69986.948650127466</v>
      </c>
      <c r="AX167">
        <f t="shared" si="147"/>
        <v>-51745.87193806182</v>
      </c>
      <c r="AY167">
        <f t="shared" si="155"/>
        <v>-2.5049330235643228</v>
      </c>
      <c r="BA167">
        <f t="shared" si="132"/>
        <v>5.311578026405682</v>
      </c>
      <c r="BB167">
        <f t="shared" si="148"/>
        <v>14.504471311827142</v>
      </c>
      <c r="BC167">
        <f t="shared" si="149"/>
        <v>0.49487640242780317</v>
      </c>
      <c r="BD167">
        <f t="shared" si="133"/>
        <v>-151.64567072786966</v>
      </c>
      <c r="BF167">
        <f t="shared" si="134"/>
        <v>-5.5102091678748311</v>
      </c>
      <c r="BG167">
        <f t="shared" si="135"/>
        <v>-121.27510072393081</v>
      </c>
      <c r="BH167">
        <f t="shared" si="150"/>
        <v>58.724899276069195</v>
      </c>
      <c r="BI167">
        <f t="shared" si="151"/>
        <v>58.724899276069195</v>
      </c>
      <c r="BJ167">
        <f t="shared" si="136"/>
        <v>0</v>
      </c>
      <c r="BK167">
        <f t="shared" si="152"/>
        <v>0</v>
      </c>
      <c r="BM167">
        <f t="shared" si="153"/>
        <v>-20.014680479701973</v>
      </c>
      <c r="BN167">
        <f t="shared" si="137"/>
        <v>-149.62942999606116</v>
      </c>
      <c r="BQ167" s="56">
        <f t="shared" si="154"/>
        <v>31.406432112112277</v>
      </c>
      <c r="BR167" s="59"/>
      <c r="BS167" s="59"/>
      <c r="BT167" s="59">
        <v>3715.3519999999999</v>
      </c>
      <c r="BU167" s="59">
        <v>4.3437000000000001</v>
      </c>
      <c r="BV167" s="59">
        <v>-245.97</v>
      </c>
      <c r="BW167" s="61"/>
      <c r="BY167" s="59"/>
      <c r="BZ167" s="59"/>
      <c r="CA167" s="59"/>
      <c r="CC167" s="59"/>
    </row>
    <row r="168" spans="1:81" x14ac:dyDescent="0.25">
      <c r="A168">
        <f t="shared" si="158"/>
        <v>67000</v>
      </c>
      <c r="B168">
        <f t="shared" si="138"/>
        <v>67</v>
      </c>
      <c r="C168">
        <f t="shared" si="107"/>
        <v>1.1440217292094568</v>
      </c>
      <c r="D168">
        <f t="shared" si="108"/>
        <v>0.50719734370486891</v>
      </c>
      <c r="F168">
        <f t="shared" si="109"/>
        <v>5.7406573067234753E-3</v>
      </c>
      <c r="G168">
        <f t="shared" si="110"/>
        <v>2.5846669201425497E-2</v>
      </c>
      <c r="H168">
        <f t="shared" si="111"/>
        <v>-3.1157459807985748</v>
      </c>
      <c r="J168">
        <f t="shared" si="112"/>
        <v>15</v>
      </c>
      <c r="M168">
        <f t="shared" si="113"/>
        <v>1.8988384608582553E-2</v>
      </c>
      <c r="N168">
        <f t="shared" si="114"/>
        <v>-1.5707963250000001</v>
      </c>
      <c r="O168">
        <f t="shared" si="115"/>
        <v>19.491479850488464</v>
      </c>
      <c r="P168">
        <f t="shared" si="116"/>
        <v>1.5194693254842042</v>
      </c>
      <c r="Q168">
        <f t="shared" si="117"/>
        <v>17.218249969976419</v>
      </c>
      <c r="R168">
        <f t="shared" si="118"/>
        <v>1.512685715627188</v>
      </c>
      <c r="S168">
        <f t="shared" si="119"/>
        <v>0.88771073160447578</v>
      </c>
      <c r="T168">
        <f t="shared" si="120"/>
        <v>-0.47844757409733857</v>
      </c>
      <c r="U168">
        <f t="shared" si="121"/>
        <v>0.92194082097687424</v>
      </c>
      <c r="V168">
        <f t="shared" si="122"/>
        <v>-0.39773459257867755</v>
      </c>
      <c r="X168">
        <f t="shared" si="139"/>
        <v>-5.784329781219018</v>
      </c>
      <c r="Y168">
        <f t="shared" si="123"/>
        <v>-115.93068113986685</v>
      </c>
      <c r="Z168">
        <f t="shared" si="140"/>
        <v>64.069318860133151</v>
      </c>
      <c r="AC168">
        <v>1</v>
      </c>
      <c r="AD168">
        <f t="shared" si="124"/>
        <v>19.465810714224002</v>
      </c>
      <c r="AE168">
        <f t="shared" si="125"/>
        <v>-1.2291883221085573E-3</v>
      </c>
      <c r="AF168">
        <f t="shared" si="126"/>
        <v>2.925765234945E-3</v>
      </c>
      <c r="AG168">
        <f t="shared" si="141"/>
        <v>5533.0324650991706</v>
      </c>
      <c r="AH168">
        <f t="shared" si="142"/>
        <v>-2666.3584619748463</v>
      </c>
      <c r="AJ168">
        <f t="shared" si="127"/>
        <v>18000</v>
      </c>
      <c r="AK168">
        <f t="shared" si="128"/>
        <v>9335.5064532575998</v>
      </c>
      <c r="AL168">
        <v>1</v>
      </c>
      <c r="AM168">
        <f t="shared" si="129"/>
        <v>17.189186485363201</v>
      </c>
      <c r="AN168">
        <f t="shared" si="143"/>
        <v>601.98632527270729</v>
      </c>
      <c r="AO168">
        <f t="shared" si="144"/>
        <v>-1012.1487534934774</v>
      </c>
      <c r="AQ168">
        <f t="shared" si="130"/>
        <v>0.55688589408030298</v>
      </c>
      <c r="AR168">
        <f t="shared" si="131"/>
        <v>-74.622709806760597</v>
      </c>
      <c r="AT168">
        <f t="shared" si="156"/>
        <v>-195889.62601744736</v>
      </c>
      <c r="AU168">
        <f t="shared" si="157"/>
        <v>-414374.73341051606</v>
      </c>
      <c r="AV168">
        <f t="shared" si="145"/>
        <v>-2.0123953726490176</v>
      </c>
      <c r="AW168">
        <f t="shared" si="146"/>
        <v>-68870.28654259583</v>
      </c>
      <c r="AX168">
        <f t="shared" si="147"/>
        <v>-51315.610962003804</v>
      </c>
      <c r="AY168">
        <f t="shared" si="155"/>
        <v>-2.5012315622473271</v>
      </c>
      <c r="BA168">
        <f t="shared" si="132"/>
        <v>5.3366536478116808</v>
      </c>
      <c r="BB168">
        <f t="shared" si="148"/>
        <v>14.545380354646921</v>
      </c>
      <c r="BC168">
        <f t="shared" si="149"/>
        <v>0.48883618959830955</v>
      </c>
      <c r="BD168">
        <f t="shared" si="133"/>
        <v>-151.99174943075587</v>
      </c>
      <c r="BF168">
        <f t="shared" si="134"/>
        <v>-5.58487655484406</v>
      </c>
      <c r="BG168">
        <f t="shared" si="135"/>
        <v>-121.45057716160981</v>
      </c>
      <c r="BH168">
        <f t="shared" si="150"/>
        <v>58.549422838390186</v>
      </c>
      <c r="BI168">
        <f t="shared" si="151"/>
        <v>58.549422838390186</v>
      </c>
      <c r="BJ168">
        <f t="shared" si="136"/>
        <v>0</v>
      </c>
      <c r="BK168">
        <f t="shared" si="152"/>
        <v>0</v>
      </c>
      <c r="BM168">
        <f t="shared" si="153"/>
        <v>-20.130256909490981</v>
      </c>
      <c r="BN168">
        <f t="shared" si="137"/>
        <v>-149.45882773085395</v>
      </c>
      <c r="BQ168" s="56">
        <f t="shared" si="154"/>
        <v>31.447341154932058</v>
      </c>
      <c r="BR168" s="59"/>
      <c r="BS168" s="59"/>
      <c r="BT168" s="59">
        <v>3801.8939999999998</v>
      </c>
      <c r="BU168" s="59">
        <v>4.1437400000000002</v>
      </c>
      <c r="BV168" s="59">
        <v>-245.16899999999998</v>
      </c>
      <c r="BW168" s="61"/>
      <c r="BY168" s="59"/>
      <c r="BZ168" s="59"/>
      <c r="CA168" s="59"/>
      <c r="CC168" s="59"/>
    </row>
    <row r="169" spans="1:81" x14ac:dyDescent="0.25">
      <c r="A169">
        <f t="shared" si="158"/>
        <v>67500</v>
      </c>
      <c r="B169">
        <f t="shared" si="138"/>
        <v>67.5</v>
      </c>
      <c r="C169">
        <f t="shared" si="107"/>
        <v>1.1460417338585007</v>
      </c>
      <c r="D169">
        <f t="shared" si="108"/>
        <v>0.51036027545719953</v>
      </c>
      <c r="F169">
        <f t="shared" si="109"/>
        <v>5.6554715377645599E-3</v>
      </c>
      <c r="G169">
        <f t="shared" si="110"/>
        <v>2.5653110513730936E-2</v>
      </c>
      <c r="H169">
        <f t="shared" si="111"/>
        <v>-3.1159395394862694</v>
      </c>
      <c r="J169">
        <f t="shared" si="112"/>
        <v>15</v>
      </c>
      <c r="M169">
        <f t="shared" si="113"/>
        <v>1.8847729907778239E-2</v>
      </c>
      <c r="N169">
        <f t="shared" si="114"/>
        <v>-1.5707963250000001</v>
      </c>
      <c r="O169">
        <f t="shared" si="115"/>
        <v>19.636557200509294</v>
      </c>
      <c r="P169">
        <f t="shared" si="116"/>
        <v>1.5198488654793922</v>
      </c>
      <c r="Q169">
        <f t="shared" si="117"/>
        <v>17.346312555360946</v>
      </c>
      <c r="R169">
        <f t="shared" si="118"/>
        <v>1.5131152069185982</v>
      </c>
      <c r="S169">
        <f t="shared" si="119"/>
        <v>0.88630460307326719</v>
      </c>
      <c r="T169">
        <f t="shared" si="120"/>
        <v>-0.48149277343191482</v>
      </c>
      <c r="U169">
        <f t="shared" si="121"/>
        <v>0.92090651649542477</v>
      </c>
      <c r="V169">
        <f t="shared" si="122"/>
        <v>-0.40039650189270715</v>
      </c>
      <c r="X169">
        <f t="shared" si="139"/>
        <v>-5.8581874357369426</v>
      </c>
      <c r="Y169">
        <f t="shared" si="123"/>
        <v>-116.04118775616126</v>
      </c>
      <c r="Z169">
        <f t="shared" si="140"/>
        <v>63.958812243838736</v>
      </c>
      <c r="AC169">
        <v>1</v>
      </c>
      <c r="AD169">
        <f t="shared" si="124"/>
        <v>19.611077958360003</v>
      </c>
      <c r="AE169">
        <f t="shared" si="125"/>
        <v>-1.247602872044356E-3</v>
      </c>
      <c r="AF169">
        <f t="shared" si="126"/>
        <v>2.9475993038625002E-3</v>
      </c>
      <c r="AG169">
        <f t="shared" si="141"/>
        <v>5520.6246619469212</v>
      </c>
      <c r="AH169">
        <f t="shared" si="142"/>
        <v>-2675.9224611663226</v>
      </c>
      <c r="AJ169">
        <f t="shared" si="127"/>
        <v>18000</v>
      </c>
      <c r="AK169">
        <f t="shared" si="128"/>
        <v>9405.1744118639999</v>
      </c>
      <c r="AL169">
        <v>1</v>
      </c>
      <c r="AM169">
        <f t="shared" si="129"/>
        <v>17.317463996448001</v>
      </c>
      <c r="AN169">
        <f t="shared" si="143"/>
        <v>601.12010565303922</v>
      </c>
      <c r="AO169">
        <f t="shared" si="144"/>
        <v>-1004.7013753235265</v>
      </c>
      <c r="AQ169">
        <f t="shared" si="130"/>
        <v>0.54866673982223202</v>
      </c>
      <c r="AR169">
        <f t="shared" si="131"/>
        <v>-74.070009876001322</v>
      </c>
      <c r="AT169">
        <f t="shared" si="156"/>
        <v>-195176.61999095065</v>
      </c>
      <c r="AU169">
        <f t="shared" si="157"/>
        <v>-410380.9128848901</v>
      </c>
      <c r="AV169">
        <f t="shared" si="145"/>
        <v>-2.0147330180719427</v>
      </c>
      <c r="AW169">
        <f t="shared" si="146"/>
        <v>-67778.53984260287</v>
      </c>
      <c r="AX169">
        <f t="shared" si="147"/>
        <v>-50893.443541358647</v>
      </c>
      <c r="AY169">
        <f t="shared" si="155"/>
        <v>-2.4975295870123015</v>
      </c>
      <c r="BA169">
        <f t="shared" si="132"/>
        <v>5.3614393159953577</v>
      </c>
      <c r="BB169">
        <f t="shared" si="148"/>
        <v>14.585627894909488</v>
      </c>
      <c r="BC169">
        <f t="shared" si="149"/>
        <v>0.48279656894035883</v>
      </c>
      <c r="BD169">
        <f t="shared" si="133"/>
        <v>-152.33779420471188</v>
      </c>
      <c r="BF169">
        <f t="shared" si="134"/>
        <v>-5.6591618420759202</v>
      </c>
      <c r="BG169">
        <f t="shared" si="135"/>
        <v>-121.62648939096796</v>
      </c>
      <c r="BH169">
        <f t="shared" si="150"/>
        <v>58.373510609032039</v>
      </c>
      <c r="BI169">
        <f t="shared" si="151"/>
        <v>58.373510609032039</v>
      </c>
      <c r="BJ169">
        <f t="shared" si="136"/>
        <v>0</v>
      </c>
      <c r="BK169">
        <f t="shared" si="152"/>
        <v>0</v>
      </c>
      <c r="BM169">
        <f t="shared" si="153"/>
        <v>-20.24478973698541</v>
      </c>
      <c r="BN169">
        <f t="shared" si="137"/>
        <v>-149.28869518625609</v>
      </c>
      <c r="BQ169" s="56">
        <f t="shared" si="154"/>
        <v>31.487588695194624</v>
      </c>
      <c r="BR169" s="59"/>
      <c r="BS169" s="59"/>
      <c r="BT169" s="59">
        <v>3890.451</v>
      </c>
      <c r="BU169" s="59">
        <v>3.9573</v>
      </c>
      <c r="BV169" s="59">
        <v>-244.768</v>
      </c>
      <c r="BW169" s="61"/>
      <c r="BY169" s="59"/>
      <c r="BZ169" s="59"/>
      <c r="CA169" s="59"/>
      <c r="CC169" s="59"/>
    </row>
    <row r="170" spans="1:81" x14ac:dyDescent="0.25">
      <c r="A170">
        <f t="shared" si="158"/>
        <v>68000</v>
      </c>
      <c r="B170">
        <f t="shared" si="138"/>
        <v>68</v>
      </c>
      <c r="C170">
        <f t="shared" si="107"/>
        <v>1.1480731632543026</v>
      </c>
      <c r="D170">
        <f t="shared" si="108"/>
        <v>0.51351204550633944</v>
      </c>
      <c r="F170">
        <f t="shared" si="109"/>
        <v>5.5721711718143101E-3</v>
      </c>
      <c r="G170">
        <f t="shared" si="110"/>
        <v>2.5462444449182671E-2</v>
      </c>
      <c r="H170">
        <f t="shared" si="111"/>
        <v>-3.1161302055508173</v>
      </c>
      <c r="J170">
        <f t="shared" si="112"/>
        <v>15</v>
      </c>
      <c r="M170">
        <f t="shared" si="113"/>
        <v>1.8709143658456339E-2</v>
      </c>
      <c r="N170">
        <f t="shared" si="114"/>
        <v>-1.5707963250000001</v>
      </c>
      <c r="O170">
        <f t="shared" si="115"/>
        <v>19.781637337697472</v>
      </c>
      <c r="P170">
        <f t="shared" si="116"/>
        <v>1.5202228383734051</v>
      </c>
      <c r="Q170">
        <f t="shared" si="117"/>
        <v>17.474378293594679</v>
      </c>
      <c r="R170">
        <f t="shared" si="118"/>
        <v>1.5135384029994294</v>
      </c>
      <c r="S170">
        <f t="shared" si="119"/>
        <v>0.88489475519040606</v>
      </c>
      <c r="T170">
        <f t="shared" si="120"/>
        <v>-0.48452831282257264</v>
      </c>
      <c r="U170">
        <f t="shared" si="121"/>
        <v>0.91986803409643692</v>
      </c>
      <c r="V170">
        <f t="shared" si="122"/>
        <v>-0.40305242645851247</v>
      </c>
      <c r="X170">
        <f t="shared" si="139"/>
        <v>-5.9315939975441907</v>
      </c>
      <c r="Y170">
        <f t="shared" si="123"/>
        <v>-116.15195144141016</v>
      </c>
      <c r="Z170">
        <f t="shared" si="140"/>
        <v>63.848048558589838</v>
      </c>
      <c r="AC170">
        <v>1</v>
      </c>
      <c r="AD170">
        <f t="shared" si="124"/>
        <v>19.756345202496</v>
      </c>
      <c r="AE170">
        <f t="shared" si="125"/>
        <v>-1.266154333132094E-3</v>
      </c>
      <c r="AF170">
        <f t="shared" si="126"/>
        <v>2.9694333727799996E-3</v>
      </c>
      <c r="AG170">
        <f t="shared" si="141"/>
        <v>5508.1807516864174</v>
      </c>
      <c r="AH170">
        <f t="shared" si="142"/>
        <v>-2685.4304930765484</v>
      </c>
      <c r="AJ170">
        <f t="shared" si="127"/>
        <v>18000</v>
      </c>
      <c r="AK170">
        <f t="shared" si="128"/>
        <v>9474.8423704704001</v>
      </c>
      <c r="AL170">
        <v>1</v>
      </c>
      <c r="AM170">
        <f t="shared" si="129"/>
        <v>17.445741507532802</v>
      </c>
      <c r="AN170">
        <f t="shared" si="143"/>
        <v>600.27284004606315</v>
      </c>
      <c r="AO170">
        <f t="shared" si="144"/>
        <v>-997.36243096580358</v>
      </c>
      <c r="AQ170">
        <f t="shared" si="130"/>
        <v>0.54062820997999672</v>
      </c>
      <c r="AR170">
        <f t="shared" si="131"/>
        <v>-73.525436557279562</v>
      </c>
      <c r="AT170">
        <f t="shared" si="156"/>
        <v>-194469.57144765323</v>
      </c>
      <c r="AU170">
        <f t="shared" si="157"/>
        <v>-406443.21388464578</v>
      </c>
      <c r="AV170">
        <f t="shared" si="145"/>
        <v>-2.01706943300821</v>
      </c>
      <c r="AW170">
        <f t="shared" si="146"/>
        <v>-66710.983285141992</v>
      </c>
      <c r="AX170">
        <f t="shared" si="147"/>
        <v>-50479.141918367321</v>
      </c>
      <c r="AY170">
        <f t="shared" si="155"/>
        <v>-2.4938274126048743</v>
      </c>
      <c r="BA170">
        <f t="shared" si="132"/>
        <v>5.3859345925421254</v>
      </c>
      <c r="BB170">
        <f t="shared" si="148"/>
        <v>14.625221499628982</v>
      </c>
      <c r="BC170">
        <f t="shared" si="149"/>
        <v>0.47675797959666433</v>
      </c>
      <c r="BD170">
        <f t="shared" si="133"/>
        <v>-152.68377988871359</v>
      </c>
      <c r="BF170">
        <f t="shared" si="134"/>
        <v>-5.7330730332931648</v>
      </c>
      <c r="BG170">
        <f t="shared" si="135"/>
        <v>-121.80281631375932</v>
      </c>
      <c r="BH170">
        <f t="shared" si="150"/>
        <v>58.197183686240678</v>
      </c>
      <c r="BI170">
        <f t="shared" si="151"/>
        <v>58.197183686240678</v>
      </c>
      <c r="BJ170">
        <f t="shared" si="136"/>
        <v>0</v>
      </c>
      <c r="BK170">
        <f t="shared" si="152"/>
        <v>0</v>
      </c>
      <c r="BM170">
        <f t="shared" si="153"/>
        <v>-20.358294532922145</v>
      </c>
      <c r="BN170">
        <f t="shared" si="137"/>
        <v>-149.11903642504575</v>
      </c>
      <c r="BQ170" s="56">
        <f t="shared" si="154"/>
        <v>31.527182299914116</v>
      </c>
      <c r="BR170" s="59"/>
      <c r="BS170" s="59"/>
      <c r="BT170" s="59">
        <v>3981.0720000000001</v>
      </c>
      <c r="BU170" s="59">
        <v>3.8980899999999998</v>
      </c>
      <c r="BV170" s="59">
        <v>-244.315</v>
      </c>
      <c r="BW170" s="61"/>
      <c r="BY170" s="59"/>
      <c r="BZ170" s="59"/>
      <c r="CA170" s="59"/>
      <c r="CC170" s="59"/>
    </row>
    <row r="171" spans="1:81" x14ac:dyDescent="0.25">
      <c r="A171">
        <f t="shared" si="158"/>
        <v>68500</v>
      </c>
      <c r="B171">
        <f t="shared" si="138"/>
        <v>68.5</v>
      </c>
      <c r="C171">
        <f t="shared" si="107"/>
        <v>1.1501159568588815</v>
      </c>
      <c r="D171">
        <f t="shared" si="108"/>
        <v>0.51665265054533982</v>
      </c>
      <c r="F171">
        <f t="shared" si="109"/>
        <v>5.4907008836724601E-3</v>
      </c>
      <c r="G171">
        <f t="shared" si="110"/>
        <v>2.5274606320928594E-2</v>
      </c>
      <c r="H171">
        <f t="shared" si="111"/>
        <v>-3.1163180436790716</v>
      </c>
      <c r="J171">
        <f t="shared" si="112"/>
        <v>15</v>
      </c>
      <c r="M171">
        <f t="shared" si="113"/>
        <v>1.8572580566058847E-2</v>
      </c>
      <c r="N171">
        <f t="shared" si="114"/>
        <v>-1.5707963250000001</v>
      </c>
      <c r="O171">
        <f t="shared" si="115"/>
        <v>19.926720201175549</v>
      </c>
      <c r="P171">
        <f t="shared" si="116"/>
        <v>1.5205913656596637</v>
      </c>
      <c r="Q171">
        <f t="shared" si="117"/>
        <v>17.602447115862418</v>
      </c>
      <c r="R171">
        <f t="shared" si="118"/>
        <v>1.5139554411212117</v>
      </c>
      <c r="S171">
        <f t="shared" si="119"/>
        <v>0.88348128343600651</v>
      </c>
      <c r="T171">
        <f t="shared" si="120"/>
        <v>-0.48755418248553223</v>
      </c>
      <c r="U171">
        <f t="shared" si="121"/>
        <v>0.91882543177531106</v>
      </c>
      <c r="V171">
        <f t="shared" si="122"/>
        <v>-0.40570234909373654</v>
      </c>
      <c r="X171">
        <f t="shared" si="139"/>
        <v>-6.0045568799263771</v>
      </c>
      <c r="Y171">
        <f t="shared" si="123"/>
        <v>-116.26295972133191</v>
      </c>
      <c r="Z171">
        <f t="shared" si="140"/>
        <v>63.73704027866809</v>
      </c>
      <c r="AC171">
        <v>1</v>
      </c>
      <c r="AD171">
        <f t="shared" si="124"/>
        <v>19.901612446632001</v>
      </c>
      <c r="AE171">
        <f t="shared" si="125"/>
        <v>-1.2848427053717703E-3</v>
      </c>
      <c r="AF171">
        <f t="shared" si="126"/>
        <v>2.9912674416974999E-3</v>
      </c>
      <c r="AG171">
        <f t="shared" si="141"/>
        <v>5495.7015975447775</v>
      </c>
      <c r="AH171">
        <f t="shared" si="142"/>
        <v>-2694.8817735704802</v>
      </c>
      <c r="AJ171">
        <f t="shared" si="127"/>
        <v>18000</v>
      </c>
      <c r="AK171">
        <f t="shared" si="128"/>
        <v>9544.5103290768002</v>
      </c>
      <c r="AL171">
        <v>1</v>
      </c>
      <c r="AM171">
        <f t="shared" si="129"/>
        <v>17.574019018617602</v>
      </c>
      <c r="AN171">
        <f t="shared" si="143"/>
        <v>599.44398006388428</v>
      </c>
      <c r="AO171">
        <f t="shared" si="144"/>
        <v>-990.12957716173389</v>
      </c>
      <c r="AQ171">
        <f t="shared" si="130"/>
        <v>0.53276505061267976</v>
      </c>
      <c r="AR171">
        <f t="shared" si="131"/>
        <v>-72.988811933937129</v>
      </c>
      <c r="AT171">
        <f t="shared" si="156"/>
        <v>-193768.30121556259</v>
      </c>
      <c r="AU171">
        <f t="shared" si="157"/>
        <v>-402560.46917272505</v>
      </c>
      <c r="AV171">
        <f t="shared" si="145"/>
        <v>-2.0194044965801687</v>
      </c>
      <c r="AW171">
        <f t="shared" si="146"/>
        <v>-65666.917751171088</v>
      </c>
      <c r="AX171">
        <f t="shared" si="147"/>
        <v>-50072.486684938252</v>
      </c>
      <c r="AY171">
        <f t="shared" si="155"/>
        <v>-2.490125348726933</v>
      </c>
      <c r="BA171">
        <f t="shared" si="132"/>
        <v>5.4101390899514676</v>
      </c>
      <c r="BB171">
        <f t="shared" si="148"/>
        <v>14.664168611639379</v>
      </c>
      <c r="BC171">
        <f t="shared" si="149"/>
        <v>0.47072085214676429</v>
      </c>
      <c r="BD171">
        <f t="shared" si="133"/>
        <v>-153.02968181237068</v>
      </c>
      <c r="BF171">
        <f t="shared" si="134"/>
        <v>-5.8066179214676596</v>
      </c>
      <c r="BG171">
        <f t="shared" si="135"/>
        <v>-121.97953715535147</v>
      </c>
      <c r="BH171">
        <f t="shared" si="150"/>
        <v>58.020462844648534</v>
      </c>
      <c r="BI171">
        <f t="shared" si="151"/>
        <v>58.020462844648534</v>
      </c>
      <c r="BJ171">
        <f t="shared" si="136"/>
        <v>0</v>
      </c>
      <c r="BK171">
        <f t="shared" si="152"/>
        <v>0</v>
      </c>
      <c r="BM171">
        <f t="shared" si="153"/>
        <v>-20.470786533107038</v>
      </c>
      <c r="BN171">
        <f t="shared" si="137"/>
        <v>-148.94985534298078</v>
      </c>
      <c r="BQ171" s="56">
        <f t="shared" si="154"/>
        <v>31.566129411924514</v>
      </c>
      <c r="BR171" s="59"/>
      <c r="BS171" s="59"/>
      <c r="BT171" s="59">
        <v>4073.8029999999999</v>
      </c>
      <c r="BU171" s="59">
        <v>3.5600999999999998</v>
      </c>
      <c r="BV171" s="59">
        <v>-244.142</v>
      </c>
      <c r="BW171" s="61"/>
      <c r="BY171" s="59"/>
      <c r="BZ171" s="59"/>
      <c r="CA171" s="59"/>
      <c r="CC171" s="59"/>
    </row>
    <row r="172" spans="1:81" x14ac:dyDescent="0.25">
      <c r="A172">
        <f t="shared" si="158"/>
        <v>69000</v>
      </c>
      <c r="B172">
        <f t="shared" si="138"/>
        <v>69</v>
      </c>
      <c r="C172">
        <f t="shared" si="107"/>
        <v>1.1521700542261282</v>
      </c>
      <c r="D172">
        <f t="shared" si="108"/>
        <v>0.51978208817162952</v>
      </c>
      <c r="F172">
        <f t="shared" si="109"/>
        <v>5.4110073660212053E-3</v>
      </c>
      <c r="G172">
        <f t="shared" si="110"/>
        <v>2.5089533365779217E-2</v>
      </c>
      <c r="H172">
        <f t="shared" si="111"/>
        <v>-3.1165031166342212</v>
      </c>
      <c r="J172">
        <f t="shared" si="112"/>
        <v>15</v>
      </c>
      <c r="M172">
        <f t="shared" si="113"/>
        <v>1.8437996648913494E-2</v>
      </c>
      <c r="N172">
        <f t="shared" si="114"/>
        <v>-1.5707963250000001</v>
      </c>
      <c r="O172">
        <f t="shared" si="115"/>
        <v>20.071805731825087</v>
      </c>
      <c r="P172">
        <f t="shared" si="116"/>
        <v>1.5209545653248298</v>
      </c>
      <c r="Q172">
        <f t="shared" si="117"/>
        <v>17.730518955335562</v>
      </c>
      <c r="R172">
        <f t="shared" si="118"/>
        <v>1.5143664545785829</v>
      </c>
      <c r="S172">
        <f t="shared" si="119"/>
        <v>0.8820642826103462</v>
      </c>
      <c r="T172">
        <f t="shared" si="120"/>
        <v>-0.49057037340751675</v>
      </c>
      <c r="U172">
        <f t="shared" si="121"/>
        <v>0.91777876737722908</v>
      </c>
      <c r="V172">
        <f t="shared" si="122"/>
        <v>-0.40834625303075606</v>
      </c>
      <c r="X172">
        <f t="shared" si="139"/>
        <v>-6.0770833173095573</v>
      </c>
      <c r="Y172">
        <f t="shared" si="123"/>
        <v>-116.37420045515491</v>
      </c>
      <c r="Z172">
        <f t="shared" si="140"/>
        <v>63.625799544845094</v>
      </c>
      <c r="AC172">
        <v>1</v>
      </c>
      <c r="AD172">
        <f t="shared" si="124"/>
        <v>20.046879690768002</v>
      </c>
      <c r="AE172">
        <f t="shared" si="125"/>
        <v>-1.3036679887633862E-3</v>
      </c>
      <c r="AF172">
        <f t="shared" si="126"/>
        <v>3.0131015106150002E-3</v>
      </c>
      <c r="AG172">
        <f t="shared" si="141"/>
        <v>5483.1880584745077</v>
      </c>
      <c r="AH172">
        <f t="shared" si="142"/>
        <v>-2704.275551121325</v>
      </c>
      <c r="AJ172">
        <f t="shared" si="127"/>
        <v>18000</v>
      </c>
      <c r="AK172">
        <f t="shared" si="128"/>
        <v>9614.1782876831985</v>
      </c>
      <c r="AL172">
        <v>1</v>
      </c>
      <c r="AM172">
        <f t="shared" si="129"/>
        <v>17.702296529702402</v>
      </c>
      <c r="AN172">
        <f t="shared" si="143"/>
        <v>598.63299698796277</v>
      </c>
      <c r="AO172">
        <f t="shared" si="144"/>
        <v>-983.0005374621627</v>
      </c>
      <c r="AQ172">
        <f t="shared" si="130"/>
        <v>0.52507219742714628</v>
      </c>
      <c r="AR172">
        <f t="shared" si="131"/>
        <v>-72.459963244946181</v>
      </c>
      <c r="AT172">
        <f t="shared" si="156"/>
        <v>-193072.63743568829</v>
      </c>
      <c r="AU172">
        <f t="shared" si="157"/>
        <v>-398731.54508826643</v>
      </c>
      <c r="AV172">
        <f t="shared" si="145"/>
        <v>-2.0217380913158221</v>
      </c>
      <c r="AW172">
        <f t="shared" si="146"/>
        <v>-64645.669145122512</v>
      </c>
      <c r="AX172">
        <f t="shared" si="147"/>
        <v>-49673.266408240226</v>
      </c>
      <c r="AY172">
        <f t="shared" si="155"/>
        <v>-2.4864237001433578</v>
      </c>
      <c r="BA172">
        <f t="shared" si="132"/>
        <v>5.4340524715859626</v>
      </c>
      <c r="BB172">
        <f t="shared" si="148"/>
        <v>14.702476553592604</v>
      </c>
      <c r="BC172">
        <f t="shared" si="149"/>
        <v>0.46468560882753573</v>
      </c>
      <c r="BD172">
        <f t="shared" si="133"/>
        <v>-153.37547578329213</v>
      </c>
      <c r="BF172">
        <f t="shared" si="134"/>
        <v>-5.8798040946233421</v>
      </c>
      <c r="BG172">
        <f t="shared" si="135"/>
        <v>-122.15663145707641</v>
      </c>
      <c r="BH172">
        <f t="shared" si="150"/>
        <v>57.843368542923585</v>
      </c>
      <c r="BI172">
        <f t="shared" si="151"/>
        <v>57.843368542923585</v>
      </c>
      <c r="BJ172">
        <f t="shared" si="136"/>
        <v>0</v>
      </c>
      <c r="BK172">
        <f t="shared" si="152"/>
        <v>0</v>
      </c>
      <c r="BM172">
        <f t="shared" si="153"/>
        <v>-20.582280648215946</v>
      </c>
      <c r="BN172">
        <f t="shared" si="137"/>
        <v>-148.7811556737843</v>
      </c>
      <c r="BQ172" s="56">
        <f t="shared" si="154"/>
        <v>31.604437353877742</v>
      </c>
      <c r="BR172" s="59"/>
      <c r="BS172" s="59"/>
      <c r="BT172" s="59">
        <v>4168.6940000000004</v>
      </c>
      <c r="BU172" s="59">
        <v>3.4098799999999998</v>
      </c>
      <c r="BV172" s="59">
        <v>-243.709</v>
      </c>
      <c r="BW172" s="61"/>
      <c r="BY172" s="59"/>
      <c r="BZ172" s="59"/>
      <c r="CA172" s="59"/>
      <c r="CC172" s="59"/>
    </row>
    <row r="173" spans="1:81" x14ac:dyDescent="0.25">
      <c r="A173">
        <f t="shared" si="158"/>
        <v>69500</v>
      </c>
      <c r="B173">
        <f t="shared" si="138"/>
        <v>69.5</v>
      </c>
      <c r="C173">
        <f t="shared" si="107"/>
        <v>1.1542353950069264</v>
      </c>
      <c r="D173">
        <f t="shared" si="108"/>
        <v>0.52290035687461767</v>
      </c>
      <c r="F173">
        <f t="shared" si="109"/>
        <v>5.33303924160508E-3</v>
      </c>
      <c r="G173">
        <f t="shared" si="110"/>
        <v>2.4907164672908197E-2</v>
      </c>
      <c r="H173">
        <f t="shared" si="111"/>
        <v>-3.1166854853270922</v>
      </c>
      <c r="J173">
        <f t="shared" si="112"/>
        <v>15</v>
      </c>
      <c r="M173">
        <f t="shared" si="113"/>
        <v>1.8305349191007642E-2</v>
      </c>
      <c r="N173">
        <f t="shared" si="114"/>
        <v>-1.5707963250000001</v>
      </c>
      <c r="O173">
        <f t="shared" si="115"/>
        <v>20.216893872223618</v>
      </c>
      <c r="P173">
        <f t="shared" si="116"/>
        <v>1.5213125519743185</v>
      </c>
      <c r="Q173">
        <f t="shared" si="117"/>
        <v>17.858593747100986</v>
      </c>
      <c r="R173">
        <f t="shared" si="118"/>
        <v>1.5147715728507118</v>
      </c>
      <c r="S173">
        <f t="shared" si="119"/>
        <v>0.88064384682594077</v>
      </c>
      <c r="T173">
        <f t="shared" si="120"/>
        <v>-0.49357687733722055</v>
      </c>
      <c r="U173">
        <f t="shared" si="121"/>
        <v>0.91672809859102966</v>
      </c>
      <c r="V173">
        <f t="shared" si="122"/>
        <v>-0.41098412191460026</v>
      </c>
      <c r="X173">
        <f t="shared" si="139"/>
        <v>-6.1491803707753192</v>
      </c>
      <c r="Y173">
        <f t="shared" si="123"/>
        <v>-116.48566182451047</v>
      </c>
      <c r="Z173">
        <f t="shared" si="140"/>
        <v>63.514338175489527</v>
      </c>
      <c r="AC173">
        <v>1</v>
      </c>
      <c r="AD173">
        <f t="shared" si="124"/>
        <v>20.192146934903999</v>
      </c>
      <c r="AE173">
        <f t="shared" si="125"/>
        <v>-1.322630183306941E-3</v>
      </c>
      <c r="AF173">
        <f t="shared" si="126"/>
        <v>3.0349355795325E-3</v>
      </c>
      <c r="AG173">
        <f t="shared" si="141"/>
        <v>5470.640989059787</v>
      </c>
      <c r="AH173">
        <f t="shared" si="142"/>
        <v>-2713.6111058526076</v>
      </c>
      <c r="AJ173">
        <f t="shared" si="127"/>
        <v>18000</v>
      </c>
      <c r="AK173">
        <f t="shared" si="128"/>
        <v>9683.8462462895986</v>
      </c>
      <c r="AL173">
        <v>1</v>
      </c>
      <c r="AM173">
        <f t="shared" si="129"/>
        <v>17.830574040787202</v>
      </c>
      <c r="AN173">
        <f t="shared" si="143"/>
        <v>597.83938092944356</v>
      </c>
      <c r="AO173">
        <f t="shared" si="144"/>
        <v>-975.97309987122935</v>
      </c>
      <c r="AQ173">
        <f t="shared" si="130"/>
        <v>0.51754476762239932</v>
      </c>
      <c r="AR173">
        <f t="shared" si="131"/>
        <v>-71.938722699513505</v>
      </c>
      <c r="AT173">
        <f t="shared" si="156"/>
        <v>-192382.4152388224</v>
      </c>
      <c r="AU173">
        <f t="shared" si="157"/>
        <v>-394955.34032976039</v>
      </c>
      <c r="AV173">
        <f t="shared" si="145"/>
        <v>-2.024070103039783</v>
      </c>
      <c r="AW173">
        <f t="shared" si="146"/>
        <v>-63646.58732818225</v>
      </c>
      <c r="AX173">
        <f t="shared" si="147"/>
        <v>-49281.277276012275</v>
      </c>
      <c r="AY173">
        <f t="shared" si="155"/>
        <v>-2.4827227667822189</v>
      </c>
      <c r="BA173">
        <f t="shared" si="132"/>
        <v>5.4576744515955333</v>
      </c>
      <c r="BB173">
        <f t="shared" si="148"/>
        <v>14.740152531799144</v>
      </c>
      <c r="BC173">
        <f t="shared" si="149"/>
        <v>0.45865266374243596</v>
      </c>
      <c r="BD173">
        <f t="shared" si="133"/>
        <v>-153.72113807509754</v>
      </c>
      <c r="BF173">
        <f t="shared" si="134"/>
        <v>-5.9526389414319789</v>
      </c>
      <c r="BG173">
        <f t="shared" si="135"/>
        <v>-122.33407906903744</v>
      </c>
      <c r="BH173">
        <f t="shared" si="150"/>
        <v>57.665920930962557</v>
      </c>
      <c r="BI173">
        <f t="shared" si="151"/>
        <v>57.665920930962557</v>
      </c>
      <c r="BJ173">
        <f t="shared" si="136"/>
        <v>0</v>
      </c>
      <c r="BK173">
        <f t="shared" si="152"/>
        <v>0</v>
      </c>
      <c r="BM173">
        <f t="shared" si="153"/>
        <v>-20.692791473231122</v>
      </c>
      <c r="BN173">
        <f t="shared" si="137"/>
        <v>-148.61294099393993</v>
      </c>
      <c r="BQ173" s="56">
        <f t="shared" si="154"/>
        <v>31.642113332084278</v>
      </c>
      <c r="BR173" s="59"/>
      <c r="BS173" s="59"/>
      <c r="BT173" s="59">
        <v>4265.7950000000001</v>
      </c>
      <c r="BU173" s="59">
        <v>3.2244999999999999</v>
      </c>
      <c r="BV173" s="59">
        <v>-243.32400000000001</v>
      </c>
      <c r="BW173" s="61"/>
      <c r="BY173" s="59"/>
      <c r="BZ173" s="59"/>
      <c r="CA173" s="59"/>
      <c r="CC173" s="59"/>
    </row>
    <row r="174" spans="1:81" x14ac:dyDescent="0.25">
      <c r="A174">
        <f t="shared" si="158"/>
        <v>70000</v>
      </c>
      <c r="B174">
        <f t="shared" si="138"/>
        <v>70</v>
      </c>
      <c r="C174">
        <f t="shared" si="107"/>
        <v>1.1563119189541766</v>
      </c>
      <c r="D174">
        <f t="shared" si="108"/>
        <v>0.52600745602328525</v>
      </c>
      <c r="F174">
        <f t="shared" si="109"/>
        <v>5.2567469798447033E-3</v>
      </c>
      <c r="G174">
        <f t="shared" si="110"/>
        <v>2.472744111571409E-2</v>
      </c>
      <c r="H174">
        <f t="shared" si="111"/>
        <v>-3.1168652088842861</v>
      </c>
      <c r="J174">
        <f t="shared" si="112"/>
        <v>15</v>
      </c>
      <c r="M174">
        <f t="shared" si="113"/>
        <v>1.8174596696786158E-2</v>
      </c>
      <c r="N174">
        <f t="shared" si="114"/>
        <v>-1.5707963250000001</v>
      </c>
      <c r="O174">
        <f t="shared" si="115"/>
        <v>20.361984566584301</v>
      </c>
      <c r="P174">
        <f t="shared" si="116"/>
        <v>1.5216654369524643</v>
      </c>
      <c r="Q174">
        <f t="shared" si="117"/>
        <v>17.986671428092954</v>
      </c>
      <c r="R174">
        <f t="shared" si="118"/>
        <v>1.5151709217367078</v>
      </c>
      <c r="S174">
        <f t="shared" si="119"/>
        <v>0.87922006949995712</v>
      </c>
      <c r="T174">
        <f t="shared" si="120"/>
        <v>-0.49657368677673558</v>
      </c>
      <c r="U174">
        <f t="shared" si="121"/>
        <v>0.91567348294319273</v>
      </c>
      <c r="V174">
        <f t="shared" si="122"/>
        <v>-0.41361593980082462</v>
      </c>
      <c r="X174">
        <f t="shared" si="139"/>
        <v>-6.220854933364242</v>
      </c>
      <c r="Y174">
        <f t="shared" si="123"/>
        <v>-116.59733232279177</v>
      </c>
      <c r="Z174">
        <f t="shared" si="140"/>
        <v>63.402667677208228</v>
      </c>
      <c r="AC174">
        <v>1</v>
      </c>
      <c r="AD174">
        <f t="shared" si="124"/>
        <v>20.33741417904</v>
      </c>
      <c r="AE174">
        <f t="shared" si="125"/>
        <v>-1.3417292890024349E-3</v>
      </c>
      <c r="AF174">
        <f t="shared" si="126"/>
        <v>3.0567696484499998E-3</v>
      </c>
      <c r="AG174">
        <f t="shared" si="141"/>
        <v>5458.0612394251139</v>
      </c>
      <c r="AH174">
        <f t="shared" si="142"/>
        <v>-2722.8877486159558</v>
      </c>
      <c r="AJ174">
        <f t="shared" si="127"/>
        <v>18000</v>
      </c>
      <c r="AK174">
        <f t="shared" si="128"/>
        <v>9753.5142048960006</v>
      </c>
      <c r="AL174">
        <v>1</v>
      </c>
      <c r="AM174">
        <f t="shared" si="129"/>
        <v>17.958851551872002</v>
      </c>
      <c r="AN174">
        <f t="shared" si="143"/>
        <v>597.06264003096624</v>
      </c>
      <c r="AO174">
        <f t="shared" si="144"/>
        <v>-969.04511458891034</v>
      </c>
      <c r="AQ174">
        <f t="shared" si="130"/>
        <v>0.51017805214019696</v>
      </c>
      <c r="AR174">
        <f t="shared" si="131"/>
        <v>-71.424927299627569</v>
      </c>
      <c r="AT174">
        <f t="shared" si="156"/>
        <v>-191697.4764383494</v>
      </c>
      <c r="AU174">
        <f t="shared" si="157"/>
        <v>-391230.78479063918</v>
      </c>
      <c r="AV174">
        <f t="shared" si="145"/>
        <v>-2.0264004207687401</v>
      </c>
      <c r="AW174">
        <f t="shared" si="146"/>
        <v>-62669.045104199031</v>
      </c>
      <c r="AX174">
        <f t="shared" si="147"/>
        <v>-48896.322760405412</v>
      </c>
      <c r="AY174">
        <f t="shared" si="155"/>
        <v>-2.4790228438288486</v>
      </c>
      <c r="BA174">
        <f t="shared" si="132"/>
        <v>5.4810047948169203</v>
      </c>
      <c r="BB174">
        <f t="shared" si="148"/>
        <v>14.777203639917346</v>
      </c>
      <c r="BC174">
        <f t="shared" si="149"/>
        <v>0.45262242306010858</v>
      </c>
      <c r="BD174">
        <f t="shared" si="133"/>
        <v>-154.06664541603777</v>
      </c>
      <c r="BF174">
        <f t="shared" si="134"/>
        <v>-6.0251296566117416</v>
      </c>
      <c r="BG174">
        <f t="shared" si="135"/>
        <v>-122.51186014334499</v>
      </c>
      <c r="BH174">
        <f t="shared" si="150"/>
        <v>57.48813985665501</v>
      </c>
      <c r="BI174">
        <f t="shared" si="151"/>
        <v>57.48813985665501</v>
      </c>
      <c r="BJ174">
        <f t="shared" si="136"/>
        <v>0</v>
      </c>
      <c r="BK174">
        <f t="shared" si="152"/>
        <v>0</v>
      </c>
      <c r="BM174">
        <f t="shared" si="153"/>
        <v>-20.802333296529088</v>
      </c>
      <c r="BN174">
        <f t="shared" si="137"/>
        <v>-148.44521472730722</v>
      </c>
      <c r="BQ174" s="56">
        <f t="shared" si="154"/>
        <v>31.679164440202484</v>
      </c>
      <c r="BR174" s="59"/>
      <c r="BS174" s="59"/>
      <c r="BT174" s="59">
        <v>4365.1580000000004</v>
      </c>
      <c r="BU174" s="59">
        <v>3.07782</v>
      </c>
      <c r="BV174" s="59">
        <v>-242.172</v>
      </c>
      <c r="BW174" s="61"/>
      <c r="BY174" s="59"/>
      <c r="BZ174" s="59"/>
      <c r="CA174" s="59"/>
      <c r="CC174" s="59"/>
    </row>
    <row r="175" spans="1:81" x14ac:dyDescent="0.25">
      <c r="A175">
        <f t="shared" si="158"/>
        <v>70500</v>
      </c>
      <c r="B175">
        <f t="shared" si="138"/>
        <v>70.5</v>
      </c>
      <c r="C175">
        <f t="shared" si="107"/>
        <v>1.1583995659277173</v>
      </c>
      <c r="D175">
        <f t="shared" si="108"/>
        <v>0.52910338585376948</v>
      </c>
      <c r="F175">
        <f t="shared" si="109"/>
        <v>5.1820828176299735E-3</v>
      </c>
      <c r="G175">
        <f t="shared" si="110"/>
        <v>2.4550305286680042E-2</v>
      </c>
      <c r="H175">
        <f t="shared" si="111"/>
        <v>-3.1170423447133202</v>
      </c>
      <c r="J175">
        <f t="shared" si="112"/>
        <v>15</v>
      </c>
      <c r="M175">
        <f t="shared" si="113"/>
        <v>1.8045698847872781E-2</v>
      </c>
      <c r="N175">
        <f t="shared" si="114"/>
        <v>-1.5707963250000001</v>
      </c>
      <c r="O175">
        <f t="shared" si="115"/>
        <v>20.507077760698117</v>
      </c>
      <c r="P175">
        <f t="shared" si="116"/>
        <v>1.5220133284576005</v>
      </c>
      <c r="Q175">
        <f t="shared" si="117"/>
        <v>18.114751937027915</v>
      </c>
      <c r="R175">
        <f t="shared" si="118"/>
        <v>1.515564623485306</v>
      </c>
      <c r="S175">
        <f t="shared" si="119"/>
        <v>0.87779304334695862</v>
      </c>
      <c r="T175">
        <f t="shared" si="120"/>
        <v>-0.49956079497294054</v>
      </c>
      <c r="U175">
        <f t="shared" si="121"/>
        <v>0.91461497779193068</v>
      </c>
      <c r="V175">
        <f t="shared" si="122"/>
        <v>-0.41624169115334159</v>
      </c>
      <c r="X175">
        <f t="shared" si="139"/>
        <v>-6.2921137351776704</v>
      </c>
      <c r="Y175">
        <f t="shared" si="123"/>
        <v>-116.70920074495551</v>
      </c>
      <c r="Z175">
        <f t="shared" si="140"/>
        <v>63.29079925504449</v>
      </c>
      <c r="AC175">
        <v>1</v>
      </c>
      <c r="AD175">
        <f t="shared" si="124"/>
        <v>20.482681423176</v>
      </c>
      <c r="AE175">
        <f t="shared" si="125"/>
        <v>-1.3609653058498678E-3</v>
      </c>
      <c r="AF175">
        <f t="shared" si="126"/>
        <v>3.0786037173674997E-3</v>
      </c>
      <c r="AG175">
        <f t="shared" si="141"/>
        <v>5445.4496551462671</v>
      </c>
      <c r="AH175">
        <f t="shared" si="142"/>
        <v>-2732.104820102817</v>
      </c>
      <c r="AJ175">
        <f t="shared" si="127"/>
        <v>18000</v>
      </c>
      <c r="AK175">
        <f t="shared" si="128"/>
        <v>9823.1821635024007</v>
      </c>
      <c r="AL175">
        <v>1</v>
      </c>
      <c r="AM175">
        <f t="shared" si="129"/>
        <v>18.087129062956802</v>
      </c>
      <c r="AN175">
        <f t="shared" si="143"/>
        <v>596.30229970763037</v>
      </c>
      <c r="AO175">
        <f t="shared" si="144"/>
        <v>-962.21449184745802</v>
      </c>
      <c r="AQ175">
        <f t="shared" si="130"/>
        <v>0.50296750829896386</v>
      </c>
      <c r="AR175">
        <f t="shared" si="131"/>
        <v>-70.918418670153912</v>
      </c>
      <c r="AT175">
        <f t="shared" si="156"/>
        <v>-191017.66923818074</v>
      </c>
      <c r="AU175">
        <f t="shared" si="157"/>
        <v>-387556.83844468696</v>
      </c>
      <c r="AV175">
        <f t="shared" si="145"/>
        <v>-2.0287289366112145</v>
      </c>
      <c r="AW175">
        <f t="shared" si="146"/>
        <v>-61712.437255279037</v>
      </c>
      <c r="AX175">
        <f t="shared" si="147"/>
        <v>-48518.213299250514</v>
      </c>
      <c r="AY175">
        <f t="shared" si="155"/>
        <v>-2.4753242218141525</v>
      </c>
      <c r="BA175">
        <f t="shared" si="132"/>
        <v>5.5040433166483904</v>
      </c>
      <c r="BB175">
        <f t="shared" si="148"/>
        <v>14.813636862497297</v>
      </c>
      <c r="BC175">
        <f t="shared" si="149"/>
        <v>0.44659528520293801</v>
      </c>
      <c r="BD175">
        <f t="shared" si="133"/>
        <v>-154.41197497819178</v>
      </c>
      <c r="BF175">
        <f t="shared" si="134"/>
        <v>-6.0972832461382911</v>
      </c>
      <c r="BG175">
        <f t="shared" si="135"/>
        <v>-122.68995512775669</v>
      </c>
      <c r="BH175">
        <f t="shared" si="150"/>
        <v>57.31004487224331</v>
      </c>
      <c r="BI175">
        <f t="shared" si="151"/>
        <v>57.31004487224331</v>
      </c>
      <c r="BJ175">
        <f t="shared" si="136"/>
        <v>0</v>
      </c>
      <c r="BK175">
        <f t="shared" si="152"/>
        <v>0</v>
      </c>
      <c r="BM175">
        <f t="shared" si="153"/>
        <v>-20.910920108635587</v>
      </c>
      <c r="BN175">
        <f t="shared" si="137"/>
        <v>-148.27798014956494</v>
      </c>
      <c r="BQ175" s="56">
        <f t="shared" si="154"/>
        <v>31.715597662782432</v>
      </c>
      <c r="BR175" s="59"/>
      <c r="BS175" s="59"/>
      <c r="BT175" s="59">
        <v>4466.8360000000002</v>
      </c>
      <c r="BU175" s="59">
        <v>2.9233199999999999</v>
      </c>
      <c r="BV175" s="59">
        <v>-240.90300000000002</v>
      </c>
      <c r="BW175" s="61"/>
      <c r="BY175" s="59"/>
      <c r="BZ175" s="59"/>
      <c r="CA175" s="59"/>
      <c r="CC175" s="59"/>
    </row>
    <row r="176" spans="1:81" x14ac:dyDescent="0.25">
      <c r="A176">
        <f t="shared" si="158"/>
        <v>71000</v>
      </c>
      <c r="B176">
        <f t="shared" si="138"/>
        <v>71</v>
      </c>
      <c r="C176">
        <f t="shared" si="107"/>
        <v>1.1604982758991482</v>
      </c>
      <c r="D176">
        <f t="shared" si="108"/>
        <v>0.53218814745694909</v>
      </c>
      <c r="F176">
        <f t="shared" si="109"/>
        <v>5.1090006840546903E-3</v>
      </c>
      <c r="G176">
        <f t="shared" si="110"/>
        <v>2.4375701435078417E-2</v>
      </c>
      <c r="H176">
        <f t="shared" si="111"/>
        <v>-3.1172169485649217</v>
      </c>
      <c r="J176">
        <f t="shared" si="112"/>
        <v>15</v>
      </c>
      <c r="M176">
        <f t="shared" si="113"/>
        <v>1.7918616461620157E-2</v>
      </c>
      <c r="N176">
        <f t="shared" si="114"/>
        <v>-1.5707963250000001</v>
      </c>
      <c r="O176">
        <f t="shared" si="115"/>
        <v>20.652173401878525</v>
      </c>
      <c r="P176">
        <f t="shared" si="116"/>
        <v>1.5223563316523054</v>
      </c>
      <c r="Q176">
        <f t="shared" si="117"/>
        <v>18.24283521434204</v>
      </c>
      <c r="R176">
        <f t="shared" si="118"/>
        <v>1.5159527969191171</v>
      </c>
      <c r="S176">
        <f t="shared" si="119"/>
        <v>0.87636286037198197</v>
      </c>
      <c r="T176">
        <f t="shared" si="120"/>
        <v>-0.50253819590885684</v>
      </c>
      <c r="U176">
        <f t="shared" si="121"/>
        <v>0.91355264032138983</v>
      </c>
      <c r="V176">
        <f t="shared" si="122"/>
        <v>-0.41886136084220854</v>
      </c>
      <c r="X176">
        <f t="shared" si="139"/>
        <v>-6.3629633482869412</v>
      </c>
      <c r="Y176">
        <f t="shared" si="123"/>
        <v>-116.82125617774501</v>
      </c>
      <c r="Z176">
        <f t="shared" si="140"/>
        <v>63.178743822254987</v>
      </c>
      <c r="AC176">
        <v>1</v>
      </c>
      <c r="AD176">
        <f t="shared" si="124"/>
        <v>20.627948667312001</v>
      </c>
      <c r="AE176">
        <f t="shared" si="125"/>
        <v>-1.3803382338492399E-3</v>
      </c>
      <c r="AF176">
        <f t="shared" si="126"/>
        <v>3.1004377862849999E-3</v>
      </c>
      <c r="AG176">
        <f t="shared" si="141"/>
        <v>5432.8070771636476</v>
      </c>
      <c r="AH176">
        <f t="shared" si="142"/>
        <v>-2741.261689988467</v>
      </c>
      <c r="AJ176">
        <f t="shared" si="127"/>
        <v>18000</v>
      </c>
      <c r="AK176">
        <f t="shared" si="128"/>
        <v>9892.850122108799</v>
      </c>
      <c r="AL176">
        <v>1</v>
      </c>
      <c r="AM176">
        <f t="shared" si="129"/>
        <v>18.215406574041602</v>
      </c>
      <c r="AN176">
        <f t="shared" si="143"/>
        <v>595.55790192494283</v>
      </c>
      <c r="AO176">
        <f t="shared" si="144"/>
        <v>-955.47919983722829</v>
      </c>
      <c r="AQ176">
        <f t="shared" si="130"/>
        <v>0.49590875278948676</v>
      </c>
      <c r="AR176">
        <f t="shared" si="131"/>
        <v>-70.419042896107115</v>
      </c>
      <c r="AT176">
        <f t="shared" si="156"/>
        <v>-190342.84795497081</v>
      </c>
      <c r="AU176">
        <f t="shared" si="157"/>
        <v>-383932.490278813</v>
      </c>
      <c r="AV176">
        <f t="shared" si="145"/>
        <v>-2.0310555456713839</v>
      </c>
      <c r="AW176">
        <f t="shared" si="146"/>
        <v>-60776.179624307631</v>
      </c>
      <c r="AX176">
        <f t="shared" si="147"/>
        <v>-48146.765993721026</v>
      </c>
      <c r="AY176">
        <f t="shared" si="155"/>
        <v>-2.471627186697523</v>
      </c>
      <c r="BA176">
        <f t="shared" si="132"/>
        <v>5.5267898828997559</v>
      </c>
      <c r="BB176">
        <f t="shared" si="148"/>
        <v>14.849459078384964</v>
      </c>
      <c r="BC176">
        <f t="shared" si="149"/>
        <v>0.4405716410261391</v>
      </c>
      <c r="BD176">
        <f t="shared" si="133"/>
        <v>-154.75710436720527</v>
      </c>
      <c r="BF176">
        <f t="shared" si="134"/>
        <v>-6.1691065322772332</v>
      </c>
      <c r="BG176">
        <f t="shared" si="135"/>
        <v>-122.86834475969697</v>
      </c>
      <c r="BH176">
        <f t="shared" si="150"/>
        <v>57.131655240303033</v>
      </c>
      <c r="BI176">
        <f t="shared" si="151"/>
        <v>57.131655240303033</v>
      </c>
      <c r="BJ176">
        <f t="shared" si="136"/>
        <v>0</v>
      </c>
      <c r="BK176">
        <f t="shared" si="152"/>
        <v>0</v>
      </c>
      <c r="BM176">
        <f t="shared" si="153"/>
        <v>-21.018565610662201</v>
      </c>
      <c r="BN176">
        <f t="shared" si="137"/>
        <v>-148.11124039249171</v>
      </c>
      <c r="BQ176" s="56">
        <f t="shared" si="154"/>
        <v>31.751419878670099</v>
      </c>
      <c r="BR176" s="59"/>
      <c r="BS176" s="59"/>
      <c r="BT176" s="59">
        <v>4570.8819999999996</v>
      </c>
      <c r="BU176" s="59">
        <v>2.7266900000000001</v>
      </c>
      <c r="BV176" s="59">
        <v>-241.25200000000001</v>
      </c>
      <c r="BW176" s="61"/>
      <c r="BY176" s="59"/>
      <c r="BZ176" s="59"/>
      <c r="CA176" s="59"/>
      <c r="CC176" s="59"/>
    </row>
    <row r="177" spans="1:81" x14ac:dyDescent="0.25">
      <c r="A177">
        <f t="shared" si="158"/>
        <v>71500</v>
      </c>
      <c r="B177">
        <f t="shared" si="138"/>
        <v>71.5</v>
      </c>
      <c r="C177">
        <f t="shared" si="107"/>
        <v>1.162607988956555</v>
      </c>
      <c r="D177">
        <f t="shared" si="108"/>
        <v>0.53526174276603211</v>
      </c>
      <c r="F177">
        <f t="shared" si="109"/>
        <v>5.0374561288696728E-3</v>
      </c>
      <c r="G177">
        <f t="shared" si="110"/>
        <v>2.4203575407375694E-2</v>
      </c>
      <c r="H177">
        <f t="shared" si="111"/>
        <v>-3.1173890745926247</v>
      </c>
      <c r="J177">
        <f t="shared" si="112"/>
        <v>15</v>
      </c>
      <c r="M177">
        <f t="shared" si="113"/>
        <v>1.7793311451399035E-2</v>
      </c>
      <c r="N177">
        <f t="shared" si="114"/>
        <v>-1.5707963250000001</v>
      </c>
      <c r="O177">
        <f t="shared" si="115"/>
        <v>20.797271438908428</v>
      </c>
      <c r="P177">
        <f t="shared" si="116"/>
        <v>1.5226945487690469</v>
      </c>
      <c r="Q177">
        <f t="shared" si="117"/>
        <v>18.370921202131363</v>
      </c>
      <c r="R177">
        <f t="shared" si="118"/>
        <v>1.5163355575536968</v>
      </c>
      <c r="S177">
        <f t="shared" si="119"/>
        <v>0.87492961186393881</v>
      </c>
      <c r="T177">
        <f t="shared" si="120"/>
        <v>-0.50550588429497345</v>
      </c>
      <c r="U177">
        <f t="shared" si="121"/>
        <v>0.91248652753595993</v>
      </c>
      <c r="V177">
        <f t="shared" si="122"/>
        <v>-0.42147493414137516</v>
      </c>
      <c r="X177">
        <f t="shared" si="139"/>
        <v>-6.4334101914588393</v>
      </c>
      <c r="Y177">
        <f t="shared" si="123"/>
        <v>-116.93348799031459</v>
      </c>
      <c r="Z177">
        <f t="shared" si="140"/>
        <v>63.066512009685411</v>
      </c>
      <c r="AC177">
        <v>1</v>
      </c>
      <c r="AD177">
        <f t="shared" si="124"/>
        <v>20.773215911447998</v>
      </c>
      <c r="AE177">
        <f t="shared" si="125"/>
        <v>-1.3998480730005507E-3</v>
      </c>
      <c r="AF177">
        <f t="shared" si="126"/>
        <v>3.1222718552024998E-3</v>
      </c>
      <c r="AG177">
        <f t="shared" si="141"/>
        <v>5420.1343416979016</v>
      </c>
      <c r="AH177">
        <f t="shared" si="142"/>
        <v>-2750.3577561067209</v>
      </c>
      <c r="AJ177">
        <f t="shared" si="127"/>
        <v>18000</v>
      </c>
      <c r="AK177">
        <f t="shared" si="128"/>
        <v>9962.5180807151992</v>
      </c>
      <c r="AL177">
        <v>1</v>
      </c>
      <c r="AM177">
        <f t="shared" si="129"/>
        <v>18.343684085126402</v>
      </c>
      <c r="AN177">
        <f t="shared" si="143"/>
        <v>594.82900451169871</v>
      </c>
      <c r="AO177">
        <f t="shared" si="144"/>
        <v>-948.83726271763055</v>
      </c>
      <c r="AQ177">
        <f t="shared" si="130"/>
        <v>0.48899755501222492</v>
      </c>
      <c r="AR177">
        <f t="shared" si="131"/>
        <v>-69.926650366748163</v>
      </c>
      <c r="AT177">
        <f t="shared" si="156"/>
        <v>-189672.87275382061</v>
      </c>
      <c r="AU177">
        <f t="shared" si="157"/>
        <v>-380356.75727085897</v>
      </c>
      <c r="AV177">
        <f t="shared" si="145"/>
        <v>-2.0333801459567882</v>
      </c>
      <c r="AW177">
        <f t="shared" si="146"/>
        <v>-59859.708241808934</v>
      </c>
      <c r="AX177">
        <f t="shared" si="147"/>
        <v>-47781.804321426673</v>
      </c>
      <c r="AY177">
        <f t="shared" si="155"/>
        <v>-2.4679320199446888</v>
      </c>
      <c r="BA177">
        <f t="shared" si="132"/>
        <v>5.5492444096178151</v>
      </c>
      <c r="BB177">
        <f t="shared" si="148"/>
        <v>14.884677063992013</v>
      </c>
      <c r="BC177">
        <f t="shared" si="149"/>
        <v>0.43455187398790063</v>
      </c>
      <c r="BD177">
        <f t="shared" si="133"/>
        <v>-155.10201161254241</v>
      </c>
      <c r="BF177">
        <f t="shared" si="134"/>
        <v>-6.2406061584464956</v>
      </c>
      <c r="BG177">
        <f t="shared" si="135"/>
        <v>-123.04701006063422</v>
      </c>
      <c r="BH177">
        <f t="shared" si="150"/>
        <v>56.952989939365779</v>
      </c>
      <c r="BI177">
        <f t="shared" si="151"/>
        <v>56.952989939365779</v>
      </c>
      <c r="BJ177">
        <f t="shared" si="136"/>
        <v>0</v>
      </c>
      <c r="BK177">
        <f t="shared" si="152"/>
        <v>0</v>
      </c>
      <c r="BM177">
        <f t="shared" si="153"/>
        <v>-21.125283222438508</v>
      </c>
      <c r="BN177">
        <f t="shared" si="137"/>
        <v>-147.94499844809181</v>
      </c>
      <c r="BQ177" s="56">
        <f t="shared" si="154"/>
        <v>31.786637864277154</v>
      </c>
      <c r="BR177" s="59"/>
      <c r="BS177" s="59"/>
      <c r="BT177" s="59">
        <v>4677.3509999999997</v>
      </c>
      <c r="BU177" s="59">
        <v>2.54392</v>
      </c>
      <c r="BV177" s="59">
        <v>-240.63800000000001</v>
      </c>
      <c r="BW177" s="61"/>
      <c r="BY177" s="59"/>
      <c r="BZ177" s="59"/>
      <c r="CA177" s="59"/>
      <c r="CC177" s="59"/>
    </row>
    <row r="178" spans="1:81" x14ac:dyDescent="0.25">
      <c r="A178">
        <f t="shared" si="158"/>
        <v>72000</v>
      </c>
      <c r="B178">
        <f t="shared" si="138"/>
        <v>72</v>
      </c>
      <c r="C178">
        <f t="shared" si="107"/>
        <v>1.1647286453091354</v>
      </c>
      <c r="D178">
        <f t="shared" si="108"/>
        <v>0.53832417454415138</v>
      </c>
      <c r="F178">
        <f t="shared" si="109"/>
        <v>4.9674062544455919E-3</v>
      </c>
      <c r="G178">
        <f t="shared" si="110"/>
        <v>2.4033874590201558E-2</v>
      </c>
      <c r="H178">
        <f t="shared" si="111"/>
        <v>-3.1175587754097989</v>
      </c>
      <c r="J178">
        <f t="shared" si="112"/>
        <v>15</v>
      </c>
      <c r="M178">
        <f t="shared" si="113"/>
        <v>1.76697467885421E-2</v>
      </c>
      <c r="N178">
        <f t="shared" si="114"/>
        <v>-1.5707963250000001</v>
      </c>
      <c r="O178">
        <f t="shared" si="115"/>
        <v>20.942371821989301</v>
      </c>
      <c r="P178">
        <f t="shared" si="116"/>
        <v>1.5230280792114501</v>
      </c>
      <c r="Q178">
        <f t="shared" si="117"/>
        <v>18.499009844094399</v>
      </c>
      <c r="R178">
        <f t="shared" si="118"/>
        <v>1.516713017711691</v>
      </c>
      <c r="S178">
        <f t="shared" si="119"/>
        <v>0.8734933883893401</v>
      </c>
      <c r="T178">
        <f t="shared" si="120"/>
        <v>-0.50846385556054619</v>
      </c>
      <c r="U178">
        <f t="shared" si="121"/>
        <v>0.91141669625469279</v>
      </c>
      <c r="V178">
        <f t="shared" si="122"/>
        <v>-0.42408239672639009</v>
      </c>
      <c r="X178">
        <f t="shared" si="139"/>
        <v>-6.5034605347056331</v>
      </c>
      <c r="Y178">
        <f t="shared" si="123"/>
        <v>-117.04588582523571</v>
      </c>
      <c r="Z178">
        <f t="shared" si="140"/>
        <v>62.954114174764285</v>
      </c>
      <c r="AC178">
        <v>1</v>
      </c>
      <c r="AD178">
        <f t="shared" si="124"/>
        <v>20.918483155583999</v>
      </c>
      <c r="AE178">
        <f t="shared" si="125"/>
        <v>-1.4194948233038007E-3</v>
      </c>
      <c r="AF178">
        <f t="shared" si="126"/>
        <v>3.1441059241199996E-3</v>
      </c>
      <c r="AG178">
        <f t="shared" si="141"/>
        <v>5407.4322801679109</v>
      </c>
      <c r="AH178">
        <f t="shared" si="142"/>
        <v>-2759.3924436539091</v>
      </c>
      <c r="AJ178">
        <f t="shared" si="127"/>
        <v>18000</v>
      </c>
      <c r="AK178">
        <f t="shared" si="128"/>
        <v>10032.186039321599</v>
      </c>
      <c r="AL178">
        <v>1</v>
      </c>
      <c r="AM178">
        <f t="shared" si="129"/>
        <v>18.471961596211202</v>
      </c>
      <c r="AN178">
        <f t="shared" si="143"/>
        <v>594.1151805058837</v>
      </c>
      <c r="AO178">
        <f t="shared" si="144"/>
        <v>-942.28675870916982</v>
      </c>
      <c r="AQ178">
        <f t="shared" si="130"/>
        <v>0.48222983073732939</v>
      </c>
      <c r="AR178">
        <f t="shared" si="131"/>
        <v>-69.441095626175439</v>
      </c>
      <c r="AT178">
        <f t="shared" si="156"/>
        <v>-189007.60939672808</v>
      </c>
      <c r="AU178">
        <f t="shared" si="157"/>
        <v>-376828.68341024889</v>
      </c>
      <c r="AV178">
        <f t="shared" si="145"/>
        <v>-2.0357026382897176</v>
      </c>
      <c r="AW178">
        <f t="shared" si="146"/>
        <v>-58962.478494714684</v>
      </c>
      <c r="AX178">
        <f t="shared" si="147"/>
        <v>-47423.157864038614</v>
      </c>
      <c r="AY178">
        <f t="shared" si="155"/>
        <v>-2.4642389986008197</v>
      </c>
      <c r="BA178">
        <f t="shared" si="132"/>
        <v>5.5714068628873141</v>
      </c>
      <c r="BB178">
        <f t="shared" si="148"/>
        <v>14.919297496436478</v>
      </c>
      <c r="BC178">
        <f t="shared" si="149"/>
        <v>0.42853636031110209</v>
      </c>
      <c r="BD178">
        <f t="shared" si="133"/>
        <v>-155.44667515822002</v>
      </c>
      <c r="BF178">
        <f t="shared" si="134"/>
        <v>-6.3117885939166758</v>
      </c>
      <c r="BG178">
        <f t="shared" si="135"/>
        <v>-123.22593233079347</v>
      </c>
      <c r="BH178">
        <f t="shared" si="150"/>
        <v>56.774067669206531</v>
      </c>
      <c r="BI178">
        <f t="shared" si="151"/>
        <v>56.774067669206531</v>
      </c>
      <c r="BJ178">
        <f t="shared" si="136"/>
        <v>0</v>
      </c>
      <c r="BK178">
        <f t="shared" si="152"/>
        <v>0</v>
      </c>
      <c r="BM178">
        <f t="shared" si="153"/>
        <v>-21.231086090353152</v>
      </c>
      <c r="BN178">
        <f t="shared" si="137"/>
        <v>-147.77925717257344</v>
      </c>
      <c r="BQ178" s="56">
        <f t="shared" si="154"/>
        <v>31.821258296721613</v>
      </c>
      <c r="BR178" s="59"/>
      <c r="BS178" s="59"/>
      <c r="BT178" s="59">
        <v>4786.3010000000004</v>
      </c>
      <c r="BU178" s="59">
        <v>2.5307499999999998</v>
      </c>
      <c r="BV178" s="59">
        <v>-240.03100000000001</v>
      </c>
      <c r="BW178" s="61"/>
      <c r="BY178" s="59"/>
      <c r="BZ178" s="59"/>
      <c r="CA178" s="59"/>
      <c r="CC178" s="59"/>
    </row>
    <row r="179" spans="1:81" x14ac:dyDescent="0.25">
      <c r="A179">
        <f t="shared" si="158"/>
        <v>72500</v>
      </c>
      <c r="B179">
        <f t="shared" si="138"/>
        <v>72.5</v>
      </c>
      <c r="C179">
        <f t="shared" si="107"/>
        <v>1.1668601852917255</v>
      </c>
      <c r="D179">
        <f t="shared" si="108"/>
        <v>0.54137544637197421</v>
      </c>
      <c r="F179">
        <f t="shared" si="109"/>
        <v>4.898809651049856E-3</v>
      </c>
      <c r="G179">
        <f t="shared" si="110"/>
        <v>2.3866547855754022E-2</v>
      </c>
      <c r="H179">
        <f t="shared" si="111"/>
        <v>-3.1177261021442462</v>
      </c>
      <c r="J179">
        <f t="shared" si="112"/>
        <v>15</v>
      </c>
      <c r="M179">
        <f t="shared" si="113"/>
        <v>1.7547886465862497E-2</v>
      </c>
      <c r="N179">
        <f t="shared" si="114"/>
        <v>-1.5707963250000001</v>
      </c>
      <c r="O179">
        <f t="shared" si="115"/>
        <v>21.087474502692455</v>
      </c>
      <c r="P179">
        <f t="shared" si="116"/>
        <v>1.523357019651397</v>
      </c>
      <c r="Q179">
        <f t="shared" si="117"/>
        <v>18.627101085477136</v>
      </c>
      <c r="R179">
        <f t="shared" si="118"/>
        <v>1.5170852866322886</v>
      </c>
      <c r="S179">
        <f t="shared" si="119"/>
        <v>0.87205427978633776</v>
      </c>
      <c r="T179">
        <f t="shared" si="120"/>
        <v>-0.51141210584487362</v>
      </c>
      <c r="U179">
        <f t="shared" si="121"/>
        <v>0.91034320310582884</v>
      </c>
      <c r="V179">
        <f t="shared" si="122"/>
        <v>-0.4266837346720691</v>
      </c>
      <c r="X179">
        <f t="shared" si="139"/>
        <v>-6.5731205036675124</v>
      </c>
      <c r="Y179">
        <f t="shared" si="123"/>
        <v>-117.15843958986699</v>
      </c>
      <c r="Z179">
        <f t="shared" si="140"/>
        <v>62.841560410133013</v>
      </c>
      <c r="AC179">
        <v>1</v>
      </c>
      <c r="AD179">
        <f t="shared" si="124"/>
        <v>21.06375039972</v>
      </c>
      <c r="AE179">
        <f t="shared" si="125"/>
        <v>-1.4392784847589897E-3</v>
      </c>
      <c r="AF179">
        <f t="shared" si="126"/>
        <v>3.1659399930375003E-3</v>
      </c>
      <c r="AG179">
        <f t="shared" si="141"/>
        <v>5394.7017191110663</v>
      </c>
      <c r="AH179">
        <f t="shared" si="142"/>
        <v>-2768.3652044206888</v>
      </c>
      <c r="AJ179">
        <f t="shared" si="127"/>
        <v>18000</v>
      </c>
      <c r="AK179">
        <f t="shared" si="128"/>
        <v>10101.853997927999</v>
      </c>
      <c r="AL179">
        <v>1</v>
      </c>
      <c r="AM179">
        <f t="shared" si="129"/>
        <v>18.600239107296002</v>
      </c>
      <c r="AN179">
        <f t="shared" si="143"/>
        <v>593.41601753179577</v>
      </c>
      <c r="AO179">
        <f t="shared" si="144"/>
        <v>-935.82581826275646</v>
      </c>
      <c r="AQ179">
        <f t="shared" si="130"/>
        <v>0.47560163606962808</v>
      </c>
      <c r="AR179">
        <f t="shared" si="131"/>
        <v>-68.962237230096065</v>
      </c>
      <c r="AT179">
        <f t="shared" si="156"/>
        <v>-188346.92900308606</v>
      </c>
      <c r="AU179">
        <f t="shared" si="157"/>
        <v>-373347.33875940513</v>
      </c>
      <c r="AV179">
        <f t="shared" si="145"/>
        <v>-2.0380229262221166</v>
      </c>
      <c r="AW179">
        <f t="shared" si="146"/>
        <v>-58083.964334760894</v>
      </c>
      <c r="AX179">
        <f t="shared" si="147"/>
        <v>-47070.662048604565</v>
      </c>
      <c r="AY179">
        <f t="shared" si="155"/>
        <v>-2.4605483953591887</v>
      </c>
      <c r="BA179">
        <f t="shared" si="132"/>
        <v>5.5932772586076611</v>
      </c>
      <c r="BB179">
        <f t="shared" si="148"/>
        <v>14.953326956559284</v>
      </c>
      <c r="BC179">
        <f t="shared" si="149"/>
        <v>0.42252546913707212</v>
      </c>
      <c r="BD179">
        <f t="shared" si="133"/>
        <v>-155.79107385399791</v>
      </c>
      <c r="BF179">
        <f t="shared" si="134"/>
        <v>-6.3826601383568615</v>
      </c>
      <c r="BG179">
        <f t="shared" si="135"/>
        <v>-123.40509314418465</v>
      </c>
      <c r="BH179">
        <f t="shared" si="150"/>
        <v>56.594906855815353</v>
      </c>
      <c r="BI179">
        <f t="shared" si="151"/>
        <v>56.594906855815353</v>
      </c>
      <c r="BJ179">
        <f t="shared" si="136"/>
        <v>0</v>
      </c>
      <c r="BK179">
        <f t="shared" si="152"/>
        <v>0</v>
      </c>
      <c r="BM179">
        <f t="shared" si="153"/>
        <v>-21.335987094916145</v>
      </c>
      <c r="BN179">
        <f t="shared" si="137"/>
        <v>-147.61401929018675</v>
      </c>
      <c r="BQ179" s="56">
        <f t="shared" si="154"/>
        <v>31.855287756844419</v>
      </c>
      <c r="BR179" s="59"/>
      <c r="BS179" s="59"/>
      <c r="BT179" s="59">
        <v>4897.7879999999996</v>
      </c>
      <c r="BU179" s="59">
        <v>2.1795599999999999</v>
      </c>
      <c r="BV179" s="59">
        <v>-239.48099999999999</v>
      </c>
      <c r="BW179" s="61"/>
      <c r="BY179" s="59"/>
      <c r="BZ179" s="59"/>
      <c r="CA179" s="59"/>
      <c r="CC179" s="59"/>
    </row>
    <row r="180" spans="1:81" x14ac:dyDescent="0.25">
      <c r="A180">
        <f t="shared" si="158"/>
        <v>73000</v>
      </c>
      <c r="B180">
        <f t="shared" si="138"/>
        <v>73</v>
      </c>
      <c r="C180">
        <f t="shared" si="107"/>
        <v>1.1690025493692326</v>
      </c>
      <c r="D180">
        <f t="shared" si="108"/>
        <v>0.54441556263532886</v>
      </c>
      <c r="F180">
        <f t="shared" si="109"/>
        <v>4.8316263352540471E-3</v>
      </c>
      <c r="G180">
        <f t="shared" si="110"/>
        <v>2.370154550951949E-2</v>
      </c>
      <c r="H180">
        <f t="shared" si="111"/>
        <v>-3.1178911044904809</v>
      </c>
      <c r="J180">
        <f t="shared" si="112"/>
        <v>15</v>
      </c>
      <c r="M180">
        <f t="shared" si="113"/>
        <v>1.7427695462671658E-2</v>
      </c>
      <c r="N180">
        <f t="shared" si="114"/>
        <v>-1.5707963250000001</v>
      </c>
      <c r="O180">
        <f t="shared" si="115"/>
        <v>21.232579433912285</v>
      </c>
      <c r="P180">
        <f t="shared" si="116"/>
        <v>1.5236814641221561</v>
      </c>
      <c r="Q180">
        <f t="shared" si="117"/>
        <v>18.755194873020272</v>
      </c>
      <c r="R180">
        <f t="shared" si="118"/>
        <v>1.5174524705762091</v>
      </c>
      <c r="S180">
        <f t="shared" si="119"/>
        <v>0.8706123751590793</v>
      </c>
      <c r="T180">
        <f t="shared" si="120"/>
        <v>-0.51435063198855269</v>
      </c>
      <c r="U180">
        <f t="shared" si="121"/>
        <v>0.90926610452143464</v>
      </c>
      <c r="V180">
        <f t="shared" si="122"/>
        <v>-0.42927893445012533</v>
      </c>
      <c r="X180">
        <f t="shared" si="139"/>
        <v>-6.6423960838348242</v>
      </c>
      <c r="Y180">
        <f t="shared" si="123"/>
        <v>-117.27113944807057</v>
      </c>
      <c r="Z180">
        <f t="shared" si="140"/>
        <v>62.728860551929429</v>
      </c>
      <c r="AC180">
        <v>1</v>
      </c>
      <c r="AD180">
        <f t="shared" si="124"/>
        <v>21.209017643856001</v>
      </c>
      <c r="AE180">
        <f t="shared" si="125"/>
        <v>-1.4591990573661177E-3</v>
      </c>
      <c r="AF180">
        <f t="shared" si="126"/>
        <v>3.1877740619549997E-3</v>
      </c>
      <c r="AG180">
        <f t="shared" si="141"/>
        <v>5381.9434801058478</v>
      </c>
      <c r="AH180">
        <f t="shared" si="142"/>
        <v>-2777.275516050408</v>
      </c>
      <c r="AJ180">
        <f t="shared" si="127"/>
        <v>18000</v>
      </c>
      <c r="AK180">
        <f t="shared" si="128"/>
        <v>10171.5219565344</v>
      </c>
      <c r="AL180">
        <v>1</v>
      </c>
      <c r="AM180">
        <f t="shared" si="129"/>
        <v>18.728516618380802</v>
      </c>
      <c r="AN180">
        <f t="shared" si="143"/>
        <v>592.73111720669874</v>
      </c>
      <c r="AO180">
        <f t="shared" si="144"/>
        <v>-929.45262230267701</v>
      </c>
      <c r="AQ180">
        <f t="shared" si="130"/>
        <v>0.46910916170192801</v>
      </c>
      <c r="AR180">
        <f t="shared" si="131"/>
        <v>-68.489937608481497</v>
      </c>
      <c r="AT180">
        <f t="shared" si="156"/>
        <v>-187690.70782157607</v>
      </c>
      <c r="AU180">
        <f t="shared" si="157"/>
        <v>-369911.81855397299</v>
      </c>
      <c r="AV180">
        <f t="shared" si="145"/>
        <v>-2.0403409159538271</v>
      </c>
      <c r="AW180">
        <f t="shared" si="146"/>
        <v>-57223.657524371338</v>
      </c>
      <c r="AX180">
        <f t="shared" si="147"/>
        <v>-46724.157901767481</v>
      </c>
      <c r="AY180">
        <f t="shared" si="155"/>
        <v>-2.4568604786256798</v>
      </c>
      <c r="BA180">
        <f t="shared" si="132"/>
        <v>5.6148556622455184</v>
      </c>
      <c r="BB180">
        <f t="shared" si="148"/>
        <v>14.986771931821307</v>
      </c>
      <c r="BC180">
        <f t="shared" si="149"/>
        <v>0.41651956267185275</v>
      </c>
      <c r="BD180">
        <f t="shared" si="133"/>
        <v>-156.13518694699852</v>
      </c>
      <c r="BF180">
        <f t="shared" si="134"/>
        <v>-6.4532269262331585</v>
      </c>
      <c r="BG180">
        <f t="shared" si="135"/>
        <v>-123.58447434392674</v>
      </c>
      <c r="BH180">
        <f t="shared" si="150"/>
        <v>56.415525656073257</v>
      </c>
      <c r="BI180">
        <f t="shared" si="151"/>
        <v>56.415525656073257</v>
      </c>
      <c r="BJ180">
        <f t="shared" si="136"/>
        <v>0</v>
      </c>
      <c r="BK180">
        <f t="shared" si="152"/>
        <v>0</v>
      </c>
      <c r="BM180">
        <f t="shared" si="153"/>
        <v>-21.439998858054466</v>
      </c>
      <c r="BN180">
        <f t="shared" si="137"/>
        <v>-147.44928739692824</v>
      </c>
      <c r="BQ180" s="56">
        <f t="shared" si="154"/>
        <v>31.888732732106444</v>
      </c>
      <c r="BR180" s="59"/>
      <c r="BS180" s="59"/>
      <c r="BT180" s="59">
        <v>5011.8720000000003</v>
      </c>
      <c r="BU180" s="59">
        <v>2.08934</v>
      </c>
      <c r="BV180" s="59">
        <v>-238.50700000000001</v>
      </c>
      <c r="BW180" s="61"/>
      <c r="BY180" s="59"/>
      <c r="BZ180" s="59"/>
      <c r="CA180" s="59"/>
      <c r="CC180" s="59"/>
    </row>
    <row r="181" spans="1:81" x14ac:dyDescent="0.25">
      <c r="A181">
        <f t="shared" si="158"/>
        <v>73500</v>
      </c>
      <c r="B181">
        <f t="shared" si="138"/>
        <v>73.5</v>
      </c>
      <c r="C181">
        <f t="shared" si="107"/>
        <v>1.1711556781409671</v>
      </c>
      <c r="D181">
        <f t="shared" si="108"/>
        <v>0.54744452851285186</v>
      </c>
      <c r="F181">
        <f t="shared" si="109"/>
        <v>4.7658176912998224E-3</v>
      </c>
      <c r="G181">
        <f t="shared" si="110"/>
        <v>2.3538819240193701E-2</v>
      </c>
      <c r="H181">
        <f t="shared" si="111"/>
        <v>-3.1180538307598065</v>
      </c>
      <c r="J181">
        <f t="shared" si="112"/>
        <v>15</v>
      </c>
      <c r="M181">
        <f t="shared" si="113"/>
        <v>1.730913971122491E-2</v>
      </c>
      <c r="N181">
        <f t="shared" si="114"/>
        <v>-1.5707963250000001</v>
      </c>
      <c r="O181">
        <f t="shared" si="115"/>
        <v>21.377686569821428</v>
      </c>
      <c r="P181">
        <f t="shared" si="116"/>
        <v>1.5240015041077313</v>
      </c>
      <c r="Q181">
        <f t="shared" si="117"/>
        <v>18.883291154908573</v>
      </c>
      <c r="R181">
        <f t="shared" si="118"/>
        <v>1.5178146729264308</v>
      </c>
      <c r="S181">
        <f t="shared" si="119"/>
        <v>0.86916776287237274</v>
      </c>
      <c r="T181">
        <f t="shared" si="120"/>
        <v>-0.51727943152471934</v>
      </c>
      <c r="U181">
        <f t="shared" si="121"/>
        <v>0.90818545673214612</v>
      </c>
      <c r="V181">
        <f t="shared" si="122"/>
        <v>-0.43186798292676248</v>
      </c>
      <c r="X181">
        <f t="shared" si="139"/>
        <v>-6.7112931246173169</v>
      </c>
      <c r="Y181">
        <f t="shared" si="123"/>
        <v>-117.38397581225858</v>
      </c>
      <c r="Z181">
        <f t="shared" si="140"/>
        <v>62.616024187741417</v>
      </c>
      <c r="AC181">
        <v>1</v>
      </c>
      <c r="AD181">
        <f t="shared" si="124"/>
        <v>21.354284887992002</v>
      </c>
      <c r="AE181">
        <f t="shared" si="125"/>
        <v>-1.4792565411251843E-3</v>
      </c>
      <c r="AF181">
        <f t="shared" si="126"/>
        <v>3.2096081308724995E-3</v>
      </c>
      <c r="AG181">
        <f t="shared" si="141"/>
        <v>5369.1583796967061</v>
      </c>
      <c r="AH181">
        <f t="shared" si="142"/>
        <v>-2786.1228813227603</v>
      </c>
      <c r="AJ181">
        <f t="shared" si="127"/>
        <v>18000</v>
      </c>
      <c r="AK181">
        <f t="shared" si="128"/>
        <v>10241.1899151408</v>
      </c>
      <c r="AL181">
        <v>1</v>
      </c>
      <c r="AM181">
        <f t="shared" si="129"/>
        <v>18.856794129465602</v>
      </c>
      <c r="AN181">
        <f t="shared" si="143"/>
        <v>592.06009457541836</v>
      </c>
      <c r="AO181">
        <f t="shared" si="144"/>
        <v>-923.16540053979588</v>
      </c>
      <c r="AQ181">
        <f t="shared" si="130"/>
        <v>0.46274872744099954</v>
      </c>
      <c r="AR181">
        <f t="shared" si="131"/>
        <v>-68.024062933826926</v>
      </c>
      <c r="AT181">
        <f t="shared" si="156"/>
        <v>-187038.82701284083</v>
      </c>
      <c r="AU181">
        <f t="shared" si="157"/>
        <v>-366521.2423399993</v>
      </c>
      <c r="AV181">
        <f t="shared" si="145"/>
        <v>-2.0426565162540156</v>
      </c>
      <c r="AW181">
        <f t="shared" si="146"/>
        <v>-56381.066918013727</v>
      </c>
      <c r="AX181">
        <f t="shared" si="147"/>
        <v>-46383.491816151429</v>
      </c>
      <c r="AY181">
        <f t="shared" si="155"/>
        <v>-2.4531755125794144</v>
      </c>
      <c r="BA181">
        <f t="shared" si="132"/>
        <v>5.6361421885635812</v>
      </c>
      <c r="BB181">
        <f t="shared" si="148"/>
        <v>15.01963881908566</v>
      </c>
      <c r="BC181">
        <f t="shared" si="149"/>
        <v>0.41051899632539879</v>
      </c>
      <c r="BD181">
        <f t="shared" si="133"/>
        <v>-156.47899407373143</v>
      </c>
      <c r="BF181">
        <f t="shared" si="134"/>
        <v>-6.5234949310666392</v>
      </c>
      <c r="BG181">
        <f t="shared" si="135"/>
        <v>-123.76405803784905</v>
      </c>
      <c r="BH181">
        <f t="shared" si="150"/>
        <v>56.235941962150946</v>
      </c>
      <c r="BI181">
        <f t="shared" si="151"/>
        <v>56.235941962150946</v>
      </c>
      <c r="BJ181">
        <f t="shared" si="136"/>
        <v>0</v>
      </c>
      <c r="BK181">
        <f t="shared" si="152"/>
        <v>0</v>
      </c>
      <c r="BM181">
        <f t="shared" si="153"/>
        <v>-21.5431337501523</v>
      </c>
      <c r="BN181">
        <f t="shared" si="137"/>
        <v>-147.28506396411763</v>
      </c>
      <c r="BQ181" s="56">
        <f t="shared" si="154"/>
        <v>31.921599619370799</v>
      </c>
      <c r="BR181" s="59"/>
      <c r="BS181" s="59"/>
      <c r="BT181" s="59">
        <v>5128.6139999999996</v>
      </c>
      <c r="BU181" s="59">
        <v>1.7954699999999999</v>
      </c>
      <c r="BV181" s="59">
        <v>-237.881</v>
      </c>
      <c r="BW181" s="61"/>
      <c r="BY181" s="59"/>
      <c r="BZ181" s="59"/>
      <c r="CA181" s="59"/>
      <c r="CC181" s="59"/>
    </row>
    <row r="182" spans="1:81" x14ac:dyDescent="0.25">
      <c r="A182">
        <f t="shared" si="158"/>
        <v>74000</v>
      </c>
      <c r="B182">
        <f t="shared" si="138"/>
        <v>74</v>
      </c>
      <c r="C182">
        <f t="shared" si="107"/>
        <v>1.1733195123448812</v>
      </c>
      <c r="D182">
        <f t="shared" si="108"/>
        <v>0.5504623499636615</v>
      </c>
      <c r="F182">
        <f t="shared" si="109"/>
        <v>4.7013464152617576E-3</v>
      </c>
      <c r="G182">
        <f t="shared" si="110"/>
        <v>2.337832207169574E-2</v>
      </c>
      <c r="H182">
        <f t="shared" si="111"/>
        <v>-3.1182143279283046</v>
      </c>
      <c r="J182">
        <f t="shared" si="112"/>
        <v>15</v>
      </c>
      <c r="M182">
        <f t="shared" si="113"/>
        <v>1.7192186064527448E-2</v>
      </c>
      <c r="N182">
        <f t="shared" si="114"/>
        <v>-1.5707963250000001</v>
      </c>
      <c r="O182">
        <f t="shared" si="115"/>
        <v>21.522795865827693</v>
      </c>
      <c r="P182">
        <f t="shared" si="116"/>
        <v>1.5243172286286069</v>
      </c>
      <c r="Q182">
        <f t="shared" si="117"/>
        <v>19.011389880722323</v>
      </c>
      <c r="R182">
        <f t="shared" si="118"/>
        <v>1.5181719942848648</v>
      </c>
      <c r="S182">
        <f t="shared" si="119"/>
        <v>0.86772053054665477</v>
      </c>
      <c r="T182">
        <f t="shared" si="120"/>
        <v>-0.52019850267027512</v>
      </c>
      <c r="U182">
        <f t="shared" si="121"/>
        <v>0.90710131576202335</v>
      </c>
      <c r="V182">
        <f t="shared" si="122"/>
        <v>-0.43445086736023292</v>
      </c>
      <c r="X182">
        <f t="shared" si="139"/>
        <v>-6.7798173432668865</v>
      </c>
      <c r="Y182">
        <f t="shared" si="123"/>
        <v>-117.4969393357545</v>
      </c>
      <c r="Z182">
        <f t="shared" si="140"/>
        <v>62.503060664245496</v>
      </c>
      <c r="AC182">
        <v>1</v>
      </c>
      <c r="AD182">
        <f t="shared" si="124"/>
        <v>21.499552132128002</v>
      </c>
      <c r="AE182">
        <f t="shared" si="125"/>
        <v>-1.4994509360361904E-3</v>
      </c>
      <c r="AF182">
        <f t="shared" si="126"/>
        <v>3.2314421997900003E-3</v>
      </c>
      <c r="AG182">
        <f t="shared" si="141"/>
        <v>5356.3472293212071</v>
      </c>
      <c r="AH182">
        <f t="shared" si="142"/>
        <v>-2794.9068274615802</v>
      </c>
      <c r="AJ182">
        <f t="shared" si="127"/>
        <v>18000</v>
      </c>
      <c r="AK182">
        <f t="shared" si="128"/>
        <v>10310.8578737472</v>
      </c>
      <c r="AL182">
        <v>1</v>
      </c>
      <c r="AM182">
        <f t="shared" si="129"/>
        <v>18.985071640550402</v>
      </c>
      <c r="AN182">
        <f t="shared" si="143"/>
        <v>591.40257757138704</v>
      </c>
      <c r="AO182">
        <f t="shared" si="144"/>
        <v>-916.96242985174831</v>
      </c>
      <c r="AQ182">
        <f t="shared" si="130"/>
        <v>0.45651677699155446</v>
      </c>
      <c r="AR182">
        <f t="shared" si="131"/>
        <v>-67.564482994750051</v>
      </c>
      <c r="AT182">
        <f t="shared" si="156"/>
        <v>-186391.17244236139</v>
      </c>
      <c r="AU182">
        <f t="shared" si="157"/>
        <v>-363174.75314631371</v>
      </c>
      <c r="AV182">
        <f t="shared" si="145"/>
        <v>-2.0449696383856337</v>
      </c>
      <c r="AW182">
        <f t="shared" si="146"/>
        <v>-55555.717777137397</v>
      </c>
      <c r="AX182">
        <f t="shared" si="147"/>
        <v>-46048.515328225963</v>
      </c>
      <c r="AY182">
        <f t="shared" si="155"/>
        <v>-2.4494937572297499</v>
      </c>
      <c r="BA182">
        <f t="shared" si="132"/>
        <v>5.6571370013257649</v>
      </c>
      <c r="BB182">
        <f t="shared" si="148"/>
        <v>15.051933927289472</v>
      </c>
      <c r="BC182">
        <f t="shared" si="149"/>
        <v>0.40452411884411621</v>
      </c>
      <c r="BD182">
        <f t="shared" si="133"/>
        <v>-156.82247525249943</v>
      </c>
      <c r="BF182">
        <f t="shared" si="134"/>
        <v>-6.5934699695570753</v>
      </c>
      <c r="BG182">
        <f t="shared" si="135"/>
        <v>-123.94382659435327</v>
      </c>
      <c r="BH182">
        <f t="shared" si="150"/>
        <v>56.056173405646732</v>
      </c>
      <c r="BI182">
        <f t="shared" si="151"/>
        <v>56.056173405646732</v>
      </c>
      <c r="BJ182">
        <f t="shared" si="136"/>
        <v>0</v>
      </c>
      <c r="BK182">
        <f t="shared" si="152"/>
        <v>0</v>
      </c>
      <c r="BM182">
        <f t="shared" si="153"/>
        <v>-21.645403896846545</v>
      </c>
      <c r="BN182">
        <f t="shared" si="137"/>
        <v>-147.12135134185385</v>
      </c>
      <c r="BQ182" s="56">
        <f t="shared" si="154"/>
        <v>31.953894727574607</v>
      </c>
      <c r="BR182" s="59"/>
      <c r="BS182" s="59"/>
      <c r="BT182" s="59">
        <v>5248.0749999999998</v>
      </c>
      <c r="BU182" s="59">
        <v>1.6024099999999999</v>
      </c>
      <c r="BV182" s="59">
        <v>-238.28</v>
      </c>
      <c r="BW182" s="61"/>
      <c r="BY182" s="59"/>
      <c r="BZ182" s="59"/>
      <c r="CA182" s="59"/>
      <c r="CC182" s="59"/>
    </row>
    <row r="183" spans="1:81" x14ac:dyDescent="0.25">
      <c r="A183">
        <f t="shared" si="158"/>
        <v>74500</v>
      </c>
      <c r="B183">
        <f t="shared" si="138"/>
        <v>74.5</v>
      </c>
      <c r="C183">
        <f t="shared" si="107"/>
        <v>1.1754939928617116</v>
      </c>
      <c r="D183">
        <f t="shared" si="108"/>
        <v>0.55346903371506206</v>
      </c>
      <c r="F183">
        <f t="shared" si="109"/>
        <v>4.6381764618554653E-3</v>
      </c>
      <c r="G183">
        <f t="shared" si="110"/>
        <v>2.3220008317173545E-2</v>
      </c>
      <c r="H183">
        <f t="shared" si="111"/>
        <v>-3.1183726416828268</v>
      </c>
      <c r="J183">
        <f t="shared" si="112"/>
        <v>15</v>
      </c>
      <c r="M183">
        <f t="shared" si="113"/>
        <v>1.7076802265436657E-2</v>
      </c>
      <c r="N183">
        <f t="shared" si="114"/>
        <v>-1.5707963250000001</v>
      </c>
      <c r="O183">
        <f t="shared" si="115"/>
        <v>21.66790727853277</v>
      </c>
      <c r="P183">
        <f t="shared" si="116"/>
        <v>1.5246287243240584</v>
      </c>
      <c r="Q183">
        <f t="shared" si="117"/>
        <v>19.13949100139066</v>
      </c>
      <c r="R183">
        <f t="shared" si="118"/>
        <v>1.51852453256516</v>
      </c>
      <c r="S183">
        <f t="shared" si="119"/>
        <v>0.86627076505326095</v>
      </c>
      <c r="T183">
        <f t="shared" si="120"/>
        <v>-0.52310784431710455</v>
      </c>
      <c r="U183">
        <f t="shared" si="121"/>
        <v>0.90601373742351132</v>
      </c>
      <c r="V183">
        <f t="shared" si="122"/>
        <v>-0.43702757539836062</v>
      </c>
      <c r="X183">
        <f t="shared" si="139"/>
        <v>-6.8479743286603902</v>
      </c>
      <c r="Y183">
        <f t="shared" si="123"/>
        <v>-117.61002090545446</v>
      </c>
      <c r="Z183">
        <f t="shared" si="140"/>
        <v>62.389979094545538</v>
      </c>
      <c r="AC183">
        <v>1</v>
      </c>
      <c r="AD183">
        <f t="shared" si="124"/>
        <v>21.644819376264</v>
      </c>
      <c r="AE183">
        <f t="shared" si="125"/>
        <v>-1.5197822420991356E-3</v>
      </c>
      <c r="AF183">
        <f t="shared" si="126"/>
        <v>3.2532762687074997E-3</v>
      </c>
      <c r="AG183">
        <f t="shared" si="141"/>
        <v>5343.5108352394664</v>
      </c>
      <c r="AH183">
        <f t="shared" si="142"/>
        <v>-2803.6269054656555</v>
      </c>
      <c r="AJ183">
        <f t="shared" si="127"/>
        <v>18000</v>
      </c>
      <c r="AK183">
        <f t="shared" si="128"/>
        <v>10380.5258323536</v>
      </c>
      <c r="AL183">
        <v>1</v>
      </c>
      <c r="AM183">
        <f t="shared" si="129"/>
        <v>19.113349151635202</v>
      </c>
      <c r="AN183">
        <f t="shared" si="143"/>
        <v>590.75820650273863</v>
      </c>
      <c r="AO183">
        <f t="shared" si="144"/>
        <v>-910.84203272705099</v>
      </c>
      <c r="AQ183">
        <f t="shared" si="130"/>
        <v>0.45040987298441582</v>
      </c>
      <c r="AR183">
        <f t="shared" si="131"/>
        <v>-67.111071074677952</v>
      </c>
      <c r="AT183">
        <f t="shared" si="156"/>
        <v>-185747.63448299395</v>
      </c>
      <c r="AU183">
        <f t="shared" si="157"/>
        <v>-359871.51669045404</v>
      </c>
      <c r="AV183">
        <f t="shared" si="145"/>
        <v>-2.0472801960327729</v>
      </c>
      <c r="AW183">
        <f t="shared" si="146"/>
        <v>-54747.151116912268</v>
      </c>
      <c r="AX183">
        <f t="shared" si="147"/>
        <v>-45719.084907003555</v>
      </c>
      <c r="AY183">
        <f t="shared" si="155"/>
        <v>-2.4458154684698998</v>
      </c>
      <c r="BA183">
        <f t="shared" si="132"/>
        <v>5.6778403129791108</v>
      </c>
      <c r="BB183">
        <f t="shared" si="148"/>
        <v>15.083663480009406</v>
      </c>
      <c r="BC183">
        <f t="shared" si="149"/>
        <v>0.39853527243712694</v>
      </c>
      <c r="BD183">
        <f t="shared" si="133"/>
        <v>-157.1656108761641</v>
      </c>
      <c r="BF183">
        <f t="shared" si="134"/>
        <v>-6.6631577055785716</v>
      </c>
      <c r="BG183">
        <f t="shared" si="135"/>
        <v>-124.12376263851864</v>
      </c>
      <c r="BH183">
        <f t="shared" si="150"/>
        <v>55.876237361481358</v>
      </c>
      <c r="BI183">
        <f t="shared" si="151"/>
        <v>55.876237361481358</v>
      </c>
      <c r="BJ183">
        <f t="shared" si="136"/>
        <v>0</v>
      </c>
      <c r="BK183">
        <f t="shared" si="152"/>
        <v>0</v>
      </c>
      <c r="BM183">
        <f t="shared" si="153"/>
        <v>-21.746821185587976</v>
      </c>
      <c r="BN183">
        <f t="shared" si="137"/>
        <v>-146.95815176235456</v>
      </c>
      <c r="BQ183" s="56">
        <f t="shared" si="154"/>
        <v>31.985624280294541</v>
      </c>
      <c r="BR183" s="59"/>
      <c r="BS183" s="59"/>
      <c r="BT183" s="59">
        <v>5370.3180000000002</v>
      </c>
      <c r="BU183" s="59">
        <v>1.48515</v>
      </c>
      <c r="BV183" s="59">
        <v>-237.34699999999998</v>
      </c>
      <c r="BW183" s="61"/>
      <c r="BY183" s="59"/>
      <c r="BZ183" s="59"/>
      <c r="CA183" s="59"/>
      <c r="CC183" s="59"/>
    </row>
    <row r="184" spans="1:81" x14ac:dyDescent="0.25">
      <c r="A184">
        <f t="shared" si="158"/>
        <v>75000</v>
      </c>
      <c r="B184">
        <f t="shared" si="138"/>
        <v>75</v>
      </c>
      <c r="C184">
        <f t="shared" si="107"/>
        <v>1.1776790607190262</v>
      </c>
      <c r="D184">
        <f t="shared" si="108"/>
        <v>0.55646458725027981</v>
      </c>
      <c r="F184">
        <f t="shared" si="109"/>
        <v>4.576272993748555E-3</v>
      </c>
      <c r="G184">
        <f t="shared" si="110"/>
        <v>2.3063833534904654E-2</v>
      </c>
      <c r="H184">
        <f t="shared" si="111"/>
        <v>-3.1185288164650955</v>
      </c>
      <c r="J184">
        <f t="shared" si="112"/>
        <v>15</v>
      </c>
      <c r="M184">
        <f t="shared" si="113"/>
        <v>1.6962956917000414E-2</v>
      </c>
      <c r="N184">
        <f t="shared" si="114"/>
        <v>-1.5707963250000001</v>
      </c>
      <c r="O184">
        <f t="shared" si="115"/>
        <v>21.813020765692567</v>
      </c>
      <c r="P184">
        <f t="shared" si="116"/>
        <v>1.5249360755311852</v>
      </c>
      <c r="Q184">
        <f t="shared" si="117"/>
        <v>19.267594469146822</v>
      </c>
      <c r="R184">
        <f t="shared" si="118"/>
        <v>1.5188723830818209</v>
      </c>
      <c r="S184">
        <f t="shared" si="119"/>
        <v>0.86481855250999007</v>
      </c>
      <c r="T184">
        <f t="shared" si="120"/>
        <v>-0.52600745602328525</v>
      </c>
      <c r="U184">
        <f t="shared" si="121"/>
        <v>0.90492277731251047</v>
      </c>
      <c r="V184">
        <f t="shared" si="122"/>
        <v>-0.43959809507603143</v>
      </c>
      <c r="X184">
        <f t="shared" si="139"/>
        <v>-6.9157695449483905</v>
      </c>
      <c r="Y184">
        <f t="shared" si="123"/>
        <v>-117.7232116347747</v>
      </c>
      <c r="Z184">
        <f t="shared" si="140"/>
        <v>62.2767883652253</v>
      </c>
      <c r="AC184">
        <v>1</v>
      </c>
      <c r="AD184">
        <f t="shared" si="124"/>
        <v>21.7900866204</v>
      </c>
      <c r="AE184">
        <f t="shared" si="125"/>
        <v>-1.5402504593140197E-3</v>
      </c>
      <c r="AF184">
        <f t="shared" si="126"/>
        <v>3.2751103376249995E-3</v>
      </c>
      <c r="AG184">
        <f t="shared" si="141"/>
        <v>5330.649998465803</v>
      </c>
      <c r="AH184">
        <f t="shared" si="142"/>
        <v>-2812.2826894615109</v>
      </c>
      <c r="AJ184">
        <f t="shared" si="127"/>
        <v>18000</v>
      </c>
      <c r="AK184">
        <f t="shared" si="128"/>
        <v>10450.19379096</v>
      </c>
      <c r="AL184">
        <v>1</v>
      </c>
      <c r="AM184">
        <f t="shared" si="129"/>
        <v>19.241626662720002</v>
      </c>
      <c r="AN184">
        <f t="shared" si="143"/>
        <v>590.1266335621267</v>
      </c>
      <c r="AO184">
        <f t="shared" si="144"/>
        <v>-904.80257577021337</v>
      </c>
      <c r="AQ184">
        <f t="shared" si="130"/>
        <v>0.44442469223590064</v>
      </c>
      <c r="AR184">
        <f t="shared" si="131"/>
        <v>-66.663703835385093</v>
      </c>
      <c r="AT184">
        <f t="shared" si="156"/>
        <v>-185108.10782665698</v>
      </c>
      <c r="AU184">
        <f t="shared" si="157"/>
        <v>-356610.72061656456</v>
      </c>
      <c r="AV184">
        <f t="shared" si="145"/>
        <v>-2.0495881052307712</v>
      </c>
      <c r="AW184">
        <f t="shared" si="146"/>
        <v>-53954.923083094996</v>
      </c>
      <c r="AX184">
        <f t="shared" si="147"/>
        <v>-45395.061752965448</v>
      </c>
      <c r="AY184">
        <f t="shared" si="155"/>
        <v>-2.4421408981274015</v>
      </c>
      <c r="BA184">
        <f t="shared" si="132"/>
        <v>5.6982523843127302</v>
      </c>
      <c r="BB184">
        <f t="shared" si="148"/>
        <v>15.114833617924985</v>
      </c>
      <c r="BC184">
        <f t="shared" si="149"/>
        <v>0.39255279289663036</v>
      </c>
      <c r="BD184">
        <f t="shared" si="133"/>
        <v>-157.50838170524958</v>
      </c>
      <c r="BF184">
        <f t="shared" si="134"/>
        <v>-6.732563654052738</v>
      </c>
      <c r="BG184">
        <f t="shared" si="135"/>
        <v>-124.30384904843513</v>
      </c>
      <c r="BH184">
        <f t="shared" si="150"/>
        <v>55.696150951564874</v>
      </c>
      <c r="BI184">
        <f t="shared" si="151"/>
        <v>55.696150951564874</v>
      </c>
      <c r="BJ184">
        <f t="shared" si="136"/>
        <v>0</v>
      </c>
      <c r="BK184">
        <f t="shared" si="152"/>
        <v>0</v>
      </c>
      <c r="BM184">
        <f t="shared" si="153"/>
        <v>-21.847397271977723</v>
      </c>
      <c r="BN184">
        <f t="shared" si="137"/>
        <v>-146.79546734318555</v>
      </c>
      <c r="BQ184" s="56">
        <f t="shared" si="154"/>
        <v>32.016794418210125</v>
      </c>
      <c r="BR184" s="59"/>
      <c r="BS184" s="59"/>
      <c r="BT184" s="59">
        <v>5495.4089999999997</v>
      </c>
      <c r="BU184" s="59">
        <v>1.35836</v>
      </c>
      <c r="BV184" s="59">
        <v>-235.61199999999999</v>
      </c>
      <c r="BW184" s="61"/>
      <c r="BY184" s="59"/>
      <c r="BZ184" s="59"/>
      <c r="CA184" s="59"/>
      <c r="CC184" s="59"/>
    </row>
    <row r="185" spans="1:81" x14ac:dyDescent="0.25">
      <c r="A185">
        <f t="shared" si="158"/>
        <v>75500</v>
      </c>
      <c r="B185">
        <f t="shared" si="138"/>
        <v>75.5</v>
      </c>
      <c r="C185">
        <f t="shared" si="107"/>
        <v>1.1798746570951781</v>
      </c>
      <c r="D185">
        <f t="shared" si="108"/>
        <v>0.55944901879623776</v>
      </c>
      <c r="F185">
        <f t="shared" si="109"/>
        <v>4.5156023332405398E-3</v>
      </c>
      <c r="G185">
        <f t="shared" si="110"/>
        <v>2.290975448600148E-2</v>
      </c>
      <c r="H185">
        <f t="shared" si="111"/>
        <v>-3.1186828955139987</v>
      </c>
      <c r="J185">
        <f t="shared" si="112"/>
        <v>15</v>
      </c>
      <c r="M185">
        <f t="shared" si="113"/>
        <v>1.6850619453973922E-2</v>
      </c>
      <c r="N185">
        <f t="shared" si="114"/>
        <v>-1.5707963250000001</v>
      </c>
      <c r="O185">
        <f t="shared" si="115"/>
        <v>21.958136286179077</v>
      </c>
      <c r="P185">
        <f t="shared" si="116"/>
        <v>1.5252393643608209</v>
      </c>
      <c r="Q185">
        <f t="shared" si="117"/>
        <v>19.39570023748513</v>
      </c>
      <c r="R185">
        <f t="shared" si="118"/>
        <v>1.5192156386358056</v>
      </c>
      <c r="S185">
        <f t="shared" si="119"/>
        <v>0.86336397827695965</v>
      </c>
      <c r="T185">
        <f t="shared" si="120"/>
        <v>-0.52889733800429561</v>
      </c>
      <c r="U185">
        <f t="shared" si="121"/>
        <v>0.9038284908035551</v>
      </c>
      <c r="V185">
        <f t="shared" si="122"/>
        <v>-0.44216241481265001</v>
      </c>
      <c r="X185">
        <f t="shared" si="139"/>
        <v>-6.9832083350756866</v>
      </c>
      <c r="Y185">
        <f t="shared" si="123"/>
        <v>-117.83650285687244</v>
      </c>
      <c r="Z185">
        <f t="shared" si="140"/>
        <v>62.163497143127557</v>
      </c>
      <c r="AC185">
        <v>1</v>
      </c>
      <c r="AD185">
        <f t="shared" si="124"/>
        <v>21.935353864536001</v>
      </c>
      <c r="AE185">
        <f t="shared" si="125"/>
        <v>-1.5608555876808429E-3</v>
      </c>
      <c r="AF185">
        <f t="shared" si="126"/>
        <v>3.2969444065425002E-3</v>
      </c>
      <c r="AG185">
        <f t="shared" si="141"/>
        <v>5317.7655147026635</v>
      </c>
      <c r="AH185">
        <f t="shared" si="142"/>
        <v>-2820.8737760772001</v>
      </c>
      <c r="AJ185">
        <f t="shared" si="127"/>
        <v>18000</v>
      </c>
      <c r="AK185">
        <f t="shared" si="128"/>
        <v>10519.861749566398</v>
      </c>
      <c r="AL185">
        <v>1</v>
      </c>
      <c r="AM185">
        <f t="shared" si="129"/>
        <v>19.369904173804798</v>
      </c>
      <c r="AN185">
        <f t="shared" si="143"/>
        <v>589.50752235902928</v>
      </c>
      <c r="AO185">
        <f t="shared" si="144"/>
        <v>-898.84246826508991</v>
      </c>
      <c r="AQ185">
        <f t="shared" si="130"/>
        <v>0.43855802122620824</v>
      </c>
      <c r="AR185">
        <f t="shared" si="131"/>
        <v>-66.222261205157437</v>
      </c>
      <c r="AT185">
        <f t="shared" si="156"/>
        <v>-184472.49130469016</v>
      </c>
      <c r="AU185">
        <f t="shared" si="157"/>
        <v>-353391.57376378356</v>
      </c>
      <c r="AV185">
        <f t="shared" si="145"/>
        <v>-2.0518932842989543</v>
      </c>
      <c r="AW185">
        <f t="shared" si="146"/>
        <v>-53178.604357446551</v>
      </c>
      <c r="AX185">
        <f t="shared" si="147"/>
        <v>-45076.311606649266</v>
      </c>
      <c r="AY185">
        <f t="shared" si="155"/>
        <v>-2.4384702940116587</v>
      </c>
      <c r="BA185">
        <f t="shared" si="132"/>
        <v>5.7183735240941607</v>
      </c>
      <c r="BB185">
        <f t="shared" si="148"/>
        <v>15.145450401183542</v>
      </c>
      <c r="BC185">
        <f t="shared" si="149"/>
        <v>0.38657700971270437</v>
      </c>
      <c r="BD185">
        <f t="shared" si="133"/>
        <v>-157.85076886136503</v>
      </c>
      <c r="BF185">
        <f t="shared" si="134"/>
        <v>-6.8016931847048259</v>
      </c>
      <c r="BG185">
        <f t="shared" si="135"/>
        <v>-124.48406895174972</v>
      </c>
      <c r="BH185">
        <f t="shared" si="150"/>
        <v>55.51593104825028</v>
      </c>
      <c r="BI185">
        <f t="shared" si="151"/>
        <v>55.51593104825028</v>
      </c>
      <c r="BJ185">
        <f t="shared" si="136"/>
        <v>0</v>
      </c>
      <c r="BK185">
        <f t="shared" si="152"/>
        <v>0</v>
      </c>
      <c r="BM185">
        <f t="shared" si="153"/>
        <v>-21.947143585888366</v>
      </c>
      <c r="BN185">
        <f t="shared" si="137"/>
        <v>-146.63330009038469</v>
      </c>
      <c r="BQ185" s="56">
        <f t="shared" si="154"/>
        <v>32.047411201468677</v>
      </c>
      <c r="BR185" s="59"/>
      <c r="BS185" s="59"/>
      <c r="BT185" s="59">
        <v>5623.4129999999996</v>
      </c>
      <c r="BU185" s="59">
        <v>1.07298</v>
      </c>
      <c r="BV185" s="59">
        <v>-235.13800000000001</v>
      </c>
      <c r="BW185" s="61"/>
      <c r="BY185" s="59"/>
      <c r="BZ185" s="59"/>
      <c r="CA185" s="59"/>
      <c r="CC185" s="59"/>
    </row>
    <row r="186" spans="1:81" x14ac:dyDescent="0.25">
      <c r="A186">
        <f t="shared" si="158"/>
        <v>76000</v>
      </c>
      <c r="B186">
        <f t="shared" si="138"/>
        <v>76</v>
      </c>
      <c r="C186">
        <f t="shared" si="107"/>
        <v>1.182080723323166</v>
      </c>
      <c r="D186">
        <f t="shared" si="108"/>
        <v>0.56242233731137203</v>
      </c>
      <c r="F186">
        <f t="shared" si="109"/>
        <v>4.4561319161858558E-3</v>
      </c>
      <c r="G186">
        <f t="shared" si="110"/>
        <v>2.2757729093835215E-2</v>
      </c>
      <c r="H186">
        <f t="shared" si="111"/>
        <v>-3.1188349209061652</v>
      </c>
      <c r="J186">
        <f t="shared" si="112"/>
        <v>15</v>
      </c>
      <c r="M186">
        <f t="shared" si="113"/>
        <v>1.6739760115460935E-2</v>
      </c>
      <c r="N186">
        <f t="shared" si="114"/>
        <v>-1.5707963250000001</v>
      </c>
      <c r="O186">
        <f t="shared" si="115"/>
        <v>22.103253799943833</v>
      </c>
      <c r="P186">
        <f t="shared" si="116"/>
        <v>1.5255386707704599</v>
      </c>
      <c r="Q186">
        <f t="shared" si="117"/>
        <v>19.523808261119662</v>
      </c>
      <c r="R186">
        <f t="shared" si="118"/>
        <v>1.5195543895967665</v>
      </c>
      <c r="S186">
        <f t="shared" si="119"/>
        <v>0.86190712695275051</v>
      </c>
      <c r="T186">
        <f t="shared" si="120"/>
        <v>-0.53177749112422135</v>
      </c>
      <c r="U186">
        <f t="shared" si="121"/>
        <v>0.90273093304509822</v>
      </c>
      <c r="V186">
        <f t="shared" si="122"/>
        <v>-0.4447205234095663</v>
      </c>
      <c r="X186">
        <f t="shared" si="139"/>
        <v>-7.050295924178986</v>
      </c>
      <c r="Y186">
        <f t="shared" si="123"/>
        <v>-117.9498861181267</v>
      </c>
      <c r="Z186">
        <f t="shared" si="140"/>
        <v>62.050113881873301</v>
      </c>
      <c r="AC186">
        <v>1</v>
      </c>
      <c r="AD186">
        <f t="shared" si="124"/>
        <v>22.080621108672002</v>
      </c>
      <c r="AE186">
        <f t="shared" si="125"/>
        <v>-1.5815976271996049E-3</v>
      </c>
      <c r="AF186">
        <f t="shared" si="126"/>
        <v>3.31877847546E-3</v>
      </c>
      <c r="AG186">
        <f t="shared" si="141"/>
        <v>5304.8581742767465</v>
      </c>
      <c r="AH186">
        <f t="shared" si="142"/>
        <v>-2829.3997838361311</v>
      </c>
      <c r="AJ186">
        <f t="shared" si="127"/>
        <v>18000</v>
      </c>
      <c r="AK186">
        <f t="shared" si="128"/>
        <v>10589.529708172799</v>
      </c>
      <c r="AL186">
        <v>1</v>
      </c>
      <c r="AM186">
        <f t="shared" si="129"/>
        <v>19.498181684889598</v>
      </c>
      <c r="AN186">
        <f t="shared" si="143"/>
        <v>588.90054747336615</v>
      </c>
      <c r="AO186">
        <f t="shared" si="144"/>
        <v>-892.96016079384572</v>
      </c>
      <c r="AQ186">
        <f t="shared" si="130"/>
        <v>0.43280675178532785</v>
      </c>
      <c r="AR186">
        <f t="shared" si="131"/>
        <v>-65.78662627136984</v>
      </c>
      <c r="AT186">
        <f t="shared" si="156"/>
        <v>-183840.6877164316</v>
      </c>
      <c r="AU186">
        <f t="shared" si="157"/>
        <v>-350213.30546370987</v>
      </c>
      <c r="AV186">
        <f t="shared" si="145"/>
        <v>-2.0541956537758832</v>
      </c>
      <c r="AW186">
        <f t="shared" si="146"/>
        <v>-52417.779590217069</v>
      </c>
      <c r="AX186">
        <f t="shared" si="147"/>
        <v>-44762.704566366687</v>
      </c>
      <c r="AY186">
        <f t="shared" si="155"/>
        <v>-2.4348038999587582</v>
      </c>
      <c r="BA186">
        <f t="shared" si="132"/>
        <v>5.7382040886834931</v>
      </c>
      <c r="BB186">
        <f t="shared" si="148"/>
        <v>15.17551981167057</v>
      </c>
      <c r="BC186">
        <f t="shared" si="149"/>
        <v>0.38060824618287503</v>
      </c>
      <c r="BD186">
        <f t="shared" si="133"/>
        <v>-158.19275382092661</v>
      </c>
      <c r="BF186">
        <f t="shared" si="134"/>
        <v>-6.8705515257079277</v>
      </c>
      <c r="BG186">
        <f t="shared" si="135"/>
        <v>-124.66440572241129</v>
      </c>
      <c r="BH186">
        <f t="shared" si="150"/>
        <v>55.335594277588712</v>
      </c>
      <c r="BI186">
        <f t="shared" si="151"/>
        <v>55.335594277588712</v>
      </c>
      <c r="BJ186">
        <f t="shared" si="136"/>
        <v>0</v>
      </c>
      <c r="BK186">
        <f t="shared" si="152"/>
        <v>0</v>
      </c>
      <c r="BM186">
        <f t="shared" si="153"/>
        <v>-22.0460713373785</v>
      </c>
      <c r="BN186">
        <f t="shared" si="137"/>
        <v>-146.47165190148468</v>
      </c>
      <c r="BQ186" s="56">
        <f t="shared" si="154"/>
        <v>32.077480611955707</v>
      </c>
      <c r="BR186" s="59"/>
      <c r="BS186" s="59"/>
      <c r="BT186" s="59">
        <v>5754.3990000000003</v>
      </c>
      <c r="BU186" s="59">
        <v>0.86915299999999995</v>
      </c>
      <c r="BV186" s="59">
        <v>-234.68899999999999</v>
      </c>
      <c r="BW186" s="61"/>
      <c r="BY186" s="59"/>
      <c r="BZ186" s="59"/>
      <c r="CA186" s="59"/>
      <c r="CC186" s="59"/>
    </row>
    <row r="187" spans="1:81" x14ac:dyDescent="0.25">
      <c r="A187">
        <f t="shared" si="158"/>
        <v>76500</v>
      </c>
      <c r="B187">
        <f t="shared" si="138"/>
        <v>76.5</v>
      </c>
      <c r="C187">
        <f t="shared" si="107"/>
        <v>1.1842972008944006</v>
      </c>
      <c r="D187">
        <f t="shared" si="108"/>
        <v>0.56538455247349162</v>
      </c>
      <c r="F187">
        <f t="shared" si="109"/>
        <v>4.3978302480416091E-3</v>
      </c>
      <c r="G187">
        <f t="shared" si="110"/>
        <v>2.260771640509723E-2</v>
      </c>
      <c r="H187">
        <f t="shared" si="111"/>
        <v>-3.1189849335949029</v>
      </c>
      <c r="J187">
        <f t="shared" si="112"/>
        <v>15</v>
      </c>
      <c r="M187">
        <f t="shared" si="113"/>
        <v>1.6630349918627857E-2</v>
      </c>
      <c r="N187">
        <f t="shared" si="114"/>
        <v>-1.5707963250000001</v>
      </c>
      <c r="O187">
        <f t="shared" si="115"/>
        <v>22.248373267982679</v>
      </c>
      <c r="P187">
        <f t="shared" si="116"/>
        <v>1.5258340726343389</v>
      </c>
      <c r="Q187">
        <f t="shared" si="117"/>
        <v>19.651918495944567</v>
      </c>
      <c r="R187">
        <f t="shared" si="118"/>
        <v>1.5198887239820866</v>
      </c>
      <c r="S187">
        <f t="shared" si="119"/>
        <v>0.86044808237083037</v>
      </c>
      <c r="T187">
        <f t="shared" si="120"/>
        <v>-0.53464791688696378</v>
      </c>
      <c r="U187">
        <f t="shared" si="121"/>
        <v>0.90163015895490528</v>
      </c>
      <c r="V187">
        <f t="shared" si="122"/>
        <v>-0.44727241004747142</v>
      </c>
      <c r="X187">
        <f t="shared" si="139"/>
        <v>-7.117037422866936</v>
      </c>
      <c r="Y187">
        <f t="shared" si="123"/>
        <v>-118.0633531718683</v>
      </c>
      <c r="Z187">
        <f t="shared" si="140"/>
        <v>61.9366468281317</v>
      </c>
      <c r="AC187">
        <v>1</v>
      </c>
      <c r="AD187">
        <f t="shared" si="124"/>
        <v>22.225888352807999</v>
      </c>
      <c r="AE187">
        <f t="shared" si="125"/>
        <v>-1.6024765778703061E-3</v>
      </c>
      <c r="AF187">
        <f t="shared" si="126"/>
        <v>3.3406125443774994E-3</v>
      </c>
      <c r="AG187">
        <f t="shared" si="141"/>
        <v>5291.9287620773484</v>
      </c>
      <c r="AH187">
        <f t="shared" si="142"/>
        <v>-2837.8603525700778</v>
      </c>
      <c r="AJ187">
        <f t="shared" si="127"/>
        <v>18000</v>
      </c>
      <c r="AK187">
        <f t="shared" si="128"/>
        <v>10659.197666779201</v>
      </c>
      <c r="AL187">
        <v>1</v>
      </c>
      <c r="AM187">
        <f t="shared" si="129"/>
        <v>19.626459195974398</v>
      </c>
      <c r="AN187">
        <f t="shared" si="143"/>
        <v>588.30539402932845</v>
      </c>
      <c r="AO187">
        <f t="shared" si="144"/>
        <v>-887.15414390905528</v>
      </c>
      <c r="AQ187">
        <f t="shared" si="130"/>
        <v>0.42716787697565145</v>
      </c>
      <c r="AR187">
        <f t="shared" si="131"/>
        <v>-65.35668517727467</v>
      </c>
      <c r="AT187">
        <f t="shared" si="156"/>
        <v>-183212.6036655893</v>
      </c>
      <c r="AU187">
        <f t="shared" si="157"/>
        <v>-347075.1648656149</v>
      </c>
      <c r="AV187">
        <f t="shared" si="145"/>
        <v>-2.0564951363569945</v>
      </c>
      <c r="AW187">
        <f t="shared" si="146"/>
        <v>-51672.046858300644</v>
      </c>
      <c r="AX187">
        <f t="shared" si="147"/>
        <v>-44454.114914552323</v>
      </c>
      <c r="AY187">
        <f t="shared" si="155"/>
        <v>-2.4311419558737675</v>
      </c>
      <c r="BA187">
        <f t="shared" si="132"/>
        <v>5.7577444816256858</v>
      </c>
      <c r="BB187">
        <f t="shared" si="148"/>
        <v>15.205047755189014</v>
      </c>
      <c r="BC187">
        <f t="shared" si="149"/>
        <v>0.37464681951677292</v>
      </c>
      <c r="BD187">
        <f t="shared" si="133"/>
        <v>-158.5343184091613</v>
      </c>
      <c r="BF187">
        <f t="shared" si="134"/>
        <v>-6.9391437672200897</v>
      </c>
      <c r="BG187">
        <f t="shared" si="135"/>
        <v>-124.84484297760082</v>
      </c>
      <c r="BH187">
        <f t="shared" si="150"/>
        <v>55.15515702239918</v>
      </c>
      <c r="BI187">
        <f t="shared" si="151"/>
        <v>55.15515702239918</v>
      </c>
      <c r="BJ187">
        <f t="shared" si="136"/>
        <v>0</v>
      </c>
      <c r="BK187">
        <f t="shared" si="152"/>
        <v>0</v>
      </c>
      <c r="BM187">
        <f t="shared" si="153"/>
        <v>-22.144191522409105</v>
      </c>
      <c r="BN187">
        <f t="shared" si="137"/>
        <v>-146.31052456843949</v>
      </c>
      <c r="BQ187" s="56">
        <f t="shared" si="154"/>
        <v>32.107008555474152</v>
      </c>
      <c r="BR187" s="59"/>
      <c r="BS187" s="59"/>
      <c r="BT187" s="59">
        <v>5888.4369999999999</v>
      </c>
      <c r="BU187" s="59">
        <v>0.80323599999999995</v>
      </c>
      <c r="BV187" s="59">
        <v>-233.95400000000001</v>
      </c>
      <c r="BW187" s="61"/>
      <c r="BY187" s="59"/>
      <c r="BZ187" s="59"/>
      <c r="CA187" s="59"/>
      <c r="CC187" s="59"/>
    </row>
    <row r="188" spans="1:81" x14ac:dyDescent="0.25">
      <c r="A188">
        <f t="shared" si="158"/>
        <v>77000</v>
      </c>
      <c r="B188">
        <f t="shared" si="138"/>
        <v>77</v>
      </c>
      <c r="C188">
        <f t="shared" si="107"/>
        <v>1.1865240314623819</v>
      </c>
      <c r="D188">
        <f t="shared" si="108"/>
        <v>0.56833567466768742</v>
      </c>
      <c r="F188">
        <f t="shared" si="109"/>
        <v>4.3406668619286604E-3</v>
      </c>
      <c r="G188">
        <f t="shared" si="110"/>
        <v>2.2459676552420978E-2</v>
      </c>
      <c r="H188">
        <f t="shared" si="111"/>
        <v>-3.1191329734475794</v>
      </c>
      <c r="J188">
        <f t="shared" si="112"/>
        <v>15</v>
      </c>
      <c r="M188">
        <f t="shared" si="113"/>
        <v>1.6522360633441962E-2</v>
      </c>
      <c r="N188">
        <f t="shared" si="114"/>
        <v>-1.5707963250000001</v>
      </c>
      <c r="O188">
        <f t="shared" si="115"/>
        <v>22.393494652302014</v>
      </c>
      <c r="P188">
        <f t="shared" si="116"/>
        <v>1.5261256458108003</v>
      </c>
      <c r="Q188">
        <f t="shared" si="117"/>
        <v>19.780030898995893</v>
      </c>
      <c r="R188">
        <f t="shared" si="118"/>
        <v>1.520218727532854</v>
      </c>
      <c r="S188">
        <f t="shared" si="119"/>
        <v>0.85898692759625594</v>
      </c>
      <c r="T188">
        <f t="shared" si="120"/>
        <v>-0.5375086174274547</v>
      </c>
      <c r="U188">
        <f t="shared" si="121"/>
        <v>0.90052622321555498</v>
      </c>
      <c r="V188">
        <f t="shared" si="122"/>
        <v>-0.4498180642837642</v>
      </c>
      <c r="X188">
        <f t="shared" si="139"/>
        <v>-7.1834378303874491</v>
      </c>
      <c r="Y188">
        <f t="shared" si="123"/>
        <v>-118.17689597234771</v>
      </c>
      <c r="Z188">
        <f t="shared" si="140"/>
        <v>61.823104027652292</v>
      </c>
      <c r="AC188">
        <v>1</v>
      </c>
      <c r="AD188">
        <f t="shared" si="124"/>
        <v>22.371155596944</v>
      </c>
      <c r="AE188">
        <f t="shared" si="125"/>
        <v>-1.6234924396929464E-3</v>
      </c>
      <c r="AF188">
        <f t="shared" si="126"/>
        <v>3.3624466132950001E-3</v>
      </c>
      <c r="AG188">
        <f t="shared" si="141"/>
        <v>5278.9780574968909</v>
      </c>
      <c r="AH188">
        <f t="shared" si="142"/>
        <v>-2846.2551428505053</v>
      </c>
      <c r="AJ188">
        <f t="shared" si="127"/>
        <v>18000</v>
      </c>
      <c r="AK188">
        <f t="shared" si="128"/>
        <v>10728.865625385601</v>
      </c>
      <c r="AL188">
        <v>1</v>
      </c>
      <c r="AM188">
        <f t="shared" si="129"/>
        <v>19.754736707059198</v>
      </c>
      <c r="AN188">
        <f t="shared" si="143"/>
        <v>587.72175728838329</v>
      </c>
      <c r="AO188">
        <f t="shared" si="144"/>
        <v>-881.42294685656202</v>
      </c>
      <c r="AQ188">
        <f t="shared" si="130"/>
        <v>0.42163848716110808</v>
      </c>
      <c r="AR188">
        <f t="shared" si="131"/>
        <v>-64.93232702281064</v>
      </c>
      <c r="AT188">
        <f t="shared" si="156"/>
        <v>-182588.14940400593</v>
      </c>
      <c r="AU188">
        <f t="shared" si="157"/>
        <v>-343976.42028813582</v>
      </c>
      <c r="AV188">
        <f t="shared" si="145"/>
        <v>-2.0587916568345315</v>
      </c>
      <c r="AW188">
        <f t="shared" si="146"/>
        <v>-50941.017147742459</v>
      </c>
      <c r="AX188">
        <f t="shared" si="147"/>
        <v>-44150.420952275956</v>
      </c>
      <c r="AY188">
        <f t="shared" si="155"/>
        <v>-2.4274846977706921</v>
      </c>
      <c r="BA188">
        <f t="shared" si="132"/>
        <v>5.7769951532214865</v>
      </c>
      <c r="BB188">
        <f t="shared" si="148"/>
        <v>15.23404006355096</v>
      </c>
      <c r="BC188">
        <f t="shared" si="149"/>
        <v>0.36869304093616062</v>
      </c>
      <c r="BD188">
        <f t="shared" si="133"/>
        <v>-158.8754447943756</v>
      </c>
      <c r="BF188">
        <f t="shared" si="134"/>
        <v>-7.0074748648188825</v>
      </c>
      <c r="BG188">
        <f t="shared" si="135"/>
        <v>-125.02536457483488</v>
      </c>
      <c r="BH188">
        <f t="shared" si="150"/>
        <v>54.974635425165118</v>
      </c>
      <c r="BI188">
        <f t="shared" si="151"/>
        <v>54.974635425165118</v>
      </c>
      <c r="BJ188">
        <f t="shared" si="136"/>
        <v>0</v>
      </c>
      <c r="BK188">
        <f t="shared" si="152"/>
        <v>0</v>
      </c>
      <c r="BM188">
        <f t="shared" si="153"/>
        <v>-22.241514928369842</v>
      </c>
      <c r="BN188">
        <f t="shared" si="137"/>
        <v>-146.1499197804593</v>
      </c>
      <c r="BQ188" s="56">
        <f t="shared" si="154"/>
        <v>32.136000863836095</v>
      </c>
      <c r="BR188" s="59"/>
      <c r="BS188" s="59"/>
      <c r="BT188" s="59">
        <v>6025.5959999999995</v>
      </c>
      <c r="BU188" s="59">
        <v>0.76992799999999995</v>
      </c>
      <c r="BV188" s="59">
        <v>-234.14699999999999</v>
      </c>
      <c r="BW188" s="61"/>
      <c r="BY188" s="59"/>
      <c r="BZ188" s="59"/>
      <c r="CA188" s="59"/>
      <c r="CC188" s="59"/>
    </row>
    <row r="189" spans="1:81" x14ac:dyDescent="0.25">
      <c r="A189">
        <f t="shared" si="158"/>
        <v>77500</v>
      </c>
      <c r="B189">
        <f t="shared" si="138"/>
        <v>77.5</v>
      </c>
      <c r="C189">
        <f t="shared" si="107"/>
        <v>1.188761156846283</v>
      </c>
      <c r="D189">
        <f t="shared" si="108"/>
        <v>0.57127571497429264</v>
      </c>
      <c r="F189">
        <f t="shared" si="109"/>
        <v>4.2846122786012065E-3</v>
      </c>
      <c r="G189">
        <f t="shared" si="110"/>
        <v>2.2313570718491865E-2</v>
      </c>
      <c r="H189">
        <f t="shared" si="111"/>
        <v>-3.1192790792815082</v>
      </c>
      <c r="J189">
        <f t="shared" si="112"/>
        <v>15</v>
      </c>
      <c r="M189">
        <f t="shared" si="113"/>
        <v>1.6415764758387498E-2</v>
      </c>
      <c r="N189">
        <f t="shared" si="114"/>
        <v>-1.5707963250000001</v>
      </c>
      <c r="O189">
        <f t="shared" si="115"/>
        <v>22.53861791588626</v>
      </c>
      <c r="P189">
        <f t="shared" si="116"/>
        <v>1.5264134642070617</v>
      </c>
      <c r="Q189">
        <f t="shared" si="117"/>
        <v>19.908145428414887</v>
      </c>
      <c r="R189">
        <f t="shared" si="118"/>
        <v>1.5205444837869142</v>
      </c>
      <c r="S189">
        <f t="shared" si="119"/>
        <v>0.8575237449226486</v>
      </c>
      <c r="T189">
        <f t="shared" si="120"/>
        <v>-0.5403595955028786</v>
      </c>
      <c r="U189">
        <f t="shared" si="121"/>
        <v>0.89941918027004431</v>
      </c>
      <c r="V189">
        <f t="shared" si="122"/>
        <v>-0.45235747604989018</v>
      </c>
      <c r="X189">
        <f t="shared" si="139"/>
        <v>-7.2495020376869554</v>
      </c>
      <c r="Y189">
        <f t="shared" si="123"/>
        <v>-118.29050666892842</v>
      </c>
      <c r="Z189">
        <f t="shared" si="140"/>
        <v>61.709493331071585</v>
      </c>
      <c r="AC189">
        <v>1</v>
      </c>
      <c r="AD189">
        <f t="shared" si="124"/>
        <v>22.516422841080001</v>
      </c>
      <c r="AE189">
        <f t="shared" si="125"/>
        <v>-1.6446452126675257E-3</v>
      </c>
      <c r="AF189">
        <f t="shared" si="126"/>
        <v>3.3842806822125E-3</v>
      </c>
      <c r="AG189">
        <f t="shared" si="141"/>
        <v>5266.0068343736311</v>
      </c>
      <c r="AH189">
        <f t="shared" si="142"/>
        <v>-2854.5838354374605</v>
      </c>
      <c r="AJ189">
        <f t="shared" si="127"/>
        <v>18000</v>
      </c>
      <c r="AK189">
        <f t="shared" si="128"/>
        <v>10798.533583992001</v>
      </c>
      <c r="AL189">
        <v>1</v>
      </c>
      <c r="AM189">
        <f t="shared" si="129"/>
        <v>19.883014218143998</v>
      </c>
      <c r="AN189">
        <f t="shared" si="143"/>
        <v>587.14934226047217</v>
      </c>
      <c r="AO189">
        <f t="shared" si="144"/>
        <v>-875.76513634686467</v>
      </c>
      <c r="AQ189">
        <f t="shared" si="130"/>
        <v>0.41621576625322565</v>
      </c>
      <c r="AR189">
        <f t="shared" si="131"/>
        <v>-64.513443769249974</v>
      </c>
      <c r="AT189">
        <f t="shared" si="156"/>
        <v>-181967.23868244098</v>
      </c>
      <c r="AU189">
        <f t="shared" si="157"/>
        <v>-340916.35859625001</v>
      </c>
      <c r="AV189">
        <f t="shared" si="145"/>
        <v>-2.0610851420396532</v>
      </c>
      <c r="AW189">
        <f t="shared" si="146"/>
        <v>-50224.313859356909</v>
      </c>
      <c r="AX189">
        <f t="shared" si="147"/>
        <v>-43851.504841477858</v>
      </c>
      <c r="AY189">
        <f t="shared" si="155"/>
        <v>-2.4238323578102743</v>
      </c>
      <c r="BA189">
        <f t="shared" si="132"/>
        <v>5.7959566000774529</v>
      </c>
      <c r="BB189">
        <f t="shared" si="148"/>
        <v>15.262502496585068</v>
      </c>
      <c r="BC189">
        <f t="shared" si="149"/>
        <v>0.36274721577062108</v>
      </c>
      <c r="BD189">
        <f t="shared" si="133"/>
        <v>-159.21611548247296</v>
      </c>
      <c r="BF189">
        <f t="shared" si="134"/>
        <v>-7.075549642837756</v>
      </c>
      <c r="BG189">
        <f t="shared" si="135"/>
        <v>-125.20595460922884</v>
      </c>
      <c r="BH189">
        <f t="shared" si="150"/>
        <v>54.79404539077116</v>
      </c>
      <c r="BI189">
        <f t="shared" si="151"/>
        <v>54.79404539077116</v>
      </c>
      <c r="BJ189">
        <f t="shared" si="136"/>
        <v>0</v>
      </c>
      <c r="BK189">
        <f t="shared" si="152"/>
        <v>0</v>
      </c>
      <c r="BM189">
        <f t="shared" si="153"/>
        <v>-22.338052139422825</v>
      </c>
      <c r="BN189">
        <f t="shared" si="137"/>
        <v>-145.98983912675592</v>
      </c>
      <c r="BQ189" s="56">
        <f t="shared" si="154"/>
        <v>32.16446329687021</v>
      </c>
      <c r="BR189" s="59"/>
      <c r="BS189" s="59"/>
      <c r="BT189" s="59">
        <v>6165.95</v>
      </c>
      <c r="BU189" s="59">
        <v>0.46947800000000001</v>
      </c>
      <c r="BV189" s="59">
        <v>-232.05599999999998</v>
      </c>
      <c r="BW189" s="61"/>
      <c r="BY189" s="59"/>
      <c r="BZ189" s="59"/>
      <c r="CA189" s="59"/>
      <c r="CC189" s="59"/>
    </row>
    <row r="190" spans="1:81" x14ac:dyDescent="0.25">
      <c r="A190">
        <f t="shared" si="158"/>
        <v>78000</v>
      </c>
      <c r="B190">
        <f t="shared" si="138"/>
        <v>78</v>
      </c>
      <c r="C190">
        <f t="shared" si="107"/>
        <v>1.1910085190344448</v>
      </c>
      <c r="D190">
        <f t="shared" si="108"/>
        <v>0.57420468515689793</v>
      </c>
      <c r="F190">
        <f t="shared" si="109"/>
        <v>4.2296379682261239E-3</v>
      </c>
      <c r="G190">
        <f t="shared" si="110"/>
        <v>2.2169361101576069E-2</v>
      </c>
      <c r="H190">
        <f t="shared" si="111"/>
        <v>-3.1194232888984241</v>
      </c>
      <c r="J190">
        <f t="shared" si="112"/>
        <v>15</v>
      </c>
      <c r="M190">
        <f t="shared" si="113"/>
        <v>1.6310535497115784E-2</v>
      </c>
      <c r="N190">
        <f t="shared" si="114"/>
        <v>-1.5707963250000001</v>
      </c>
      <c r="O190">
        <f t="shared" si="115"/>
        <v>22.683743022666629</v>
      </c>
      <c r="P190">
        <f t="shared" si="116"/>
        <v>1.5266975998415029</v>
      </c>
      <c r="Q190">
        <f t="shared" si="117"/>
        <v>20.036262043412716</v>
      </c>
      <c r="R190">
        <f t="shared" si="118"/>
        <v>1.5208660741491282</v>
      </c>
      <c r="S190">
        <f t="shared" si="119"/>
        <v>0.85605861586943577</v>
      </c>
      <c r="T190">
        <f t="shared" si="120"/>
        <v>-0.54320085448390576</v>
      </c>
      <c r="U190">
        <f t="shared" si="121"/>
        <v>0.89830908431750311</v>
      </c>
      <c r="V190">
        <f t="shared" si="122"/>
        <v>-0.45489063564865279</v>
      </c>
      <c r="X190">
        <f t="shared" si="139"/>
        <v>-7.3152348303660473</v>
      </c>
      <c r="Y190">
        <f t="shared" si="123"/>
        <v>-118.40417760049876</v>
      </c>
      <c r="Z190">
        <f t="shared" si="140"/>
        <v>61.595822399501245</v>
      </c>
      <c r="AC190">
        <v>1</v>
      </c>
      <c r="AD190">
        <f t="shared" si="124"/>
        <v>22.661690085215998</v>
      </c>
      <c r="AE190">
        <f t="shared" si="125"/>
        <v>-1.665934896794044E-3</v>
      </c>
      <c r="AF190">
        <f t="shared" si="126"/>
        <v>3.4061147511300002E-3</v>
      </c>
      <c r="AG190">
        <f t="shared" si="141"/>
        <v>5253.0158609365162</v>
      </c>
      <c r="AH190">
        <f t="shared" si="142"/>
        <v>-2862.846130745223</v>
      </c>
      <c r="AJ190">
        <f t="shared" si="127"/>
        <v>18000</v>
      </c>
      <c r="AK190">
        <f t="shared" si="128"/>
        <v>10868.201542598399</v>
      </c>
      <c r="AL190">
        <v>1</v>
      </c>
      <c r="AM190">
        <f t="shared" si="129"/>
        <v>20.011291729228798</v>
      </c>
      <c r="AN190">
        <f t="shared" si="143"/>
        <v>586.58786333248202</v>
      </c>
      <c r="AO190">
        <f t="shared" si="144"/>
        <v>-870.17931537289121</v>
      </c>
      <c r="AQ190">
        <f t="shared" si="130"/>
        <v>0.41089698812507702</v>
      </c>
      <c r="AR190">
        <f t="shared" si="131"/>
        <v>-64.099930147512012</v>
      </c>
      <c r="AT190">
        <f t="shared" si="156"/>
        <v>-181349.78860801176</v>
      </c>
      <c r="AU190">
        <f t="shared" si="157"/>
        <v>-337894.28460239212</v>
      </c>
      <c r="AV190">
        <f t="shared" si="145"/>
        <v>-2.0633755207866313</v>
      </c>
      <c r="AW190">
        <f t="shared" si="146"/>
        <v>-49521.572336285441</v>
      </c>
      <c r="AX190">
        <f t="shared" si="147"/>
        <v>-43557.252454514521</v>
      </c>
      <c r="AY190">
        <f t="shared" si="155"/>
        <v>-2.4201851643358014</v>
      </c>
      <c r="BA190">
        <f t="shared" si="132"/>
        <v>5.8146293646354961</v>
      </c>
      <c r="BB190">
        <f t="shared" si="148"/>
        <v>15.290440744062879</v>
      </c>
      <c r="BC190">
        <f t="shared" si="149"/>
        <v>0.35680964354917011</v>
      </c>
      <c r="BD190">
        <f t="shared" si="133"/>
        <v>-159.55631331170494</v>
      </c>
      <c r="BF190">
        <f t="shared" si="134"/>
        <v>-7.1433727976082846</v>
      </c>
      <c r="BG190">
        <f t="shared" si="135"/>
        <v>-125.38659741091006</v>
      </c>
      <c r="BH190">
        <f t="shared" si="150"/>
        <v>54.613402589089944</v>
      </c>
      <c r="BI190">
        <f t="shared" si="151"/>
        <v>54.613402589089944</v>
      </c>
      <c r="BJ190">
        <f t="shared" si="136"/>
        <v>0</v>
      </c>
      <c r="BK190">
        <f t="shared" si="152"/>
        <v>0</v>
      </c>
      <c r="BM190">
        <f t="shared" si="153"/>
        <v>-22.433813541671164</v>
      </c>
      <c r="BN190">
        <f t="shared" si="137"/>
        <v>-145.83028409920513</v>
      </c>
      <c r="BQ190" s="56">
        <f t="shared" si="154"/>
        <v>32.192401544348016</v>
      </c>
      <c r="BR190" s="59"/>
      <c r="BS190" s="59"/>
      <c r="BT190" s="59">
        <v>6309.5730000000003</v>
      </c>
      <c r="BU190" s="59">
        <v>0.36985299999999999</v>
      </c>
      <c r="BV190" s="59">
        <v>-231.369</v>
      </c>
      <c r="BW190" s="61"/>
      <c r="BY190" s="59"/>
      <c r="BZ190" s="59"/>
      <c r="CA190" s="59"/>
      <c r="CC190" s="59"/>
    </row>
    <row r="191" spans="1:81" x14ac:dyDescent="0.25">
      <c r="A191">
        <f t="shared" si="158"/>
        <v>78500</v>
      </c>
      <c r="B191">
        <f t="shared" si="138"/>
        <v>78.5</v>
      </c>
      <c r="C191">
        <f t="shared" si="107"/>
        <v>1.1932660601877805</v>
      </c>
      <c r="D191">
        <f t="shared" si="108"/>
        <v>0.57712259765042484</v>
      </c>
      <c r="F191">
        <f t="shared" si="109"/>
        <v>4.1757163138790351E-3</v>
      </c>
      <c r="G191">
        <f t="shared" si="110"/>
        <v>2.2027010882403157E-2</v>
      </c>
      <c r="H191">
        <f t="shared" si="111"/>
        <v>-3.1195656391175972</v>
      </c>
      <c r="J191">
        <f t="shared" si="112"/>
        <v>15</v>
      </c>
      <c r="M191">
        <f t="shared" si="113"/>
        <v>1.6206646735987658E-2</v>
      </c>
      <c r="N191">
        <f t="shared" si="114"/>
        <v>-1.5707963250000001</v>
      </c>
      <c r="O191">
        <f t="shared" si="115"/>
        <v>22.828869937491056</v>
      </c>
      <c r="P191">
        <f t="shared" si="116"/>
        <v>1.526978122903587</v>
      </c>
      <c r="Q191">
        <f t="shared" si="117"/>
        <v>20.164380704236514</v>
      </c>
      <c r="R191">
        <f t="shared" si="118"/>
        <v>1.5211835779589624</v>
      </c>
      <c r="S191">
        <f t="shared" si="119"/>
        <v>0.85459162117935705</v>
      </c>
      <c r="T191">
        <f t="shared" si="120"/>
        <v>-0.54603239834593875</v>
      </c>
      <c r="U191">
        <f t="shared" si="121"/>
        <v>0.89719598930901312</v>
      </c>
      <c r="V191">
        <f t="shared" si="122"/>
        <v>-0.45741753375149918</v>
      </c>
      <c r="X191">
        <f t="shared" si="139"/>
        <v>-7.380640891535803</v>
      </c>
      <c r="Y191">
        <f t="shared" si="123"/>
        <v>-118.51790129008957</v>
      </c>
      <c r="Z191">
        <f t="shared" si="140"/>
        <v>61.482098709910431</v>
      </c>
      <c r="AC191">
        <v>1</v>
      </c>
      <c r="AD191">
        <f t="shared" si="124"/>
        <v>22.806957329351999</v>
      </c>
      <c r="AE191">
        <f t="shared" si="125"/>
        <v>-1.6873614920725009E-3</v>
      </c>
      <c r="AF191">
        <f t="shared" si="126"/>
        <v>3.4279488200475001E-3</v>
      </c>
      <c r="AG191">
        <f t="shared" si="141"/>
        <v>5240.0058997521946</v>
      </c>
      <c r="AH191">
        <f t="shared" si="142"/>
        <v>-2871.0417483240594</v>
      </c>
      <c r="AJ191">
        <f t="shared" si="127"/>
        <v>18000</v>
      </c>
      <c r="AK191">
        <f t="shared" si="128"/>
        <v>10937.869501204799</v>
      </c>
      <c r="AL191">
        <v>1</v>
      </c>
      <c r="AM191">
        <f t="shared" si="129"/>
        <v>20.139569240313598</v>
      </c>
      <c r="AN191">
        <f t="shared" si="143"/>
        <v>586.03704391311817</v>
      </c>
      <c r="AO191">
        <f t="shared" si="144"/>
        <v>-864.6641220721425</v>
      </c>
      <c r="AQ191">
        <f t="shared" si="130"/>
        <v>0.40567951318458417</v>
      </c>
      <c r="AR191">
        <f t="shared" si="131"/>
        <v>-63.691683569979716</v>
      </c>
      <c r="AT191">
        <f t="shared" si="156"/>
        <v>-180735.7195079615</v>
      </c>
      <c r="AU191">
        <f t="shared" si="157"/>
        <v>-334909.52049063635</v>
      </c>
      <c r="AV191">
        <f t="shared" si="145"/>
        <v>-2.0656627238190421</v>
      </c>
      <c r="AW191">
        <f t="shared" si="146"/>
        <v>-48832.439412389729</v>
      </c>
      <c r="AX191">
        <f t="shared" si="147"/>
        <v>-43267.553230626305</v>
      </c>
      <c r="AY191">
        <f t="shared" si="155"/>
        <v>-2.4165433419070794</v>
      </c>
      <c r="BA191">
        <f t="shared" si="132"/>
        <v>5.8330140346824972</v>
      </c>
      <c r="BB191">
        <f t="shared" si="148"/>
        <v>15.3178604275471</v>
      </c>
      <c r="BC191">
        <f t="shared" si="149"/>
        <v>0.35088061808803728</v>
      </c>
      <c r="BD191">
        <f t="shared" si="133"/>
        <v>-159.89602144764163</v>
      </c>
      <c r="BF191">
        <f t="shared" si="134"/>
        <v>-7.2109489006121805</v>
      </c>
      <c r="BG191">
        <f t="shared" si="135"/>
        <v>-125.56727754256882</v>
      </c>
      <c r="BH191">
        <f t="shared" si="150"/>
        <v>54.432722457431183</v>
      </c>
      <c r="BI191">
        <f t="shared" si="151"/>
        <v>54.432722457431183</v>
      </c>
      <c r="BJ191">
        <f t="shared" si="136"/>
        <v>0</v>
      </c>
      <c r="BK191">
        <f t="shared" si="152"/>
        <v>0</v>
      </c>
      <c r="BM191">
        <f t="shared" si="153"/>
        <v>-22.528809328159277</v>
      </c>
      <c r="BN191">
        <f t="shared" si="137"/>
        <v>-145.6712560949272</v>
      </c>
      <c r="BQ191" s="56">
        <f t="shared" si="154"/>
        <v>32.219821227832234</v>
      </c>
      <c r="BR191" s="59"/>
      <c r="BS191" s="59"/>
      <c r="BT191" s="59">
        <v>6456.5420000000004</v>
      </c>
      <c r="BU191" s="59">
        <v>0.12767600000000001</v>
      </c>
      <c r="BV191" s="59">
        <v>-230.779</v>
      </c>
      <c r="BW191" s="61"/>
      <c r="BY191" s="59"/>
      <c r="BZ191" s="59"/>
      <c r="CA191" s="59"/>
      <c r="CC191" s="59"/>
    </row>
    <row r="192" spans="1:81" x14ac:dyDescent="0.25">
      <c r="A192">
        <f t="shared" si="158"/>
        <v>79000</v>
      </c>
      <c r="B192">
        <f t="shared" si="138"/>
        <v>79</v>
      </c>
      <c r="C192">
        <f t="shared" si="107"/>
        <v>1.1955337226430931</v>
      </c>
      <c r="D192">
        <f t="shared" si="108"/>
        <v>0.58002946554925949</v>
      </c>
      <c r="F192">
        <f t="shared" si="109"/>
        <v>4.1228205766694363E-3</v>
      </c>
      <c r="G192">
        <f t="shared" si="110"/>
        <v>2.1886484192340599E-2</v>
      </c>
      <c r="H192">
        <f t="shared" si="111"/>
        <v>-3.1197061658076595</v>
      </c>
      <c r="J192">
        <f t="shared" si="112"/>
        <v>15</v>
      </c>
      <c r="M192">
        <f t="shared" si="113"/>
        <v>1.6104073022468746E-2</v>
      </c>
      <c r="N192">
        <f t="shared" si="114"/>
        <v>-1.5707963250000001</v>
      </c>
      <c r="O192">
        <f t="shared" si="115"/>
        <v>22.973998626095248</v>
      </c>
      <c r="P192">
        <f t="shared" si="116"/>
        <v>1.527255101811513</v>
      </c>
      <c r="Q192">
        <f t="shared" si="117"/>
        <v>20.292501372136723</v>
      </c>
      <c r="R192">
        <f t="shared" si="118"/>
        <v>1.5214970725555268</v>
      </c>
      <c r="S192">
        <f t="shared" si="119"/>
        <v>0.85312284081622869</v>
      </c>
      <c r="T192">
        <f t="shared" si="120"/>
        <v>-0.54885423166037572</v>
      </c>
      <c r="U192">
        <f t="shared" si="121"/>
        <v>0.89607994894353016</v>
      </c>
      <c r="V192">
        <f t="shared" si="122"/>
        <v>-0.45993816139578059</v>
      </c>
      <c r="X192">
        <f t="shared" si="139"/>
        <v>-7.4457248045787541</v>
      </c>
      <c r="Y192">
        <f t="shared" si="123"/>
        <v>-118.63167043969015</v>
      </c>
      <c r="Z192">
        <f t="shared" si="140"/>
        <v>61.368329560309846</v>
      </c>
      <c r="AC192">
        <v>1</v>
      </c>
      <c r="AD192">
        <f t="shared" si="124"/>
        <v>22.952224573487999</v>
      </c>
      <c r="AE192">
        <f t="shared" si="125"/>
        <v>-1.7089249985028972E-3</v>
      </c>
      <c r="AF192">
        <f t="shared" si="126"/>
        <v>3.4497828889649999E-3</v>
      </c>
      <c r="AG192">
        <f t="shared" si="141"/>
        <v>5226.9777076741175</v>
      </c>
      <c r="AH192">
        <f t="shared" si="142"/>
        <v>-2879.1704263573556</v>
      </c>
      <c r="AJ192">
        <f t="shared" si="127"/>
        <v>18000</v>
      </c>
      <c r="AK192">
        <f t="shared" si="128"/>
        <v>11007.537459811199</v>
      </c>
      <c r="AL192">
        <v>1</v>
      </c>
      <c r="AM192">
        <f t="shared" si="129"/>
        <v>20.267846751398398</v>
      </c>
      <c r="AN192">
        <f t="shared" si="143"/>
        <v>585.49661609335567</v>
      </c>
      <c r="AO192">
        <f t="shared" si="144"/>
        <v>-859.21822863127363</v>
      </c>
      <c r="AQ192">
        <f t="shared" si="130"/>
        <v>0.40056078509913878</v>
      </c>
      <c r="AR192">
        <f t="shared" si="131"/>
        <v>-63.288604045663931</v>
      </c>
      <c r="AT192">
        <f t="shared" si="156"/>
        <v>-180124.95479943443</v>
      </c>
      <c r="AU192">
        <f t="shared" si="157"/>
        <v>-331961.40526291524</v>
      </c>
      <c r="AV192">
        <f t="shared" si="145"/>
        <v>-2.0679466837578588</v>
      </c>
      <c r="AW192">
        <f t="shared" si="146"/>
        <v>-48156.57298043718</v>
      </c>
      <c r="AX192">
        <f t="shared" si="147"/>
        <v>-42982.300038961534</v>
      </c>
      <c r="AY192">
        <f t="shared" si="155"/>
        <v>-2.4129071113327276</v>
      </c>
      <c r="BA192">
        <f t="shared" si="132"/>
        <v>5.8511112428404637</v>
      </c>
      <c r="BB192">
        <f t="shared" si="148"/>
        <v>15.344767102164802</v>
      </c>
      <c r="BC192">
        <f t="shared" si="149"/>
        <v>0.34496042757486878</v>
      </c>
      <c r="BD192">
        <f t="shared" si="133"/>
        <v>-160.23522337834717</v>
      </c>
      <c r="BF192">
        <f t="shared" si="134"/>
        <v>-7.2782824015467407</v>
      </c>
      <c r="BG192">
        <f t="shared" si="135"/>
        <v>-125.74797979713746</v>
      </c>
      <c r="BH192">
        <f t="shared" si="150"/>
        <v>54.252020202862539</v>
      </c>
      <c r="BI192">
        <f t="shared" si="151"/>
        <v>54.252020202862539</v>
      </c>
      <c r="BJ192">
        <f t="shared" si="136"/>
        <v>0</v>
      </c>
      <c r="BK192">
        <f t="shared" si="152"/>
        <v>0</v>
      </c>
      <c r="BM192">
        <f t="shared" si="153"/>
        <v>-22.623049503711542</v>
      </c>
      <c r="BN192">
        <f t="shared" si="137"/>
        <v>-145.5127564187903</v>
      </c>
      <c r="BQ192" s="56">
        <f t="shared" si="154"/>
        <v>32.24672790244994</v>
      </c>
      <c r="BR192" s="59"/>
      <c r="BS192" s="59"/>
      <c r="BT192" s="59">
        <v>6606.9340000000002</v>
      </c>
      <c r="BU192" s="59">
        <v>3.6938100000000001E-2</v>
      </c>
      <c r="BV192" s="59">
        <v>-229.60900000000001</v>
      </c>
      <c r="BW192" s="61"/>
      <c r="BY192" s="59"/>
      <c r="BZ192" s="59"/>
      <c r="CA192" s="59"/>
      <c r="CC192" s="59"/>
    </row>
    <row r="193" spans="1:81" x14ac:dyDescent="0.25">
      <c r="A193">
        <f t="shared" si="158"/>
        <v>79500</v>
      </c>
      <c r="B193">
        <f t="shared" si="138"/>
        <v>79.5</v>
      </c>
      <c r="C193">
        <f t="shared" si="107"/>
        <v>1.1978114489163041</v>
      </c>
      <c r="D193">
        <f t="shared" si="108"/>
        <v>0.5829253025954515</v>
      </c>
      <c r="F193">
        <f t="shared" si="109"/>
        <v>4.070924862412238E-3</v>
      </c>
      <c r="G193">
        <f t="shared" si="110"/>
        <v>2.1747746082801667E-2</v>
      </c>
      <c r="H193">
        <f t="shared" si="111"/>
        <v>-3.1198449039171985</v>
      </c>
      <c r="J193">
        <f t="shared" si="112"/>
        <v>15</v>
      </c>
      <c r="M193">
        <f t="shared" si="113"/>
        <v>1.6002789544340014E-2</v>
      </c>
      <c r="N193">
        <f t="shared" si="114"/>
        <v>-1.5707963250000001</v>
      </c>
      <c r="O193">
        <f t="shared" si="115"/>
        <v>23.119129055074879</v>
      </c>
      <c r="P193">
        <f t="shared" si="116"/>
        <v>1.5275286032677051</v>
      </c>
      <c r="Q193">
        <f t="shared" si="117"/>
        <v>20.420624009335658</v>
      </c>
      <c r="R193">
        <f t="shared" si="118"/>
        <v>1.5218066333401714</v>
      </c>
      <c r="S193">
        <f t="shared" si="119"/>
        <v>0.85165235396296002</v>
      </c>
      <c r="T193">
        <f t="shared" si="120"/>
        <v>-0.55166635958589127</v>
      </c>
      <c r="U193">
        <f t="shared" si="121"/>
        <v>0.89496101666391548</v>
      </c>
      <c r="V193">
        <f t="shared" si="122"/>
        <v>-0.46245250998198872</v>
      </c>
      <c r="X193">
        <f t="shared" si="139"/>
        <v>-7.5104910558183526</v>
      </c>
      <c r="Y193">
        <f t="shared" si="123"/>
        <v>-118.74547792525394</v>
      </c>
      <c r="Z193">
        <f t="shared" si="140"/>
        <v>61.254522074746063</v>
      </c>
      <c r="AC193">
        <v>1</v>
      </c>
      <c r="AD193">
        <f t="shared" si="124"/>
        <v>23.097491817624</v>
      </c>
      <c r="AE193">
        <f t="shared" si="125"/>
        <v>-1.7306254160852324E-3</v>
      </c>
      <c r="AF193">
        <f t="shared" si="126"/>
        <v>3.4716169578825002E-3</v>
      </c>
      <c r="AG193">
        <f t="shared" si="141"/>
        <v>5213.9320357937713</v>
      </c>
      <c r="AH193">
        <f t="shared" si="142"/>
        <v>-2887.2319211735366</v>
      </c>
      <c r="AJ193">
        <f t="shared" si="127"/>
        <v>18000</v>
      </c>
      <c r="AK193">
        <f t="shared" si="128"/>
        <v>11077.2054184176</v>
      </c>
      <c r="AL193">
        <v>1</v>
      </c>
      <c r="AM193">
        <f t="shared" si="129"/>
        <v>20.396124262483198</v>
      </c>
      <c r="AN193">
        <f t="shared" si="143"/>
        <v>584.96632032169737</v>
      </c>
      <c r="AO193">
        <f t="shared" si="144"/>
        <v>-853.84034023128913</v>
      </c>
      <c r="AQ193">
        <f t="shared" si="130"/>
        <v>0.39553832766395064</v>
      </c>
      <c r="AR193">
        <f t="shared" si="131"/>
        <v>-62.890594098568151</v>
      </c>
      <c r="AT193">
        <f t="shared" si="156"/>
        <v>-179517.42086496265</v>
      </c>
      <c r="AU193">
        <f t="shared" si="157"/>
        <v>-329049.29420630611</v>
      </c>
      <c r="AV193">
        <f t="shared" si="145"/>
        <v>-2.0702273350513694</v>
      </c>
      <c r="AW193">
        <f t="shared" si="146"/>
        <v>-47493.641579094765</v>
      </c>
      <c r="AX193">
        <f t="shared" si="147"/>
        <v>-42701.389047814126</v>
      </c>
      <c r="AY193">
        <f t="shared" si="155"/>
        <v>-2.4092766897009303</v>
      </c>
      <c r="BA193">
        <f t="shared" si="132"/>
        <v>5.8689216660378278</v>
      </c>
      <c r="BB193">
        <f t="shared" si="148"/>
        <v>15.371166258308433</v>
      </c>
      <c r="BC193">
        <f t="shared" si="149"/>
        <v>0.33904935464956099</v>
      </c>
      <c r="BD193">
        <f t="shared" si="133"/>
        <v>-160.57390290974834</v>
      </c>
      <c r="BF193">
        <f t="shared" si="134"/>
        <v>-7.3453776313071675</v>
      </c>
      <c r="BG193">
        <f t="shared" si="135"/>
        <v>-125.92868919558794</v>
      </c>
      <c r="BH193">
        <f t="shared" si="150"/>
        <v>54.071310804412064</v>
      </c>
      <c r="BI193">
        <f t="shared" si="151"/>
        <v>54.071310804412064</v>
      </c>
      <c r="BJ193">
        <f t="shared" si="136"/>
        <v>0</v>
      </c>
      <c r="BK193">
        <f t="shared" si="152"/>
        <v>0</v>
      </c>
      <c r="BM193">
        <f t="shared" si="153"/>
        <v>-22.716543889615597</v>
      </c>
      <c r="BN193">
        <f t="shared" si="137"/>
        <v>-145.35478628583959</v>
      </c>
      <c r="BQ193" s="56">
        <f t="shared" si="154"/>
        <v>32.273127058593573</v>
      </c>
      <c r="BR193" s="59"/>
      <c r="BS193" s="59"/>
      <c r="BT193" s="59">
        <v>6760.83</v>
      </c>
      <c r="BU193" s="59">
        <v>-4.9019100000000003E-2</v>
      </c>
      <c r="BV193" s="59">
        <v>-229.1</v>
      </c>
      <c r="BW193" s="61"/>
      <c r="BY193" s="59"/>
      <c r="BZ193" s="59"/>
      <c r="CA193" s="59"/>
      <c r="CC193" s="59"/>
    </row>
    <row r="194" spans="1:81" x14ac:dyDescent="0.25">
      <c r="A194">
        <f t="shared" si="158"/>
        <v>80000</v>
      </c>
      <c r="B194">
        <f t="shared" si="138"/>
        <v>80</v>
      </c>
      <c r="C194">
        <f t="shared" si="107"/>
        <v>1.2000991817055942</v>
      </c>
      <c r="D194">
        <f t="shared" si="108"/>
        <v>0.58581012316697767</v>
      </c>
      <c r="F194">
        <f t="shared" si="109"/>
        <v>4.0200040897677303E-3</v>
      </c>
      <c r="G194">
        <f t="shared" si="110"/>
        <v>2.1610762495831069E-2</v>
      </c>
      <c r="H194">
        <f t="shared" si="111"/>
        <v>-3.1199818875041689</v>
      </c>
      <c r="J194">
        <f t="shared" si="112"/>
        <v>15</v>
      </c>
      <c r="M194">
        <f t="shared" si="113"/>
        <v>1.5902772109687886E-2</v>
      </c>
      <c r="N194">
        <f t="shared" si="114"/>
        <v>-1.5707963250000001</v>
      </c>
      <c r="O194">
        <f t="shared" si="115"/>
        <v>23.264261191858779</v>
      </c>
      <c r="P194">
        <f t="shared" si="116"/>
        <v>1.5277986923122284</v>
      </c>
      <c r="Q194">
        <f t="shared" si="117"/>
        <v>20.548748578997248</v>
      </c>
      <c r="R194">
        <f t="shared" si="118"/>
        <v>1.5221123338367504</v>
      </c>
      <c r="S194">
        <f t="shared" si="119"/>
        <v>0.85018023901982032</v>
      </c>
      <c r="T194">
        <f t="shared" si="120"/>
        <v>-0.55446878785973897</v>
      </c>
      <c r="U194">
        <f t="shared" si="121"/>
        <v>0.89383924565306672</v>
      </c>
      <c r="V194">
        <f t="shared" si="122"/>
        <v>-0.46496057127096951</v>
      </c>
      <c r="X194">
        <f t="shared" si="139"/>
        <v>-7.5749440371006731</v>
      </c>
      <c r="Y194">
        <f t="shared" si="123"/>
        <v>-118.85931679188444</v>
      </c>
      <c r="Z194">
        <f t="shared" si="140"/>
        <v>61.140683208115561</v>
      </c>
      <c r="AC194">
        <v>1</v>
      </c>
      <c r="AD194">
        <f t="shared" si="124"/>
        <v>23.242759061760001</v>
      </c>
      <c r="AE194">
        <f t="shared" si="125"/>
        <v>-1.7524627448195068E-3</v>
      </c>
      <c r="AF194">
        <f t="shared" si="126"/>
        <v>3.4934510268E-3</v>
      </c>
      <c r="AG194">
        <f t="shared" si="141"/>
        <v>5200.8696293939674</v>
      </c>
      <c r="AH194">
        <f t="shared" si="142"/>
        <v>-2895.2260067721309</v>
      </c>
      <c r="AJ194">
        <f t="shared" si="127"/>
        <v>18000</v>
      </c>
      <c r="AK194">
        <f t="shared" si="128"/>
        <v>11146.873377024</v>
      </c>
      <c r="AL194">
        <v>1</v>
      </c>
      <c r="AM194">
        <f t="shared" si="129"/>
        <v>20.524401773567998</v>
      </c>
      <c r="AN194">
        <f t="shared" si="143"/>
        <v>584.44590509350087</v>
      </c>
      <c r="AO194">
        <f t="shared" si="144"/>
        <v>-848.52919403160502</v>
      </c>
      <c r="AQ194">
        <f t="shared" si="130"/>
        <v>0.39060974180696068</v>
      </c>
      <c r="AR194">
        <f t="shared" si="131"/>
        <v>-62.49755868911371</v>
      </c>
      <c r="AT194">
        <f t="shared" si="156"/>
        <v>-178913.04693338033</v>
      </c>
      <c r="AU194">
        <f t="shared" si="157"/>
        <v>-326172.55838045658</v>
      </c>
      <c r="AV194">
        <f t="shared" si="145"/>
        <v>-2.0725046139268355</v>
      </c>
      <c r="AW194">
        <f t="shared" si="146"/>
        <v>-46843.323997801337</v>
      </c>
      <c r="AX194">
        <f t="shared" si="147"/>
        <v>-42424.719599750737</v>
      </c>
      <c r="AY194">
        <f t="shared" si="155"/>
        <v>-2.4056522904087863</v>
      </c>
      <c r="BA194">
        <f t="shared" si="132"/>
        <v>5.8864460249623765</v>
      </c>
      <c r="BB194">
        <f t="shared" si="148"/>
        <v>15.39706332326729</v>
      </c>
      <c r="BC194">
        <f t="shared" si="149"/>
        <v>0.33314767648195076</v>
      </c>
      <c r="BD194">
        <f t="shared" si="133"/>
        <v>-160.9120441611833</v>
      </c>
      <c r="BF194">
        <f t="shared" si="134"/>
        <v>-7.412238804889121</v>
      </c>
      <c r="BG194">
        <f t="shared" si="135"/>
        <v>-126.10939098483799</v>
      </c>
      <c r="BH194">
        <f t="shared" si="150"/>
        <v>53.890609015162013</v>
      </c>
      <c r="BI194">
        <f t="shared" si="151"/>
        <v>53.890609015162013</v>
      </c>
      <c r="BJ194">
        <f t="shared" si="136"/>
        <v>0</v>
      </c>
      <c r="BK194">
        <f t="shared" si="152"/>
        <v>0</v>
      </c>
      <c r="BM194">
        <f t="shared" si="153"/>
        <v>-22.809302128156407</v>
      </c>
      <c r="BN194">
        <f t="shared" si="137"/>
        <v>-145.1973468236547</v>
      </c>
      <c r="BQ194" s="56">
        <f t="shared" si="154"/>
        <v>32.299024123552428</v>
      </c>
      <c r="BR194" s="59"/>
      <c r="BS194" s="59"/>
      <c r="BT194" s="59">
        <v>6918.31</v>
      </c>
      <c r="BU194" s="59">
        <v>-0.21798300000000001</v>
      </c>
      <c r="BV194" s="59">
        <v>-228.376</v>
      </c>
      <c r="BW194" s="61"/>
      <c r="BY194" s="59"/>
      <c r="BZ194" s="59"/>
      <c r="CA194" s="59"/>
      <c r="CC194" s="59"/>
    </row>
    <row r="195" spans="1:81" x14ac:dyDescent="0.25">
      <c r="A195">
        <f t="shared" si="158"/>
        <v>80500</v>
      </c>
      <c r="B195">
        <f t="shared" si="138"/>
        <v>80.5</v>
      </c>
      <c r="C195">
        <f t="shared" si="107"/>
        <v>1.2023968638944615</v>
      </c>
      <c r="D195">
        <f t="shared" si="108"/>
        <v>0.58868394226607723</v>
      </c>
      <c r="F195">
        <f t="shared" si="109"/>
        <v>3.9700339597764246E-3</v>
      </c>
      <c r="G195">
        <f t="shared" si="110"/>
        <v>2.1475500235815573E-2</v>
      </c>
      <c r="H195">
        <f t="shared" si="111"/>
        <v>-3.1201171497641846</v>
      </c>
      <c r="J195">
        <f t="shared" si="112"/>
        <v>15</v>
      </c>
      <c r="M195">
        <f t="shared" si="113"/>
        <v>1.5803997127640138E-2</v>
      </c>
      <c r="N195">
        <f t="shared" si="114"/>
        <v>-1.5707963250000001</v>
      </c>
      <c r="O195">
        <f t="shared" si="115"/>
        <v>23.409395004683123</v>
      </c>
      <c r="P195">
        <f t="shared" si="116"/>
        <v>1.5280654323742238</v>
      </c>
      <c r="Q195">
        <f t="shared" si="117"/>
        <v>20.676875045197885</v>
      </c>
      <c r="R195">
        <f t="shared" si="118"/>
        <v>1.5224142457496515</v>
      </c>
      <c r="S195">
        <f t="shared" si="119"/>
        <v>0.8487065736029481</v>
      </c>
      <c r="T195">
        <f t="shared" si="120"/>
        <v>-0.55726152278907781</v>
      </c>
      <c r="U195">
        <f t="shared" si="121"/>
        <v>0.89271468883015603</v>
      </c>
      <c r="V195">
        <f t="shared" si="122"/>
        <v>-0.46746233738111459</v>
      </c>
      <c r="X195">
        <f t="shared" si="139"/>
        <v>-7.6390880482917192</v>
      </c>
      <c r="Y195">
        <f t="shared" si="123"/>
        <v>-118.97318024919505</v>
      </c>
      <c r="Z195">
        <f t="shared" si="140"/>
        <v>61.026819750804947</v>
      </c>
      <c r="AC195">
        <v>1</v>
      </c>
      <c r="AD195">
        <f t="shared" si="124"/>
        <v>23.388026305896002</v>
      </c>
      <c r="AE195">
        <f t="shared" si="125"/>
        <v>-1.7744369847057203E-3</v>
      </c>
      <c r="AF195">
        <f t="shared" si="126"/>
        <v>3.5152850957174998E-3</v>
      </c>
      <c r="AG195">
        <f t="shared" si="141"/>
        <v>5187.7912279041993</v>
      </c>
      <c r="AH195">
        <f t="shared" si="142"/>
        <v>-2903.1524743634213</v>
      </c>
      <c r="AJ195">
        <f t="shared" si="127"/>
        <v>18000</v>
      </c>
      <c r="AK195">
        <f t="shared" si="128"/>
        <v>11216.5413356304</v>
      </c>
      <c r="AL195">
        <v>1</v>
      </c>
      <c r="AM195">
        <f t="shared" si="129"/>
        <v>20.652679284652798</v>
      </c>
      <c r="AN195">
        <f t="shared" si="143"/>
        <v>583.9351266536878</v>
      </c>
      <c r="AO195">
        <f t="shared" si="144"/>
        <v>-843.28355819132651</v>
      </c>
      <c r="AQ195">
        <f t="shared" si="130"/>
        <v>0.38577270272355529</v>
      </c>
      <c r="AR195">
        <f t="shared" si="131"/>
        <v>-62.109405138492399</v>
      </c>
      <c r="AT195">
        <f t="shared" si="156"/>
        <v>-178311.76496590025</v>
      </c>
      <c r="AU195">
        <f t="shared" si="157"/>
        <v>-323330.58412427263</v>
      </c>
      <c r="AV195">
        <f t="shared" si="145"/>
        <v>-2.0747784583438178</v>
      </c>
      <c r="AW195">
        <f t="shared" si="146"/>
        <v>-46205.308898640164</v>
      </c>
      <c r="AX195">
        <f t="shared" si="147"/>
        <v>-42152.194092323443</v>
      </c>
      <c r="AY195">
        <f t="shared" si="155"/>
        <v>-2.4020341231903783</v>
      </c>
      <c r="BA195">
        <f t="shared" si="132"/>
        <v>5.903685083496419</v>
      </c>
      <c r="BB195">
        <f t="shared" si="148"/>
        <v>15.422463662792168</v>
      </c>
      <c r="BC195">
        <f t="shared" si="149"/>
        <v>0.32725566484656055</v>
      </c>
      <c r="BD195">
        <f t="shared" si="133"/>
        <v>-161.24963156111889</v>
      </c>
      <c r="BF195">
        <f t="shared" si="134"/>
        <v>-7.4788700242145794</v>
      </c>
      <c r="BG195">
        <f t="shared" si="135"/>
        <v>-126.29007063575807</v>
      </c>
      <c r="BH195">
        <f t="shared" si="150"/>
        <v>53.70992936424193</v>
      </c>
      <c r="BI195">
        <f t="shared" si="151"/>
        <v>53.70992936424193</v>
      </c>
      <c r="BJ195">
        <f t="shared" si="136"/>
        <v>0</v>
      </c>
      <c r="BK195">
        <f t="shared" si="152"/>
        <v>0</v>
      </c>
      <c r="BM195">
        <f t="shared" si="153"/>
        <v>-22.901333687006744</v>
      </c>
      <c r="BN195">
        <f t="shared" si="137"/>
        <v>-145.04043907463921</v>
      </c>
      <c r="BQ195" s="56">
        <f t="shared" si="154"/>
        <v>32.3244244630773</v>
      </c>
      <c r="BR195" s="59"/>
      <c r="BS195" s="59"/>
      <c r="BT195" s="59">
        <v>7079.4579999999996</v>
      </c>
      <c r="BU195" s="59">
        <v>-0.38401400000000002</v>
      </c>
      <c r="BV195" s="59">
        <v>-227.04400000000001</v>
      </c>
      <c r="BW195" s="61"/>
      <c r="BY195" s="59"/>
      <c r="BZ195" s="59"/>
      <c r="CA195" s="59"/>
      <c r="CC195" s="59"/>
    </row>
    <row r="196" spans="1:81" x14ac:dyDescent="0.25">
      <c r="A196">
        <f t="shared" si="158"/>
        <v>81000</v>
      </c>
      <c r="B196">
        <f t="shared" si="138"/>
        <v>81</v>
      </c>
      <c r="C196">
        <f t="shared" si="107"/>
        <v>1.2047044385546914</v>
      </c>
      <c r="D196">
        <f t="shared" si="108"/>
        <v>0.59154677550765722</v>
      </c>
      <c r="F196">
        <f t="shared" si="109"/>
        <v>3.9209909267193237E-3</v>
      </c>
      <c r="G196">
        <f t="shared" si="110"/>
        <v>2.1341926942269669E-2</v>
      </c>
      <c r="H196">
        <f t="shared" si="111"/>
        <v>-3.1202507230577305</v>
      </c>
      <c r="J196">
        <f t="shared" si="112"/>
        <v>15</v>
      </c>
      <c r="M196">
        <f t="shared" si="113"/>
        <v>1.5706441589815198E-2</v>
      </c>
      <c r="N196">
        <f t="shared" si="114"/>
        <v>-1.5707963250000001</v>
      </c>
      <c r="O196">
        <f t="shared" si="115"/>
        <v>23.554530462566593</v>
      </c>
      <c r="P196">
        <f t="shared" si="116"/>
        <v>1.5283288853214456</v>
      </c>
      <c r="Q196">
        <f t="shared" si="117"/>
        <v>20.805003372898376</v>
      </c>
      <c r="R196">
        <f t="shared" si="118"/>
        <v>1.5227124390196884</v>
      </c>
      <c r="S196">
        <f t="shared" si="119"/>
        <v>0.84723143454310124</v>
      </c>
      <c r="T196">
        <f t="shared" si="120"/>
        <v>-0.56004457124232288</v>
      </c>
      <c r="U196">
        <f t="shared" si="121"/>
        <v>0.89158739884696914</v>
      </c>
      <c r="V196">
        <f t="shared" si="122"/>
        <v>-0.46995780078553145</v>
      </c>
      <c r="X196">
        <f t="shared" si="139"/>
        <v>-7.7029272996937648</v>
      </c>
      <c r="Y196">
        <f t="shared" si="123"/>
        <v>-119.0870616668341</v>
      </c>
      <c r="Z196">
        <f t="shared" si="140"/>
        <v>60.912938333165897</v>
      </c>
      <c r="AC196">
        <v>1</v>
      </c>
      <c r="AD196">
        <f t="shared" si="124"/>
        <v>23.533293550031999</v>
      </c>
      <c r="AE196">
        <f t="shared" si="125"/>
        <v>-1.7965481357438725E-3</v>
      </c>
      <c r="AF196">
        <f t="shared" si="126"/>
        <v>3.5371191646350001E-3</v>
      </c>
      <c r="AG196">
        <f t="shared" si="141"/>
        <v>5174.6975648580374</v>
      </c>
      <c r="AH196">
        <f t="shared" si="142"/>
        <v>-2911.0111319211333</v>
      </c>
      <c r="AJ196">
        <f t="shared" si="127"/>
        <v>18000</v>
      </c>
      <c r="AK196">
        <f t="shared" si="128"/>
        <v>11286.2092942368</v>
      </c>
      <c r="AL196">
        <v>1</v>
      </c>
      <c r="AM196">
        <f t="shared" si="129"/>
        <v>20.780956795737598</v>
      </c>
      <c r="AN196">
        <f t="shared" si="143"/>
        <v>583.43374871217623</v>
      </c>
      <c r="AO196">
        <f t="shared" si="144"/>
        <v>-838.10223092615979</v>
      </c>
      <c r="AQ196">
        <f t="shared" si="130"/>
        <v>0.38102495713469231</v>
      </c>
      <c r="AR196">
        <f t="shared" si="131"/>
        <v>-61.726043055820156</v>
      </c>
      <c r="AT196">
        <f t="shared" si="156"/>
        <v>-177713.50954710061</v>
      </c>
      <c r="AU196">
        <f t="shared" si="157"/>
        <v>-320522.77258103376</v>
      </c>
      <c r="AV196">
        <f t="shared" si="145"/>
        <v>-2.0770488079490983</v>
      </c>
      <c r="AW196">
        <f t="shared" si="146"/>
        <v>-45579.294454381445</v>
      </c>
      <c r="AX196">
        <f t="shared" si="147"/>
        <v>-41883.717864080922</v>
      </c>
      <c r="AY196">
        <f t="shared" si="155"/>
        <v>-2.3984223941436884</v>
      </c>
      <c r="BA196">
        <f t="shared" si="132"/>
        <v>5.9206396481347943</v>
      </c>
      <c r="BB196">
        <f t="shared" si="148"/>
        <v>15.447372582595747</v>
      </c>
      <c r="BC196">
        <f t="shared" si="149"/>
        <v>0.32137358619459011</v>
      </c>
      <c r="BD196">
        <f t="shared" si="133"/>
        <v>-161.5866498430259</v>
      </c>
      <c r="BF196">
        <f t="shared" si="134"/>
        <v>-7.5452752808839465</v>
      </c>
      <c r="BG196">
        <f t="shared" si="135"/>
        <v>-126.47071384126994</v>
      </c>
      <c r="BH196">
        <f t="shared" si="150"/>
        <v>53.529286158730059</v>
      </c>
      <c r="BI196">
        <f t="shared" si="151"/>
        <v>53.529286158730059</v>
      </c>
      <c r="BJ196">
        <f t="shared" si="136"/>
        <v>0</v>
      </c>
      <c r="BK196">
        <f t="shared" si="152"/>
        <v>0</v>
      </c>
      <c r="BM196">
        <f t="shared" si="153"/>
        <v>-22.992647863479693</v>
      </c>
      <c r="BN196">
        <f t="shared" si="137"/>
        <v>-144.88406399824405</v>
      </c>
      <c r="BQ196" s="56">
        <f t="shared" si="154"/>
        <v>32.349333382880886</v>
      </c>
      <c r="BR196" s="59"/>
      <c r="BS196" s="59"/>
      <c r="BT196" s="59">
        <v>7244.36</v>
      </c>
      <c r="BU196" s="59">
        <v>-0.57486000000000004</v>
      </c>
      <c r="BV196" s="59">
        <v>-226.239</v>
      </c>
      <c r="BW196" s="61"/>
      <c r="BY196" s="59"/>
      <c r="BZ196" s="59"/>
      <c r="CA196" s="59"/>
      <c r="CC196" s="59"/>
    </row>
    <row r="197" spans="1:81" x14ac:dyDescent="0.25">
      <c r="A197">
        <f t="shared" si="158"/>
        <v>81500</v>
      </c>
      <c r="B197">
        <f t="shared" si="138"/>
        <v>81.5</v>
      </c>
      <c r="C197">
        <f t="shared" si="107"/>
        <v>1.2070218489492435</v>
      </c>
      <c r="D197">
        <f t="shared" si="108"/>
        <v>0.59439863910777402</v>
      </c>
      <c r="F197">
        <f t="shared" si="109"/>
        <v>3.872852170238045E-3</v>
      </c>
      <c r="G197">
        <f t="shared" si="110"/>
        <v>2.1210011063648709E-2</v>
      </c>
      <c r="H197">
        <f t="shared" si="111"/>
        <v>-3.1203826389363516</v>
      </c>
      <c r="J197">
        <f t="shared" si="112"/>
        <v>15</v>
      </c>
      <c r="M197">
        <f t="shared" si="113"/>
        <v>1.5610083052454369E-2</v>
      </c>
      <c r="N197">
        <f t="shared" si="114"/>
        <v>-1.5707963250000001</v>
      </c>
      <c r="O197">
        <f t="shared" si="115"/>
        <v>23.699667535286437</v>
      </c>
      <c r="P197">
        <f t="shared" si="116"/>
        <v>1.5285891115079837</v>
      </c>
      <c r="Q197">
        <f t="shared" si="117"/>
        <v>20.933133527916905</v>
      </c>
      <c r="R197">
        <f t="shared" si="118"/>
        <v>1.5230069818779486</v>
      </c>
      <c r="S197">
        <f t="shared" si="119"/>
        <v>0.84575489788463876</v>
      </c>
      <c r="T197">
        <f t="shared" si="120"/>
        <v>-0.56281794064052593</v>
      </c>
      <c r="U197">
        <f t="shared" si="121"/>
        <v>0.89045742808434736</v>
      </c>
      <c r="V197">
        <f t="shared" si="122"/>
        <v>-0.47244695430919448</v>
      </c>
      <c r="X197">
        <f t="shared" si="139"/>
        <v>-7.7664659143838346</v>
      </c>
      <c r="Y197">
        <f t="shared" si="123"/>
        <v>-119.20095457016866</v>
      </c>
      <c r="Z197">
        <f t="shared" si="140"/>
        <v>60.799045429831338</v>
      </c>
      <c r="AC197">
        <v>1</v>
      </c>
      <c r="AD197">
        <f t="shared" si="124"/>
        <v>23.678560794168</v>
      </c>
      <c r="AE197">
        <f t="shared" si="125"/>
        <v>-1.8187961979339641E-3</v>
      </c>
      <c r="AF197">
        <f t="shared" si="126"/>
        <v>3.5589532335524999E-3</v>
      </c>
      <c r="AG197">
        <f t="shared" si="141"/>
        <v>5161.5893678525335</v>
      </c>
      <c r="AH197">
        <f t="shared" si="142"/>
        <v>-2918.8018037476481</v>
      </c>
      <c r="AJ197">
        <f t="shared" si="127"/>
        <v>18000</v>
      </c>
      <c r="AK197">
        <f t="shared" si="128"/>
        <v>11355.8772528432</v>
      </c>
      <c r="AL197">
        <v>1</v>
      </c>
      <c r="AM197">
        <f t="shared" si="129"/>
        <v>20.909234306822398</v>
      </c>
      <c r="AN197">
        <f t="shared" si="143"/>
        <v>582.9415421714225</v>
      </c>
      <c r="AO197">
        <f t="shared" si="144"/>
        <v>-832.98403959946199</v>
      </c>
      <c r="AQ197">
        <f t="shared" si="130"/>
        <v>0.37636432066240122</v>
      </c>
      <c r="AR197">
        <f t="shared" si="131"/>
        <v>-61.3473842679714</v>
      </c>
      <c r="AT197">
        <f t="shared" si="156"/>
        <v>-177118.21778058494</v>
      </c>
      <c r="AU197">
        <f t="shared" si="157"/>
        <v>-317748.53924114065</v>
      </c>
      <c r="AV197">
        <f t="shared" si="145"/>
        <v>-2.0793156040331278</v>
      </c>
      <c r="AW197">
        <f t="shared" si="146"/>
        <v>-44964.988001910177</v>
      </c>
      <c r="AX197">
        <f t="shared" si="147"/>
        <v>-41619.199085608132</v>
      </c>
      <c r="AY197">
        <f t="shared" si="155"/>
        <v>-2.394817305756467</v>
      </c>
      <c r="BA197">
        <f t="shared" si="132"/>
        <v>5.9373105673862785</v>
      </c>
      <c r="BB197">
        <f t="shared" si="148"/>
        <v>15.471795329791121</v>
      </c>
      <c r="BC197">
        <f t="shared" si="149"/>
        <v>0.31550170172333925</v>
      </c>
      <c r="BD197">
        <f t="shared" si="133"/>
        <v>-161.92308404140141</v>
      </c>
      <c r="BF197">
        <f t="shared" si="134"/>
        <v>-7.6114584588572427</v>
      </c>
      <c r="BG197">
        <f t="shared" si="135"/>
        <v>-126.65130651452944</v>
      </c>
      <c r="BH197">
        <f t="shared" si="150"/>
        <v>53.348693485470562</v>
      </c>
      <c r="BI197">
        <f t="shared" si="151"/>
        <v>53.348693485470562</v>
      </c>
      <c r="BJ197">
        <f t="shared" si="136"/>
        <v>0</v>
      </c>
      <c r="BK197">
        <f t="shared" si="152"/>
        <v>0</v>
      </c>
      <c r="BM197">
        <f t="shared" si="153"/>
        <v>-23.083253788648364</v>
      </c>
      <c r="BN197">
        <f t="shared" si="137"/>
        <v>-144.72822247312806</v>
      </c>
      <c r="BQ197" s="56">
        <f t="shared" si="154"/>
        <v>32.373756130076259</v>
      </c>
      <c r="BR197" s="59"/>
      <c r="BS197" s="59"/>
      <c r="BT197" s="59">
        <v>7413.1019999999999</v>
      </c>
      <c r="BU197" s="59">
        <v>-0.73329999999999995</v>
      </c>
      <c r="BV197" s="59">
        <v>-225.834</v>
      </c>
      <c r="BW197" s="61"/>
      <c r="BY197" s="59"/>
      <c r="BZ197" s="59"/>
      <c r="CA197" s="59"/>
      <c r="CC197" s="59"/>
    </row>
    <row r="198" spans="1:81" x14ac:dyDescent="0.25">
      <c r="A198">
        <f t="shared" si="158"/>
        <v>82000</v>
      </c>
      <c r="B198">
        <f t="shared" si="138"/>
        <v>82</v>
      </c>
      <c r="C198">
        <f t="shared" si="107"/>
        <v>1.2093490385350563</v>
      </c>
      <c r="D198">
        <f t="shared" si="108"/>
        <v>0.59723954987218941</v>
      </c>
      <c r="F198">
        <f t="shared" si="109"/>
        <v>3.825595568652872E-3</v>
      </c>
      <c r="G198">
        <f t="shared" si="110"/>
        <v>2.1079721832144363E-2</v>
      </c>
      <c r="H198">
        <f t="shared" si="111"/>
        <v>-3.1205129281678556</v>
      </c>
      <c r="J198">
        <f t="shared" si="112"/>
        <v>15</v>
      </c>
      <c r="M198">
        <f t="shared" si="113"/>
        <v>1.5514899619207696E-2</v>
      </c>
      <c r="N198">
        <f t="shared" si="114"/>
        <v>-1.5707963250000001</v>
      </c>
      <c r="O198">
        <f t="shared" si="115"/>
        <v>23.844806193355392</v>
      </c>
      <c r="P198">
        <f t="shared" si="116"/>
        <v>1.5288461698202465</v>
      </c>
      <c r="Q198">
        <f t="shared" si="117"/>
        <v>21.061265476902978</v>
      </c>
      <c r="R198">
        <f t="shared" si="118"/>
        <v>1.5232979408976781</v>
      </c>
      <c r="S198">
        <f t="shared" si="119"/>
        <v>0.84427703888473393</v>
      </c>
      <c r="T198">
        <f t="shared" si="120"/>
        <v>-0.56558163894878521</v>
      </c>
      <c r="U198">
        <f t="shared" si="121"/>
        <v>0.88932482864873152</v>
      </c>
      <c r="V198">
        <f t="shared" si="122"/>
        <v>-0.4749297911260757</v>
      </c>
      <c r="X198">
        <f t="shared" si="139"/>
        <v>-7.8297079304774204</v>
      </c>
      <c r="Y198">
        <f t="shared" si="123"/>
        <v>-119.31485263612022</v>
      </c>
      <c r="Z198">
        <f t="shared" si="140"/>
        <v>60.685147363879778</v>
      </c>
      <c r="AC198">
        <v>1</v>
      </c>
      <c r="AD198">
        <f t="shared" si="124"/>
        <v>23.823828038304001</v>
      </c>
      <c r="AE198">
        <f t="shared" si="125"/>
        <v>-1.8411811712759946E-3</v>
      </c>
      <c r="AF198">
        <f t="shared" si="126"/>
        <v>3.5807873024699998E-3</v>
      </c>
      <c r="AG198">
        <f t="shared" si="141"/>
        <v>5148.4673585096361</v>
      </c>
      <c r="AH198">
        <f t="shared" si="142"/>
        <v>-2926.5243300512388</v>
      </c>
      <c r="AJ198">
        <f t="shared" si="127"/>
        <v>18000</v>
      </c>
      <c r="AK198">
        <f t="shared" si="128"/>
        <v>11425.5452114496</v>
      </c>
      <c r="AL198">
        <v>1</v>
      </c>
      <c r="AM198">
        <f t="shared" si="129"/>
        <v>21.037511817907198</v>
      </c>
      <c r="AN198">
        <f t="shared" si="143"/>
        <v>582.45828486548487</v>
      </c>
      <c r="AO198">
        <f t="shared" si="144"/>
        <v>-827.92783984599589</v>
      </c>
      <c r="AQ198">
        <f t="shared" si="130"/>
        <v>0.37178867531694987</v>
      </c>
      <c r="AR198">
        <f t="shared" si="131"/>
        <v>-60.973342751979771</v>
      </c>
      <c r="AT198">
        <f t="shared" si="156"/>
        <v>-176525.8291890893</v>
      </c>
      <c r="AU198">
        <f t="shared" si="157"/>
        <v>-315007.31350174051</v>
      </c>
      <c r="AV198">
        <f t="shared" si="145"/>
        <v>-2.0815787894879403</v>
      </c>
      <c r="AW198">
        <f t="shared" si="146"/>
        <v>-44362.105710296833</v>
      </c>
      <c r="AX198">
        <f t="shared" si="147"/>
        <v>-41358.548655339611</v>
      </c>
      <c r="AY198">
        <f t="shared" si="155"/>
        <v>-2.391219056931166</v>
      </c>
      <c r="BA198">
        <f t="shared" si="132"/>
        <v>5.9536987311590277</v>
      </c>
      <c r="BB198">
        <f t="shared" si="148"/>
        <v>15.495737094270845</v>
      </c>
      <c r="BC198">
        <f t="shared" si="149"/>
        <v>0.3096402674432257</v>
      </c>
      <c r="BD198">
        <f t="shared" si="133"/>
        <v>-162.25891948792895</v>
      </c>
      <c r="BF198">
        <f t="shared" si="134"/>
        <v>-7.6774233370670339</v>
      </c>
      <c r="BG198">
        <f t="shared" si="135"/>
        <v>-126.83183478718645</v>
      </c>
      <c r="BH198">
        <f t="shared" si="150"/>
        <v>53.168165212813548</v>
      </c>
      <c r="BI198">
        <f t="shared" si="151"/>
        <v>53.168165212813548</v>
      </c>
      <c r="BJ198">
        <f t="shared" si="136"/>
        <v>0</v>
      </c>
      <c r="BK198">
        <f t="shared" si="152"/>
        <v>0</v>
      </c>
      <c r="BM198">
        <f t="shared" si="153"/>
        <v>-23.17316043133788</v>
      </c>
      <c r="BN198">
        <f t="shared" si="137"/>
        <v>-144.57291529925752</v>
      </c>
      <c r="BQ198" s="56">
        <f t="shared" si="154"/>
        <v>32.397697894555982</v>
      </c>
      <c r="BR198" s="59"/>
      <c r="BS198" s="59"/>
      <c r="BT198" s="59">
        <v>7585.7759999999998</v>
      </c>
      <c r="BU198" s="59">
        <v>-0.87090199999999995</v>
      </c>
      <c r="BV198" s="59">
        <v>-224.429</v>
      </c>
      <c r="BW198" s="61"/>
      <c r="BY198" s="59"/>
      <c r="BZ198" s="59"/>
      <c r="CA198" s="59"/>
      <c r="CC198" s="59"/>
    </row>
    <row r="199" spans="1:81" x14ac:dyDescent="0.25">
      <c r="A199">
        <f t="shared" si="158"/>
        <v>82500</v>
      </c>
      <c r="B199">
        <f t="shared" si="138"/>
        <v>82.5</v>
      </c>
      <c r="C199">
        <f t="shared" si="107"/>
        <v>1.2116859509657683</v>
      </c>
      <c r="D199">
        <f t="shared" si="108"/>
        <v>0.60006952518500889</v>
      </c>
      <c r="F199">
        <f t="shared" si="109"/>
        <v>3.7791996734201799E-3</v>
      </c>
      <c r="G199">
        <f t="shared" si="110"/>
        <v>2.0951029239419661E-2</v>
      </c>
      <c r="H199">
        <f t="shared" si="111"/>
        <v>-3.1206416207605807</v>
      </c>
      <c r="J199">
        <f t="shared" si="112"/>
        <v>15</v>
      </c>
      <c r="M199">
        <f t="shared" si="113"/>
        <v>1.5420869924545829E-2</v>
      </c>
      <c r="N199">
        <f t="shared" si="114"/>
        <v>-1.5707963250000001</v>
      </c>
      <c r="O199">
        <f t="shared" si="115"/>
        <v>23.989946407999486</v>
      </c>
      <c r="P199">
        <f t="shared" si="116"/>
        <v>1.5291001177212789</v>
      </c>
      <c r="Q199">
        <f t="shared" si="117"/>
        <v>21.189399187312311</v>
      </c>
      <c r="R199">
        <f t="shared" si="118"/>
        <v>1.523585381044293</v>
      </c>
      <c r="S199">
        <f t="shared" si="119"/>
        <v>0.84279793201281183</v>
      </c>
      <c r="T199">
        <f t="shared" si="120"/>
        <v>-0.56833567466768742</v>
      </c>
      <c r="U199">
        <f t="shared" si="121"/>
        <v>0.8881896523688072</v>
      </c>
      <c r="V199">
        <f t="shared" si="122"/>
        <v>-0.47740630475625878</v>
      </c>
      <c r="X199">
        <f t="shared" si="139"/>
        <v>-7.8926573033202274</v>
      </c>
      <c r="Y199">
        <f t="shared" si="123"/>
        <v>-119.42874968914583</v>
      </c>
      <c r="Z199">
        <f t="shared" si="140"/>
        <v>60.571250310854168</v>
      </c>
      <c r="AC199">
        <v>1</v>
      </c>
      <c r="AD199">
        <f t="shared" si="124"/>
        <v>23.969095282440001</v>
      </c>
      <c r="AE199">
        <f t="shared" si="125"/>
        <v>-1.8637030557699639E-3</v>
      </c>
      <c r="AF199">
        <f t="shared" si="126"/>
        <v>3.6026213713875E-3</v>
      </c>
      <c r="AG199">
        <f t="shared" si="141"/>
        <v>5135.3322524395526</v>
      </c>
      <c r="AH199">
        <f t="shared" si="142"/>
        <v>-2934.1785665348652</v>
      </c>
      <c r="AJ199">
        <f t="shared" si="127"/>
        <v>18000</v>
      </c>
      <c r="AK199">
        <f t="shared" si="128"/>
        <v>11495.213170055998</v>
      </c>
      <c r="AL199">
        <v>1</v>
      </c>
      <c r="AM199">
        <f t="shared" si="129"/>
        <v>21.165789328991998</v>
      </c>
      <c r="AN199">
        <f t="shared" si="143"/>
        <v>581.98376131005693</v>
      </c>
      <c r="AO199">
        <f t="shared" si="144"/>
        <v>-822.93251472703105</v>
      </c>
      <c r="AQ199">
        <f t="shared" si="130"/>
        <v>0.36729596709028134</v>
      </c>
      <c r="AR199">
        <f t="shared" si="131"/>
        <v>-60.603834569896421</v>
      </c>
      <c r="AT199">
        <f t="shared" si="156"/>
        <v>-175936.28561882512</v>
      </c>
      <c r="AU199">
        <f t="shared" si="157"/>
        <v>-312298.53824251122</v>
      </c>
      <c r="AV199">
        <f t="shared" si="145"/>
        <v>-2.0838383087664627</v>
      </c>
      <c r="AW199">
        <f t="shared" si="146"/>
        <v>-43770.372262808749</v>
      </c>
      <c r="AX199">
        <f t="shared" si="147"/>
        <v>-41101.680099906232</v>
      </c>
      <c r="AY199">
        <f t="shared" si="155"/>
        <v>-2.387627843009037</v>
      </c>
      <c r="BA199">
        <f t="shared" si="132"/>
        <v>5.9698050701306942</v>
      </c>
      <c r="BB199">
        <f t="shared" si="148"/>
        <v>15.519203010028859</v>
      </c>
      <c r="BC199">
        <f t="shared" si="149"/>
        <v>0.30378953424257427</v>
      </c>
      <c r="BD199">
        <f t="shared" si="133"/>
        <v>-162.59414180776639</v>
      </c>
      <c r="BF199">
        <f t="shared" si="134"/>
        <v>-7.7431735919655633</v>
      </c>
      <c r="BG199">
        <f t="shared" si="135"/>
        <v>-127.01228500771401</v>
      </c>
      <c r="BH199">
        <f t="shared" si="150"/>
        <v>52.987714992285987</v>
      </c>
      <c r="BI199">
        <f t="shared" si="151"/>
        <v>52.987714992285987</v>
      </c>
      <c r="BJ199">
        <f t="shared" si="136"/>
        <v>0</v>
      </c>
      <c r="BK199">
        <f t="shared" si="152"/>
        <v>0</v>
      </c>
      <c r="BM199">
        <f t="shared" si="153"/>
        <v>-23.262376601994422</v>
      </c>
      <c r="BN199">
        <f t="shared" si="137"/>
        <v>-144.41814319994762</v>
      </c>
      <c r="BQ199" s="56">
        <f t="shared" si="154"/>
        <v>32.421163810313999</v>
      </c>
      <c r="BR199" s="59"/>
      <c r="BS199" s="59"/>
      <c r="BT199" s="59">
        <v>7762.4709999999995</v>
      </c>
      <c r="BU199" s="59">
        <v>-1.0348599999999999</v>
      </c>
      <c r="BV199" s="59">
        <v>-223.255</v>
      </c>
      <c r="BW199" s="61"/>
      <c r="BY199" s="59"/>
      <c r="BZ199" s="59"/>
      <c r="CA199" s="59"/>
      <c r="CC199" s="59"/>
    </row>
    <row r="200" spans="1:81" x14ac:dyDescent="0.25">
      <c r="A200">
        <f t="shared" si="158"/>
        <v>83000</v>
      </c>
      <c r="B200">
        <f t="shared" si="138"/>
        <v>83</v>
      </c>
      <c r="C200">
        <f t="shared" si="107"/>
        <v>1.2140325300943584</v>
      </c>
      <c r="D200">
        <f t="shared" si="108"/>
        <v>0.60288858299739834</v>
      </c>
      <c r="F200">
        <f t="shared" si="109"/>
        <v>3.7336436846739278E-3</v>
      </c>
      <c r="G200">
        <f t="shared" si="110"/>
        <v>2.0823904013242786E-2</v>
      </c>
      <c r="H200">
        <f t="shared" si="111"/>
        <v>-3.1207687459867572</v>
      </c>
      <c r="J200">
        <f t="shared" si="112"/>
        <v>15</v>
      </c>
      <c r="M200">
        <f t="shared" si="113"/>
        <v>1.5327973117771459E-2</v>
      </c>
      <c r="N200">
        <f t="shared" si="114"/>
        <v>-1.5707963250000001</v>
      </c>
      <c r="O200">
        <f t="shared" si="115"/>
        <v>24.135088151136568</v>
      </c>
      <c r="P200">
        <f t="shared" si="116"/>
        <v>1.5293510112934861</v>
      </c>
      <c r="Q200">
        <f t="shared" si="117"/>
        <v>21.317534627382653</v>
      </c>
      <c r="R200">
        <f t="shared" si="118"/>
        <v>1.5238693657235911</v>
      </c>
      <c r="S200">
        <f t="shared" si="119"/>
        <v>0.84131765095020539</v>
      </c>
      <c r="T200">
        <f t="shared" si="120"/>
        <v>-0.57108005682478458</v>
      </c>
      <c r="U200">
        <f t="shared" si="121"/>
        <v>0.88705195079224919</v>
      </c>
      <c r="V200">
        <f t="shared" si="122"/>
        <v>-0.47987648906303448</v>
      </c>
      <c r="X200">
        <f t="shared" si="139"/>
        <v>-7.9553179076108007</v>
      </c>
      <c r="Y200">
        <f t="shared" si="123"/>
        <v>-119.54263969735796</v>
      </c>
      <c r="Z200">
        <f t="shared" si="140"/>
        <v>60.457360302642044</v>
      </c>
      <c r="AC200">
        <v>1</v>
      </c>
      <c r="AD200">
        <f t="shared" si="124"/>
        <v>24.114362526576002</v>
      </c>
      <c r="AE200">
        <f t="shared" si="125"/>
        <v>-1.8863618514158725E-3</v>
      </c>
      <c r="AF200">
        <f t="shared" si="126"/>
        <v>3.6244554403049999E-3</v>
      </c>
      <c r="AG200">
        <f t="shared" si="141"/>
        <v>5122.184759206084</v>
      </c>
      <c r="AH200">
        <f t="shared" si="142"/>
        <v>-2941.7643839961006</v>
      </c>
      <c r="AJ200">
        <f t="shared" si="127"/>
        <v>18000</v>
      </c>
      <c r="AK200">
        <f t="shared" si="128"/>
        <v>11564.881128662399</v>
      </c>
      <c r="AL200">
        <v>1</v>
      </c>
      <c r="AM200">
        <f t="shared" si="129"/>
        <v>21.294066840076798</v>
      </c>
      <c r="AN200">
        <f t="shared" si="143"/>
        <v>581.51776246294673</v>
      </c>
      <c r="AO200">
        <f t="shared" si="144"/>
        <v>-817.9969739154925</v>
      </c>
      <c r="AQ200">
        <f t="shared" si="130"/>
        <v>0.36288420365061508</v>
      </c>
      <c r="AR200">
        <f t="shared" si="131"/>
        <v>-60.238777806002105</v>
      </c>
      <c r="AT200">
        <f t="shared" si="156"/>
        <v>-175349.53114785595</v>
      </c>
      <c r="AU200">
        <f t="shared" si="157"/>
        <v>-309621.66941691987</v>
      </c>
      <c r="AV200">
        <f t="shared" si="145"/>
        <v>-2.086094107843171</v>
      </c>
      <c r="AW200">
        <f t="shared" si="146"/>
        <v>-43189.520552197486</v>
      </c>
      <c r="AX200">
        <f t="shared" si="147"/>
        <v>-40848.509478788714</v>
      </c>
      <c r="AY200">
        <f t="shared" si="155"/>
        <v>-2.3840438557934909</v>
      </c>
      <c r="BA200">
        <f t="shared" si="132"/>
        <v>5.9856305551038202</v>
      </c>
      <c r="BB200">
        <f t="shared" si="148"/>
        <v>15.542198156427403</v>
      </c>
      <c r="BC200">
        <f t="shared" si="149"/>
        <v>0.29794974795031992</v>
      </c>
      <c r="BD200">
        <f t="shared" si="133"/>
        <v>-162.92873691595327</v>
      </c>
      <c r="BF200">
        <f t="shared" si="134"/>
        <v>-7.8087128000085384</v>
      </c>
      <c r="BG200">
        <f t="shared" si="135"/>
        <v>-127.19264373980087</v>
      </c>
      <c r="BH200">
        <f t="shared" si="150"/>
        <v>52.807356260199128</v>
      </c>
      <c r="BI200">
        <f t="shared" si="151"/>
        <v>52.807356260199128</v>
      </c>
      <c r="BJ200">
        <f t="shared" si="136"/>
        <v>0</v>
      </c>
      <c r="BK200">
        <f t="shared" si="152"/>
        <v>0</v>
      </c>
      <c r="BM200">
        <f t="shared" si="153"/>
        <v>-23.350910956435943</v>
      </c>
      <c r="BN200">
        <f t="shared" si="137"/>
        <v>-144.26390682384763</v>
      </c>
      <c r="BQ200" s="56">
        <f t="shared" si="154"/>
        <v>32.444158956712542</v>
      </c>
      <c r="BR200" s="59"/>
      <c r="BS200" s="59"/>
      <c r="BT200" s="59">
        <v>7943.2820000000002</v>
      </c>
      <c r="BU200" s="59">
        <v>-1.2307999999999999</v>
      </c>
      <c r="BV200" s="59">
        <v>-223.13499999999999</v>
      </c>
      <c r="BW200" s="61"/>
      <c r="BY200" s="59"/>
      <c r="BZ200" s="59"/>
      <c r="CA200" s="59"/>
      <c r="CC200" s="59"/>
    </row>
    <row r="201" spans="1:81" x14ac:dyDescent="0.25">
      <c r="A201">
        <f>A200+500</f>
        <v>83500</v>
      </c>
      <c r="B201">
        <f t="shared" si="138"/>
        <v>83.5</v>
      </c>
      <c r="C201">
        <f t="shared" ref="C201:C264" si="159">SQRT((A201/Fesr)^2+1)</f>
        <v>1.2163887199757069</v>
      </c>
      <c r="D201">
        <f t="shared" ref="D201:D264" si="160">ATAN(A201/Fesr)</f>
        <v>0.60569674181638578</v>
      </c>
      <c r="F201">
        <f t="shared" ref="F201:F264" si="161">(Ro/(Ro+Rdcr))/SQRT((A201/(Q*Fo))^2+(1-(A201^2/Fo^2))^2)</f>
        <v>3.6889074277988757E-3</v>
      </c>
      <c r="G201">
        <f t="shared" ref="G201:G264" si="162">-ATAN(A201*Fo/(Q*(Fo^2-A201^2)))</f>
        <v>2.0698317594980919E-2</v>
      </c>
      <c r="H201">
        <f t="shared" ref="H201:H264" si="163">IF(G201&gt;0,G201-Pi,G201)</f>
        <v>-3.1208943324050193</v>
      </c>
      <c r="J201">
        <f t="shared" ref="J201:J264" si="164">Vin/Vramp</f>
        <v>15</v>
      </c>
      <c r="M201">
        <f t="shared" ref="M201:M264" si="165">1/(2*Pi*_Rfb1*(Cc1ea_u+Cc2ea_u)*A201)</f>
        <v>1.5236188847605163E-2</v>
      </c>
      <c r="N201">
        <f t="shared" ref="N201:N264" si="166">-Pi/2</f>
        <v>-1.5707963250000001</v>
      </c>
      <c r="O201">
        <f t="shared" ref="O201:O264" si="167">SQRT(1+(A201/Fz1_u)^2)</f>
        <v>24.280231395355685</v>
      </c>
      <c r="P201">
        <f t="shared" ref="P201:P264" si="168">ATAN2(Fz1_u,A201)</f>
        <v>1.5295989052798264</v>
      </c>
      <c r="Q201">
        <f t="shared" ref="Q201:Q264" si="169">SQRT(1+(A201/Fz2_u)^2)</f>
        <v>21.445671766110415</v>
      </c>
      <c r="R201">
        <f t="shared" ref="R201:R264" si="170">ATAN2(Fz2_u,A201)</f>
        <v>1.5241499568282408</v>
      </c>
      <c r="S201">
        <f t="shared" ref="S201:S264" si="171">1/SQRT(1+(A201/Fp1_u)^2)</f>
        <v>0.83983626859002736</v>
      </c>
      <c r="T201">
        <f t="shared" ref="T201:T264" si="172">-ATAN2(Fp1_u,A201)</f>
        <v>-0.57381479496610732</v>
      </c>
      <c r="U201">
        <f t="shared" ref="U201:U264" si="173">1/SQRT(1+(A201/Fp2_u)^2)</f>
        <v>0.88591177518256659</v>
      </c>
      <c r="V201">
        <f t="shared" ref="V201:V264" si="174">-ATAN2(Fp2_u,A201)</f>
        <v>-0.48234033824998118</v>
      </c>
      <c r="X201">
        <f t="shared" si="139"/>
        <v>-8.0176935394566442</v>
      </c>
      <c r="Y201">
        <f t="shared" ref="Y201:Y264" si="175">(180/Pi)*(D201+H201+N201+P201+R201+T201+V201)</f>
        <v>-119.656516768779</v>
      </c>
      <c r="Z201">
        <f t="shared" si="140"/>
        <v>60.343483231221001</v>
      </c>
      <c r="AC201">
        <v>1</v>
      </c>
      <c r="AD201">
        <f t="shared" ref="AD201:AD264" si="176">Rcea1_u*Cc1ea_u*A201*2*Pi</f>
        <v>24.259629770712003</v>
      </c>
      <c r="AE201">
        <f t="shared" ref="AE201:AE264" si="177">-Rcea1_u*Cc1ea_u*Cc2ea_u*(A201*2*Pi)^2</f>
        <v>-1.9091575582137201E-3</v>
      </c>
      <c r="AF201">
        <f t="shared" ref="AF201:AF264" si="178">(Cc2ea_u+Cc1ea_u)*A201*2*Pi</f>
        <v>3.6462895092224997E-3</v>
      </c>
      <c r="AG201">
        <f t="shared" si="141"/>
        <v>5109.0255822938707</v>
      </c>
      <c r="AH201">
        <f t="shared" si="142"/>
        <v>-2949.2816679377338</v>
      </c>
      <c r="AJ201">
        <f t="shared" ref="AJ201:AJ264" si="179">_Rfb1</f>
        <v>18000</v>
      </c>
      <c r="AK201">
        <f t="shared" ref="AK201:AK264" si="180">_Rfb1*Rcea2_u*Cc3ea_u*A201*2*Pi</f>
        <v>11634.549087268801</v>
      </c>
      <c r="AL201">
        <v>1</v>
      </c>
      <c r="AM201">
        <f t="shared" ref="AM201:AM264" si="181">(_Rfb1+Rcea2_u)*Cc3ea_u*A201*2*Pi</f>
        <v>21.422344351161598</v>
      </c>
      <c r="AN201">
        <f t="shared" si="143"/>
        <v>581.06008549450678</v>
      </c>
      <c r="AO201">
        <f t="shared" si="144"/>
        <v>-813.12015290992065</v>
      </c>
      <c r="AQ201">
        <f t="shared" ref="AQ201:AQ264" si="182">Eadcg/(1+(Eadcg*A201/GBP)^2)</f>
        <v>0.35855145213338113</v>
      </c>
      <c r="AR201">
        <f t="shared" ref="AR201:AR264" si="183">-(A201*Eadcg*Eadcg/GBP)/(1+(Eadcg*A201/GBP)^2)</f>
        <v>-59.878092506274648</v>
      </c>
      <c r="AT201">
        <f t="shared" si="156"/>
        <v>-174765.51199831755</v>
      </c>
      <c r="AU201">
        <f t="shared" si="157"/>
        <v>-306976.17565830552</v>
      </c>
      <c r="AV201">
        <f t="shared" si="145"/>
        <v>-2.0883461341760348</v>
      </c>
      <c r="AW201">
        <f t="shared" si="146"/>
        <v>-42619.291388632839</v>
      </c>
      <c r="AX201">
        <f t="shared" si="147"/>
        <v>-40598.955293064093</v>
      </c>
      <c r="AY201">
        <f t="shared" si="155"/>
        <v>-2.3804672835728033</v>
      </c>
      <c r="BA201">
        <f t="shared" ref="BA201:BA264" si="184">SQRT(AT201^2+AU201^2)/SQRT(AW201^2+AX201^2)</f>
        <v>6.0011761963471821</v>
      </c>
      <c r="BB201">
        <f t="shared" si="148"/>
        <v>15.564727559411116</v>
      </c>
      <c r="BC201">
        <f t="shared" si="149"/>
        <v>0.29212114939676859</v>
      </c>
      <c r="BD201">
        <f t="shared" ref="BD201:BD264" si="185">BC201*180/Pi-180</f>
        <v>-163.26269101392941</v>
      </c>
      <c r="BF201">
        <f t="shared" ref="BF201:BF264" si="186">20*LOG(BA201*J201*F201*C201)</f>
        <v>-7.8740444400778111</v>
      </c>
      <c r="BG201">
        <f t="shared" ref="BG201:BG264" si="187">(180/Pi)*(D201+H201+BC201)</f>
        <v>-127.37289776080156</v>
      </c>
      <c r="BH201">
        <f t="shared" si="150"/>
        <v>52.627102239198436</v>
      </c>
      <c r="BI201">
        <f t="shared" si="151"/>
        <v>52.627102239198436</v>
      </c>
      <c r="BJ201">
        <f t="shared" ref="BJ201:BJ264" si="188">SUM((BF202&lt;0)*(BF201&gt;0))*A201</f>
        <v>0</v>
      </c>
      <c r="BK201">
        <f t="shared" si="152"/>
        <v>0</v>
      </c>
      <c r="BM201">
        <f t="shared" si="153"/>
        <v>-23.438771999488925</v>
      </c>
      <c r="BN201">
        <f t="shared" ref="BN201:BN264" si="189">(H201+D201)*180/Pi</f>
        <v>-144.11020674687217</v>
      </c>
      <c r="BQ201" s="56">
        <f t="shared" si="154"/>
        <v>32.466688359696249</v>
      </c>
      <c r="BR201" s="59"/>
      <c r="BS201" s="59"/>
      <c r="BT201" s="59">
        <v>8128.3050000000003</v>
      </c>
      <c r="BU201" s="59">
        <v>-1.3526100000000001</v>
      </c>
      <c r="BV201" s="59">
        <v>-221.982</v>
      </c>
      <c r="BW201" s="61"/>
      <c r="BY201" s="59"/>
      <c r="BZ201" s="59"/>
      <c r="CA201" s="59"/>
      <c r="CC201" s="59"/>
    </row>
    <row r="202" spans="1:81" x14ac:dyDescent="0.25">
      <c r="A202">
        <f t="shared" ref="A202:A234" si="190">A201+500</f>
        <v>84000</v>
      </c>
      <c r="B202">
        <f t="shared" ref="B202:B265" si="191">A202/1000</f>
        <v>84</v>
      </c>
      <c r="C202">
        <f t="shared" si="159"/>
        <v>1.2187544648690756</v>
      </c>
      <c r="D202">
        <f t="shared" si="160"/>
        <v>0.60849402069374825</v>
      </c>
      <c r="F202">
        <f t="shared" si="161"/>
        <v>3.6449713309860518E-3</v>
      </c>
      <c r="G202">
        <f t="shared" si="162"/>
        <v>2.0574242117917384E-2</v>
      </c>
      <c r="H202">
        <f t="shared" si="163"/>
        <v>-3.1210184078820826</v>
      </c>
      <c r="J202">
        <f t="shared" si="164"/>
        <v>15</v>
      </c>
      <c r="M202">
        <f t="shared" si="165"/>
        <v>1.5145497247321798E-2</v>
      </c>
      <c r="N202">
        <f t="shared" si="166"/>
        <v>-1.5707963250000001</v>
      </c>
      <c r="O202">
        <f t="shared" si="167"/>
        <v>24.425376113897133</v>
      </c>
      <c r="P202">
        <f t="shared" si="168"/>
        <v>1.5298438531235408</v>
      </c>
      <c r="Q202">
        <f t="shared" si="169"/>
        <v>21.573810573228194</v>
      </c>
      <c r="R202">
        <f t="shared" si="170"/>
        <v>1.5244272147826179</v>
      </c>
      <c r="S202">
        <f t="shared" si="171"/>
        <v>0.83835385703725218</v>
      </c>
      <c r="T202">
        <f t="shared" si="172"/>
        <v>-0.57653989914771608</v>
      </c>
      <c r="U202">
        <f t="shared" si="173"/>
        <v>0.88476917651604658</v>
      </c>
      <c r="V202">
        <f t="shared" si="174"/>
        <v>-0.48479784685802862</v>
      </c>
      <c r="X202">
        <f t="shared" ref="X202:X265" si="192">20*LOG(C202*J202*O202*Q202*F202*M202*S202*U202)</f>
        <v>-8.0797879183662573</v>
      </c>
      <c r="Y202">
        <f t="shared" si="175"/>
        <v>-119.77037514772185</v>
      </c>
      <c r="Z202">
        <f t="shared" ref="Z202:Z265" si="193">Y202+180</f>
        <v>60.22962485227815</v>
      </c>
      <c r="AC202">
        <v>1</v>
      </c>
      <c r="AD202">
        <f t="shared" si="176"/>
        <v>24.404897014848</v>
      </c>
      <c r="AE202">
        <f t="shared" si="177"/>
        <v>-1.9320901761635065E-3</v>
      </c>
      <c r="AF202">
        <f t="shared" si="178"/>
        <v>3.66812357814E-3</v>
      </c>
      <c r="AG202">
        <f t="shared" ref="AG202:AG265" si="194">AC202*AE202/(AE202^2+AF202^2)+AD202*AF202/(AE202^2+AF202^2)</f>
        <v>5095.8554190775485</v>
      </c>
      <c r="AH202">
        <f t="shared" ref="AH202:AH265" si="195">AD202*AE202/(AE202^2+AF202^2)-AC202*AF202/(AE202^2+AF202^2)</f>
        <v>-2956.7303181886846</v>
      </c>
      <c r="AJ202">
        <f t="shared" si="179"/>
        <v>18000</v>
      </c>
      <c r="AK202">
        <f t="shared" si="180"/>
        <v>11704.217045875201</v>
      </c>
      <c r="AL202">
        <v>1</v>
      </c>
      <c r="AM202">
        <f t="shared" si="181"/>
        <v>21.550621862246402</v>
      </c>
      <c r="AN202">
        <f t="shared" ref="AN202:AN265" si="196">AJ202*AL202/(AL202^2+AM202^2)+AK202*AM202/(AL202^2+AM202^2)</f>
        <v>580.61053356754417</v>
      </c>
      <c r="AO202">
        <f t="shared" ref="AO202:AO265" si="197">AK202*AL202/(AL202^2+AM202^2)-AJ202*AM202/(AL202^2+AM202^2)</f>
        <v>-808.30101227606463</v>
      </c>
      <c r="AQ202">
        <f t="shared" si="182"/>
        <v>0.35429583702391498</v>
      </c>
      <c r="AR202">
        <f t="shared" si="183"/>
        <v>-59.521700620017718</v>
      </c>
      <c r="AT202">
        <f t="shared" si="156"/>
        <v>-174184.17645230168</v>
      </c>
      <c r="AU202">
        <f t="shared" si="157"/>
        <v>-304361.53790016542</v>
      </c>
      <c r="AV202">
        <f t="shared" ref="AV202:AV265" si="198">ATAN2(AT202,AU202)</f>
        <v>-2.0905943366696893</v>
      </c>
      <c r="AW202">
        <f t="shared" ref="AW202:AW265" si="199">AG202-AH202*AO202/_Rfb2+AG202*AN202/_Rfb2+AN202-AO202*AR202+AQ202*AN202</f>
        <v>-42059.433219687868</v>
      </c>
      <c r="AX202">
        <f t="shared" ref="AX202:AX265" si="200">AH202+AH202*AN202/_Rfb2+AG202*AO202/_Rfb2+AO202+AO202*AQ202+AN202*AR202</f>
        <v>-40352.938398043072</v>
      </c>
      <c r="AY202">
        <f t="shared" si="155"/>
        <v>-2.3768983111422566</v>
      </c>
      <c r="BA202">
        <f t="shared" si="184"/>
        <v>6.0164430429237274</v>
      </c>
      <c r="BB202">
        <f t="shared" ref="BB202:BB265" si="201">20*LOG(BA202)</f>
        <v>15.586796192670377</v>
      </c>
      <c r="BC202">
        <f t="shared" ref="BC202:BC265" si="202">AV202-AY202</f>
        <v>0.28630397447256728</v>
      </c>
      <c r="BD202">
        <f t="shared" si="185"/>
        <v>-163.59599058615632</v>
      </c>
      <c r="BF202">
        <f t="shared" si="186"/>
        <v>-7.9391718958450328</v>
      </c>
      <c r="BG202">
        <f t="shared" si="187"/>
        <v>-127.5530340602363</v>
      </c>
      <c r="BH202">
        <f t="shared" ref="BH202:BH265" si="203">IF(BG202&gt;180,BG202-180,BG202+180)</f>
        <v>52.4469659397637</v>
      </c>
      <c r="BI202">
        <f t="shared" ref="BI202:BI265" si="204">IF(BH202&gt;180,BH202-360,BH202)</f>
        <v>52.4469659397637</v>
      </c>
      <c r="BJ202">
        <f t="shared" si="188"/>
        <v>0</v>
      </c>
      <c r="BK202">
        <f t="shared" ref="BK202:BK265" si="205">IF(BJ202&gt;0,BI202,0)</f>
        <v>0</v>
      </c>
      <c r="BM202">
        <f t="shared" ref="BM202:BM265" si="206">20*LOG(J202*F202*C202)</f>
        <v>-23.525968088515413</v>
      </c>
      <c r="BN202">
        <f t="shared" si="189"/>
        <v>-143.95704347408</v>
      </c>
      <c r="BQ202" s="56">
        <f t="shared" ref="BQ202:BQ265" si="207">20*LOG(BA202*7)</f>
        <v>32.488756992955516</v>
      </c>
      <c r="BR202" s="59"/>
      <c r="BS202" s="59"/>
      <c r="BT202" s="59">
        <v>8317.6380000000008</v>
      </c>
      <c r="BU202" s="59">
        <v>-1.29555</v>
      </c>
      <c r="BV202" s="59">
        <v>-220.93199999999999</v>
      </c>
      <c r="BW202" s="61"/>
      <c r="BY202" s="59"/>
      <c r="BZ202" s="59"/>
      <c r="CA202" s="59"/>
      <c r="CC202" s="59"/>
    </row>
    <row r="203" spans="1:81" x14ac:dyDescent="0.25">
      <c r="A203">
        <f t="shared" si="190"/>
        <v>84500</v>
      </c>
      <c r="B203">
        <f t="shared" si="191"/>
        <v>84.5</v>
      </c>
      <c r="C203">
        <f t="shared" si="159"/>
        <v>1.2211297092405102</v>
      </c>
      <c r="D203">
        <f t="shared" si="160"/>
        <v>0.61128043921498554</v>
      </c>
      <c r="F203">
        <f t="shared" si="161"/>
        <v>3.6018164037236039E-3</v>
      </c>
      <c r="G203">
        <f t="shared" si="162"/>
        <v>2.0451650386356976E-2</v>
      </c>
      <c r="H203">
        <f t="shared" si="163"/>
        <v>-3.1211409996136434</v>
      </c>
      <c r="J203">
        <f t="shared" si="164"/>
        <v>15</v>
      </c>
      <c r="M203">
        <f t="shared" si="165"/>
        <v>1.5055878920414567E-2</v>
      </c>
      <c r="N203">
        <f t="shared" si="166"/>
        <v>-1.5707963250000001</v>
      </c>
      <c r="O203">
        <f t="shared" si="167"/>
        <v>24.570522280633256</v>
      </c>
      <c r="P203">
        <f t="shared" si="168"/>
        <v>1.5300859070064763</v>
      </c>
      <c r="Q203">
        <f t="shared" si="169"/>
        <v>21.701951019183046</v>
      </c>
      <c r="R203">
        <f t="shared" si="170"/>
        <v>1.5247011985860588</v>
      </c>
      <c r="S203">
        <f t="shared" si="171"/>
        <v>0.83687048760900284</v>
      </c>
      <c r="T203">
        <f t="shared" si="172"/>
        <v>-0.57925537992729292</v>
      </c>
      <c r="U203">
        <f t="shared" si="173"/>
        <v>0.88362420547879461</v>
      </c>
      <c r="V203">
        <f t="shared" si="174"/>
        <v>-0.48724900976250901</v>
      </c>
      <c r="X203">
        <f t="shared" si="192"/>
        <v>-8.1416046891796938</v>
      </c>
      <c r="Y203">
        <f t="shared" si="175"/>
        <v>-119.8842092112949</v>
      </c>
      <c r="Z203">
        <f t="shared" si="193"/>
        <v>60.115790788705098</v>
      </c>
      <c r="AC203">
        <v>1</v>
      </c>
      <c r="AD203">
        <f t="shared" si="176"/>
        <v>24.550164258984001</v>
      </c>
      <c r="AE203">
        <f t="shared" si="177"/>
        <v>-1.9551597052652322E-3</v>
      </c>
      <c r="AF203">
        <f t="shared" si="178"/>
        <v>3.6899576470574998E-3</v>
      </c>
      <c r="AG203">
        <f t="shared" si="194"/>
        <v>5082.6749607927804</v>
      </c>
      <c r="AH203">
        <f t="shared" si="195"/>
        <v>-2964.110248534826</v>
      </c>
      <c r="AJ203">
        <f t="shared" si="179"/>
        <v>18000</v>
      </c>
      <c r="AK203">
        <f t="shared" si="180"/>
        <v>11773.885004481599</v>
      </c>
      <c r="AL203">
        <v>1</v>
      </c>
      <c r="AM203">
        <f t="shared" si="181"/>
        <v>21.678899373331202</v>
      </c>
      <c r="AN203">
        <f t="shared" si="196"/>
        <v>580.16891562626984</v>
      </c>
      <c r="AO203">
        <f t="shared" si="197"/>
        <v>-803.53853691498455</v>
      </c>
      <c r="AQ203">
        <f t="shared" si="182"/>
        <v>0.35011553812758212</v>
      </c>
      <c r="AR203">
        <f t="shared" si="183"/>
        <v>-59.169525943561375</v>
      </c>
      <c r="AT203">
        <f t="shared" si="156"/>
        <v>-173605.47477123199</v>
      </c>
      <c r="AU203">
        <f t="shared" si="157"/>
        <v>-301777.24901005346</v>
      </c>
      <c r="AV203">
        <f t="shared" si="198"/>
        <v>-2.0928386656397984</v>
      </c>
      <c r="AW203">
        <f t="shared" si="199"/>
        <v>-41509.701861810012</v>
      </c>
      <c r="AX203">
        <f t="shared" si="200"/>
        <v>-40110.381919607673</v>
      </c>
      <c r="AY203">
        <f t="shared" ref="AY203:AY266" si="208">ATAN2(AW203,AX203)</f>
        <v>-2.373337119825794</v>
      </c>
      <c r="BA203">
        <f t="shared" si="184"/>
        <v>6.0314321820057542</v>
      </c>
      <c r="BB203">
        <f t="shared" si="201"/>
        <v>15.608408978755829</v>
      </c>
      <c r="BC203">
        <f t="shared" si="202"/>
        <v>0.28049845418599562</v>
      </c>
      <c r="BD203">
        <f t="shared" si="185"/>
        <v>-163.92862239683456</v>
      </c>
      <c r="BF203">
        <f t="shared" si="186"/>
        <v>-8.0040984580784951</v>
      </c>
      <c r="BG203">
        <f t="shared" si="187"/>
        <v>-127.73303983833779</v>
      </c>
      <c r="BH203">
        <f t="shared" si="203"/>
        <v>52.266960161662212</v>
      </c>
      <c r="BI203">
        <f t="shared" si="204"/>
        <v>52.266960161662212</v>
      </c>
      <c r="BJ203">
        <f t="shared" si="188"/>
        <v>0</v>
      </c>
      <c r="BK203">
        <f t="shared" si="205"/>
        <v>0</v>
      </c>
      <c r="BM203">
        <f t="shared" si="206"/>
        <v>-23.612507436834328</v>
      </c>
      <c r="BN203">
        <f t="shared" si="189"/>
        <v>-143.80441744150323</v>
      </c>
      <c r="BQ203" s="56">
        <f t="shared" si="207"/>
        <v>32.510369779040971</v>
      </c>
      <c r="BR203" s="59"/>
      <c r="BS203" s="59"/>
      <c r="BT203" s="59">
        <v>8511.3799999999992</v>
      </c>
      <c r="BU203" s="59">
        <v>-1.5137499999999999</v>
      </c>
      <c r="BV203" s="59">
        <v>-219.99600000000001</v>
      </c>
      <c r="BW203" s="61"/>
      <c r="BY203" s="59"/>
      <c r="BZ203" s="59"/>
      <c r="CA203" s="59"/>
      <c r="CC203" s="59"/>
    </row>
    <row r="204" spans="1:81" x14ac:dyDescent="0.25">
      <c r="A204">
        <f t="shared" si="190"/>
        <v>85000</v>
      </c>
      <c r="B204">
        <f t="shared" si="191"/>
        <v>85</v>
      </c>
      <c r="C204">
        <f t="shared" si="159"/>
        <v>1.2235143977651661</v>
      </c>
      <c r="D204">
        <f t="shared" si="160"/>
        <v>0.61405601748838301</v>
      </c>
      <c r="F204">
        <f t="shared" si="161"/>
        <v>3.5594242161787405E-3</v>
      </c>
      <c r="G204">
        <f t="shared" si="162"/>
        <v>2.0330515855486234E-2</v>
      </c>
      <c r="H204">
        <f t="shared" si="163"/>
        <v>-3.1212621341445139</v>
      </c>
      <c r="J204">
        <f t="shared" si="164"/>
        <v>15</v>
      </c>
      <c r="M204">
        <f t="shared" si="165"/>
        <v>1.496731492676507E-2</v>
      </c>
      <c r="N204">
        <f t="shared" si="166"/>
        <v>-1.5707963250000001</v>
      </c>
      <c r="O204">
        <f t="shared" si="167"/>
        <v>24.715669870049883</v>
      </c>
      <c r="P204">
        <f t="shared" si="168"/>
        <v>1.5303251178860628</v>
      </c>
      <c r="Q204">
        <f t="shared" si="169"/>
        <v>21.830093075115542</v>
      </c>
      <c r="R204">
        <f t="shared" si="170"/>
        <v>1.524971965854595</v>
      </c>
      <c r="S204">
        <f t="shared" si="171"/>
        <v>0.83538623083503916</v>
      </c>
      <c r="T204">
        <f t="shared" si="172"/>
        <v>-0.5819612483557749</v>
      </c>
      <c r="U204">
        <f t="shared" si="173"/>
        <v>0.88247691246387516</v>
      </c>
      <c r="V204">
        <f t="shared" si="174"/>
        <v>-0.48969382217019286</v>
      </c>
      <c r="X204">
        <f t="shared" si="192"/>
        <v>-8.2031474239396722</v>
      </c>
      <c r="Y204">
        <f t="shared" si="175"/>
        <v>-119.99801346602312</v>
      </c>
      <c r="Z204">
        <f t="shared" si="193"/>
        <v>60.001986533976876</v>
      </c>
      <c r="AC204">
        <v>1</v>
      </c>
      <c r="AD204">
        <f t="shared" si="176"/>
        <v>24.695431503119998</v>
      </c>
      <c r="AE204">
        <f t="shared" si="177"/>
        <v>-1.9783661455188969E-3</v>
      </c>
      <c r="AF204">
        <f t="shared" si="178"/>
        <v>3.7117917159749996E-3</v>
      </c>
      <c r="AG204">
        <f t="shared" si="194"/>
        <v>5069.4848925091392</v>
      </c>
      <c r="AH204">
        <f t="shared" si="195"/>
        <v>-2971.42138635935</v>
      </c>
      <c r="AJ204">
        <f t="shared" si="179"/>
        <v>18000</v>
      </c>
      <c r="AK204">
        <f t="shared" si="180"/>
        <v>11843.552963087999</v>
      </c>
      <c r="AL204">
        <v>1</v>
      </c>
      <c r="AM204">
        <f t="shared" si="181"/>
        <v>21.807176884416002</v>
      </c>
      <c r="AN204">
        <f t="shared" si="196"/>
        <v>579.73504619386006</v>
      </c>
      <c r="AO204">
        <f t="shared" si="197"/>
        <v>-798.83173535658955</v>
      </c>
      <c r="AQ204">
        <f t="shared" si="182"/>
        <v>0.34600878862323103</v>
      </c>
      <c r="AR204">
        <f t="shared" si="183"/>
        <v>-58.821494065949274</v>
      </c>
      <c r="AT204">
        <f t="shared" si="156"/>
        <v>-173029.3591185704</v>
      </c>
      <c r="AU204">
        <f t="shared" si="157"/>
        <v>-299222.81343652919</v>
      </c>
      <c r="AV204">
        <f t="shared" si="198"/>
        <v>-2.095079072778546</v>
      </c>
      <c r="AW204">
        <f t="shared" si="199"/>
        <v>-40969.86024274354</v>
      </c>
      <c r="AX204">
        <f t="shared" si="200"/>
        <v>-39871.211174068849</v>
      </c>
      <c r="AY204">
        <f t="shared" si="208"/>
        <v>-2.3697838874972588</v>
      </c>
      <c r="BA204">
        <f t="shared" si="184"/>
        <v>6.0461447381780111</v>
      </c>
      <c r="BB204">
        <f t="shared" si="201"/>
        <v>15.629570790146044</v>
      </c>
      <c r="BC204">
        <f t="shared" si="202"/>
        <v>0.27470481471871278</v>
      </c>
      <c r="BD204">
        <f t="shared" si="185"/>
        <v>-164.26057348670957</v>
      </c>
      <c r="BF204">
        <f t="shared" si="186"/>
        <v>-8.0688273268948407</v>
      </c>
      <c r="BG204">
        <f t="shared" si="187"/>
        <v>-127.91290250463733</v>
      </c>
      <c r="BH204">
        <f t="shared" si="203"/>
        <v>52.08709749536267</v>
      </c>
      <c r="BI204">
        <f t="shared" si="204"/>
        <v>52.08709749536267</v>
      </c>
      <c r="BJ204">
        <f t="shared" si="188"/>
        <v>0</v>
      </c>
      <c r="BK204">
        <f t="shared" si="205"/>
        <v>0</v>
      </c>
      <c r="BM204">
        <f t="shared" si="206"/>
        <v>-23.698398117040888</v>
      </c>
      <c r="BN204">
        <f t="shared" si="189"/>
        <v>-143.65232901792777</v>
      </c>
      <c r="BQ204" s="56">
        <f t="shared" si="207"/>
        <v>32.531531590431179</v>
      </c>
      <c r="BR204" s="59"/>
      <c r="BS204" s="59"/>
      <c r="BT204" s="59">
        <v>8709.6360000000004</v>
      </c>
      <c r="BU204" s="59">
        <v>-1.62094</v>
      </c>
      <c r="BV204" s="59">
        <v>-218.72200000000001</v>
      </c>
      <c r="BW204" s="61"/>
      <c r="BY204" s="59"/>
      <c r="BZ204" s="59"/>
      <c r="CA204" s="59"/>
      <c r="CC204" s="59"/>
    </row>
    <row r="205" spans="1:81" x14ac:dyDescent="0.25">
      <c r="A205">
        <f t="shared" si="190"/>
        <v>85500</v>
      </c>
      <c r="B205">
        <f t="shared" si="191"/>
        <v>85.5</v>
      </c>
      <c r="C205">
        <f t="shared" si="159"/>
        <v>1.2259084753295573</v>
      </c>
      <c r="D205">
        <f t="shared" si="160"/>
        <v>0.61682077613416608</v>
      </c>
      <c r="F205">
        <f t="shared" si="161"/>
        <v>3.517776879428725E-3</v>
      </c>
      <c r="G205">
        <f t="shared" si="162"/>
        <v>2.0210812611956883E-2</v>
      </c>
      <c r="H205">
        <f t="shared" si="163"/>
        <v>-3.1213818373880433</v>
      </c>
      <c r="J205">
        <f t="shared" si="164"/>
        <v>15</v>
      </c>
      <c r="M205">
        <f t="shared" si="165"/>
        <v>1.487978676929861E-2</v>
      </c>
      <c r="N205">
        <f t="shared" si="166"/>
        <v>-1.5707963250000001</v>
      </c>
      <c r="O205">
        <f t="shared" si="167"/>
        <v>24.860818857228452</v>
      </c>
      <c r="P205">
        <f t="shared" si="168"/>
        <v>1.5305615355309963</v>
      </c>
      <c r="Q205">
        <f t="shared" si="169"/>
        <v>21.958236712839568</v>
      </c>
      <c r="R205">
        <f t="shared" si="170"/>
        <v>1.5252395728612302</v>
      </c>
      <c r="S205">
        <f t="shared" si="171"/>
        <v>0.8339011564584401</v>
      </c>
      <c r="T205">
        <f t="shared" si="172"/>
        <v>-0.58465751596903182</v>
      </c>
      <c r="U205">
        <f t="shared" si="173"/>
        <v>0.88132734756854458</v>
      </c>
      <c r="V205">
        <f t="shared" si="174"/>
        <v>-0.49213227961631367</v>
      </c>
      <c r="X205">
        <f t="shared" si="192"/>
        <v>-8.2644196237057379</v>
      </c>
      <c r="Y205">
        <f t="shared" si="175"/>
        <v>-120.11178254458271</v>
      </c>
      <c r="Z205">
        <f t="shared" si="193"/>
        <v>59.888217455417291</v>
      </c>
      <c r="AC205">
        <v>1</v>
      </c>
      <c r="AD205">
        <f t="shared" si="176"/>
        <v>24.840698747255999</v>
      </c>
      <c r="AE205">
        <f t="shared" si="177"/>
        <v>-2.0017094969245002E-3</v>
      </c>
      <c r="AF205">
        <f t="shared" si="178"/>
        <v>3.7336257848925004E-3</v>
      </c>
      <c r="AG205">
        <f t="shared" si="194"/>
        <v>5056.2858931048277</v>
      </c>
      <c r="AH205">
        <f t="shared" si="195"/>
        <v>-2978.6636722923527</v>
      </c>
      <c r="AJ205">
        <f t="shared" si="179"/>
        <v>18000</v>
      </c>
      <c r="AK205">
        <f t="shared" si="180"/>
        <v>11913.220921694399</v>
      </c>
      <c r="AL205">
        <v>1</v>
      </c>
      <c r="AM205">
        <f t="shared" si="181"/>
        <v>21.935454395500802</v>
      </c>
      <c r="AN205">
        <f t="shared" si="196"/>
        <v>579.30874517823599</v>
      </c>
      <c r="AO205">
        <f t="shared" si="197"/>
        <v>-794.17963907759008</v>
      </c>
      <c r="AQ205">
        <f t="shared" si="182"/>
        <v>0.3419738731960878</v>
      </c>
      <c r="AR205">
        <f t="shared" si="183"/>
        <v>-58.477532316531018</v>
      </c>
      <c r="AT205">
        <f t="shared" si="156"/>
        <v>-172455.78348570122</v>
      </c>
      <c r="AU205">
        <f t="shared" si="157"/>
        <v>-296697.74686861975</v>
      </c>
      <c r="AV205">
        <f t="shared" si="198"/>
        <v>-2.0973155111212218</v>
      </c>
      <c r="AW205">
        <f t="shared" si="199"/>
        <v>-40439.67815439617</v>
      </c>
      <c r="AX205">
        <f t="shared" si="200"/>
        <v>-39635.353591373663</v>
      </c>
      <c r="AY205">
        <f t="shared" si="208"/>
        <v>-2.366238788601291</v>
      </c>
      <c r="BA205">
        <f t="shared" si="184"/>
        <v>6.0605818727293963</v>
      </c>
      <c r="BB205">
        <f t="shared" si="201"/>
        <v>15.650286450270197</v>
      </c>
      <c r="BC205">
        <f t="shared" si="202"/>
        <v>0.26892327748006917</v>
      </c>
      <c r="BD205">
        <f t="shared" si="185"/>
        <v>-164.5918311699601</v>
      </c>
      <c r="BF205">
        <f t="shared" si="186"/>
        <v>-8.1333616139577209</v>
      </c>
      <c r="BG205">
        <f t="shared" si="187"/>
        <v>-128.09260967658727</v>
      </c>
      <c r="BH205">
        <f t="shared" si="203"/>
        <v>51.907390323412727</v>
      </c>
      <c r="BI205">
        <f t="shared" si="204"/>
        <v>51.907390323412727</v>
      </c>
      <c r="BJ205">
        <f t="shared" si="188"/>
        <v>0</v>
      </c>
      <c r="BK205">
        <f t="shared" si="205"/>
        <v>0</v>
      </c>
      <c r="BM205">
        <f t="shared" si="206"/>
        <v>-23.783648064227918</v>
      </c>
      <c r="BN205">
        <f t="shared" si="189"/>
        <v>-143.50077850662717</v>
      </c>
      <c r="BQ205" s="56">
        <f t="shared" si="207"/>
        <v>32.552247250555332</v>
      </c>
      <c r="BR205" s="59"/>
      <c r="BS205" s="59"/>
      <c r="BT205" s="59">
        <v>8912.509</v>
      </c>
      <c r="BU205" s="59">
        <v>-1.6954</v>
      </c>
      <c r="BV205" s="59">
        <v>-217.619</v>
      </c>
      <c r="BW205" s="61"/>
      <c r="BY205" s="59"/>
      <c r="BZ205" s="59"/>
      <c r="CA205" s="59"/>
      <c r="CC205" s="59"/>
    </row>
    <row r="206" spans="1:81" x14ac:dyDescent="0.25">
      <c r="A206">
        <f t="shared" si="190"/>
        <v>86000</v>
      </c>
      <c r="B206">
        <f t="shared" si="191"/>
        <v>86</v>
      </c>
      <c r="C206">
        <f t="shared" si="159"/>
        <v>1.2283118870337293</v>
      </c>
      <c r="D206">
        <f t="shared" si="160"/>
        <v>0.61957473627374593</v>
      </c>
      <c r="F206">
        <f t="shared" si="161"/>
        <v>3.4768570265012056E-3</v>
      </c>
      <c r="G206">
        <f t="shared" si="162"/>
        <v>2.0092515355162245E-2</v>
      </c>
      <c r="H206">
        <f t="shared" si="163"/>
        <v>-3.1215001346448381</v>
      </c>
      <c r="J206">
        <f t="shared" si="164"/>
        <v>15</v>
      </c>
      <c r="M206">
        <f t="shared" si="165"/>
        <v>1.4793276381105013E-2</v>
      </c>
      <c r="N206">
        <f t="shared" si="166"/>
        <v>-1.5707963250000001</v>
      </c>
      <c r="O206">
        <f t="shared" si="167"/>
        <v>25.005969217828724</v>
      </c>
      <c r="P206">
        <f t="shared" si="168"/>
        <v>1.530795208555684</v>
      </c>
      <c r="Q206">
        <f t="shared" si="169"/>
        <v>22.08638190482279</v>
      </c>
      <c r="R206">
        <f t="shared" si="170"/>
        <v>1.5255040745748183</v>
      </c>
      <c r="S206">
        <f t="shared" si="171"/>
        <v>0.83241533343648</v>
      </c>
      <c r="T206">
        <f t="shared" si="172"/>
        <v>-0.58734419477958844</v>
      </c>
      <c r="U206">
        <f t="shared" si="173"/>
        <v>0.88017556059158386</v>
      </c>
      <c r="V206">
        <f t="shared" si="174"/>
        <v>-0.4945643779615797</v>
      </c>
      <c r="X206">
        <f t="shared" si="192"/>
        <v>-8.3254247203132721</v>
      </c>
      <c r="Y206">
        <f t="shared" si="175"/>
        <v>-120.22551120264318</v>
      </c>
      <c r="Z206">
        <f t="shared" si="193"/>
        <v>59.774488797356824</v>
      </c>
      <c r="AC206">
        <v>1</v>
      </c>
      <c r="AD206">
        <f t="shared" si="176"/>
        <v>24.985965991392</v>
      </c>
      <c r="AE206">
        <f t="shared" si="177"/>
        <v>-2.0251897594820429E-3</v>
      </c>
      <c r="AF206">
        <f t="shared" si="178"/>
        <v>3.7554598538099998E-3</v>
      </c>
      <c r="AG206">
        <f t="shared" si="194"/>
        <v>5043.078635243196</v>
      </c>
      <c r="AH206">
        <f t="shared" si="195"/>
        <v>-2985.8370598692882</v>
      </c>
      <c r="AJ206">
        <f t="shared" si="179"/>
        <v>18000</v>
      </c>
      <c r="AK206">
        <f t="shared" si="180"/>
        <v>11982.888880300799</v>
      </c>
      <c r="AL206">
        <v>1</v>
      </c>
      <c r="AM206">
        <f t="shared" si="181"/>
        <v>22.063731906585602</v>
      </c>
      <c r="AN206">
        <f t="shared" si="196"/>
        <v>578.88983768567948</v>
      </c>
      <c r="AO206">
        <f t="shared" si="197"/>
        <v>-789.5813018428878</v>
      </c>
      <c r="AQ206">
        <f t="shared" si="182"/>
        <v>0.33800912624640866</v>
      </c>
      <c r="AR206">
        <f t="shared" si="183"/>
        <v>-58.137569714382288</v>
      </c>
      <c r="AT206">
        <f t="shared" si="156"/>
        <v>-171884.7036208465</v>
      </c>
      <c r="AU206">
        <f t="shared" si="157"/>
        <v>-294201.57590728375</v>
      </c>
      <c r="AV206">
        <f t="shared" si="198"/>
        <v>-2.0995479350138471</v>
      </c>
      <c r="AW206">
        <f t="shared" si="199"/>
        <v>-39918.932015668885</v>
      </c>
      <c r="AX206">
        <f t="shared" si="200"/>
        <v>-39402.738641501157</v>
      </c>
      <c r="AY206">
        <f t="shared" si="208"/>
        <v>-2.3627019941739476</v>
      </c>
      <c r="BA206">
        <f t="shared" si="184"/>
        <v>6.0747447829338919</v>
      </c>
      <c r="BB206">
        <f t="shared" si="201"/>
        <v>15.670560734487484</v>
      </c>
      <c r="BC206">
        <f t="shared" si="202"/>
        <v>0.26315405916010048</v>
      </c>
      <c r="BD206">
        <f t="shared" si="185"/>
        <v>-164.92238303116156</v>
      </c>
      <c r="BF206">
        <f t="shared" si="186"/>
        <v>-8.1977043446249791</v>
      </c>
      <c r="BG206">
        <f t="shared" si="187"/>
        <v>-128.27214917821331</v>
      </c>
      <c r="BH206">
        <f t="shared" si="203"/>
        <v>51.727850821786689</v>
      </c>
      <c r="BI206">
        <f t="shared" si="204"/>
        <v>51.727850821786689</v>
      </c>
      <c r="BJ206">
        <f t="shared" si="188"/>
        <v>0</v>
      </c>
      <c r="BK206">
        <f t="shared" si="205"/>
        <v>0</v>
      </c>
      <c r="BM206">
        <f t="shared" si="206"/>
        <v>-23.868265079112462</v>
      </c>
      <c r="BN206">
        <f t="shared" si="189"/>
        <v>-143.34976614705172</v>
      </c>
      <c r="BQ206" s="56">
        <f t="shared" si="207"/>
        <v>32.572521534772619</v>
      </c>
      <c r="BR206" s="59"/>
      <c r="BS206" s="59"/>
      <c r="BT206" s="59">
        <v>9120.1080000000002</v>
      </c>
      <c r="BU206" s="59">
        <v>-1.76502</v>
      </c>
      <c r="BV206" s="59">
        <v>-216.501</v>
      </c>
      <c r="BW206" s="61"/>
      <c r="BY206" s="59"/>
      <c r="BZ206" s="59"/>
      <c r="CA206" s="59"/>
      <c r="CC206" s="59"/>
    </row>
    <row r="207" spans="1:81" x14ac:dyDescent="0.25">
      <c r="A207">
        <f t="shared" si="190"/>
        <v>86500</v>
      </c>
      <c r="B207">
        <f t="shared" si="191"/>
        <v>86.5</v>
      </c>
      <c r="C207">
        <f t="shared" si="159"/>
        <v>1.2307245781933585</v>
      </c>
      <c r="D207">
        <f t="shared" si="160"/>
        <v>0.6223179195190599</v>
      </c>
      <c r="F207">
        <f t="shared" si="161"/>
        <v>3.4366477941861562E-3</v>
      </c>
      <c r="G207">
        <f t="shared" si="162"/>
        <v>1.9975599379177929E-2</v>
      </c>
      <c r="H207">
        <f t="shared" si="163"/>
        <v>-3.1216170506208223</v>
      </c>
      <c r="J207">
        <f t="shared" si="164"/>
        <v>15</v>
      </c>
      <c r="M207">
        <f t="shared" si="165"/>
        <v>1.4707766113006138E-2</v>
      </c>
      <c r="N207">
        <f t="shared" si="166"/>
        <v>-1.5707963250000001</v>
      </c>
      <c r="O207">
        <f t="shared" si="167"/>
        <v>25.151120928072114</v>
      </c>
      <c r="P207">
        <f t="shared" si="168"/>
        <v>1.5310261844534971</v>
      </c>
      <c r="Q207">
        <f t="shared" si="169"/>
        <v>22.21452862416783</v>
      </c>
      <c r="R207">
        <f t="shared" si="170"/>
        <v>1.5257655246976016</v>
      </c>
      <c r="S207">
        <f t="shared" si="171"/>
        <v>0.83092882994168871</v>
      </c>
      <c r="T207">
        <f t="shared" si="172"/>
        <v>-0.59002129726839458</v>
      </c>
      <c r="U207">
        <f t="shared" si="173"/>
        <v>0.8790216010307218</v>
      </c>
      <c r="V207">
        <f t="shared" si="174"/>
        <v>-0.49699011338917592</v>
      </c>
      <c r="X207">
        <f t="shared" si="192"/>
        <v>-8.3861660780796363</v>
      </c>
      <c r="Y207">
        <f t="shared" si="175"/>
        <v>-120.33919431581373</v>
      </c>
      <c r="Z207">
        <f t="shared" si="193"/>
        <v>59.660805684186272</v>
      </c>
      <c r="AC207">
        <v>1</v>
      </c>
      <c r="AD207">
        <f t="shared" si="176"/>
        <v>25.131233235528001</v>
      </c>
      <c r="AE207">
        <f t="shared" si="177"/>
        <v>-2.0488069331915239E-3</v>
      </c>
      <c r="AF207">
        <f t="shared" si="178"/>
        <v>3.7772939227274996E-3</v>
      </c>
      <c r="AG207">
        <f t="shared" si="194"/>
        <v>5029.8637853510409</v>
      </c>
      <c r="AH207">
        <f t="shared" si="195"/>
        <v>-2992.9415151979829</v>
      </c>
      <c r="AJ207">
        <f t="shared" si="179"/>
        <v>18000</v>
      </c>
      <c r="AK207">
        <f t="shared" si="180"/>
        <v>12052.5568389072</v>
      </c>
      <c r="AL207">
        <v>1</v>
      </c>
      <c r="AM207">
        <f t="shared" si="181"/>
        <v>22.192009417670402</v>
      </c>
      <c r="AN207">
        <f t="shared" si="196"/>
        <v>578.4781538419287</v>
      </c>
      <c r="AO207">
        <f t="shared" si="197"/>
        <v>-785.03579906946925</v>
      </c>
      <c r="AQ207">
        <f t="shared" si="182"/>
        <v>0.33411293017039762</v>
      </c>
      <c r="AR207">
        <f t="shared" si="183"/>
        <v>-57.801536919478785</v>
      </c>
      <c r="AT207">
        <f t="shared" si="156"/>
        <v>-171316.07696087539</v>
      </c>
      <c r="AU207">
        <f t="shared" si="157"/>
        <v>-291733.83774838893</v>
      </c>
      <c r="AV207">
        <f t="shared" si="198"/>
        <v>-2.1017763000818102</v>
      </c>
      <c r="AW207">
        <f t="shared" si="199"/>
        <v>-39407.404644792907</v>
      </c>
      <c r="AX207">
        <f t="shared" si="200"/>
        <v>-39173.297763894428</v>
      </c>
      <c r="AY207">
        <f t="shared" si="208"/>
        <v>-2.3591736718631</v>
      </c>
      <c r="BA207">
        <f t="shared" si="184"/>
        <v>6.0886347013214461</v>
      </c>
      <c r="BB207">
        <f t="shared" si="201"/>
        <v>15.690398371025054</v>
      </c>
      <c r="BC207">
        <f t="shared" si="202"/>
        <v>0.25739737178128985</v>
      </c>
      <c r="BD207">
        <f t="shared" si="185"/>
        <v>-165.25221692232054</v>
      </c>
      <c r="BF207">
        <f t="shared" si="186"/>
        <v>-8.2618584600461205</v>
      </c>
      <c r="BG207">
        <f t="shared" si="187"/>
        <v>-128.4515090387944</v>
      </c>
      <c r="BH207">
        <f t="shared" si="203"/>
        <v>51.548490961205601</v>
      </c>
      <c r="BI207">
        <f t="shared" si="204"/>
        <v>51.548490961205601</v>
      </c>
      <c r="BJ207">
        <f t="shared" si="188"/>
        <v>0</v>
      </c>
      <c r="BK207">
        <f t="shared" si="205"/>
        <v>0</v>
      </c>
      <c r="BM207">
        <f t="shared" si="206"/>
        <v>-23.952256831071175</v>
      </c>
      <c r="BN207">
        <f t="shared" si="189"/>
        <v>-143.19929211647386</v>
      </c>
      <c r="BQ207" s="56">
        <f t="shared" si="207"/>
        <v>32.592359171310193</v>
      </c>
      <c r="BR207" s="59"/>
      <c r="BS207" s="59"/>
      <c r="BT207" s="59">
        <v>9332.5429999999997</v>
      </c>
      <c r="BU207" s="59">
        <v>-1.99203</v>
      </c>
      <c r="BV207" s="59">
        <v>-215.83600000000001</v>
      </c>
      <c r="BW207" s="61"/>
      <c r="BY207" s="59"/>
      <c r="BZ207" s="59"/>
      <c r="CA207" s="59"/>
      <c r="CC207" s="59"/>
    </row>
    <row r="208" spans="1:81" x14ac:dyDescent="0.25">
      <c r="A208">
        <f t="shared" si="190"/>
        <v>87000</v>
      </c>
      <c r="B208">
        <f t="shared" si="191"/>
        <v>87</v>
      </c>
      <c r="C208">
        <f t="shared" si="159"/>
        <v>1.2331464943417785</v>
      </c>
      <c r="D208">
        <f t="shared" si="160"/>
        <v>0.62505034796200698</v>
      </c>
      <c r="F208">
        <f t="shared" si="161"/>
        <v>3.3971328055837345E-3</v>
      </c>
      <c r="G208">
        <f t="shared" si="162"/>
        <v>1.9860040555339267E-2</v>
      </c>
      <c r="H208">
        <f t="shared" si="163"/>
        <v>-3.1217326094446611</v>
      </c>
      <c r="J208">
        <f t="shared" si="164"/>
        <v>15</v>
      </c>
      <c r="M208">
        <f t="shared" si="165"/>
        <v>1.462323872155208E-2</v>
      </c>
      <c r="N208">
        <f t="shared" si="166"/>
        <v>-1.5707963250000001</v>
      </c>
      <c r="O208">
        <f t="shared" si="167"/>
        <v>25.2962739647256</v>
      </c>
      <c r="P208">
        <f t="shared" si="168"/>
        <v>1.531254509628883</v>
      </c>
      <c r="Q208">
        <f t="shared" si="169"/>
        <v>22.342676844594077</v>
      </c>
      <c r="R208">
        <f t="shared" si="170"/>
        <v>1.5260239757014595</v>
      </c>
      <c r="S208">
        <f t="shared" si="171"/>
        <v>0.82944171336309436</v>
      </c>
      <c r="T208">
        <f t="shared" si="172"/>
        <v>-0.59268883637664371</v>
      </c>
      <c r="U208">
        <f t="shared" si="173"/>
        <v>0.877865518080156</v>
      </c>
      <c r="V208">
        <f t="shared" si="174"/>
        <v>-0.49940948240175476</v>
      </c>
      <c r="X208">
        <f t="shared" si="192"/>
        <v>-8.4466469954591581</v>
      </c>
      <c r="Y208">
        <f t="shared" si="175"/>
        <v>-120.45282687668872</v>
      </c>
      <c r="Z208">
        <f t="shared" si="193"/>
        <v>59.547173123311282</v>
      </c>
      <c r="AC208">
        <v>1</v>
      </c>
      <c r="AD208">
        <f t="shared" si="176"/>
        <v>25.276500479664001</v>
      </c>
      <c r="AE208">
        <f t="shared" si="177"/>
        <v>-2.0725610180529447E-3</v>
      </c>
      <c r="AF208">
        <f t="shared" si="178"/>
        <v>3.7991279916450003E-3</v>
      </c>
      <c r="AG208">
        <f t="shared" si="194"/>
        <v>5016.6420035986666</v>
      </c>
      <c r="AH208">
        <f t="shared" si="195"/>
        <v>-2999.9770166339285</v>
      </c>
      <c r="AJ208">
        <f t="shared" si="179"/>
        <v>18000</v>
      </c>
      <c r="AK208">
        <f t="shared" si="180"/>
        <v>12122.2247975136</v>
      </c>
      <c r="AL208">
        <v>1</v>
      </c>
      <c r="AM208">
        <f t="shared" si="181"/>
        <v>22.320286928755202</v>
      </c>
      <c r="AN208">
        <f t="shared" si="196"/>
        <v>578.07352862040921</v>
      </c>
      <c r="AO208">
        <f t="shared" si="197"/>
        <v>-780.54222721191547</v>
      </c>
      <c r="AQ208">
        <f t="shared" si="182"/>
        <v>0.33028371371007698</v>
      </c>
      <c r="AR208">
        <f t="shared" si="183"/>
        <v>-57.46936618555339</v>
      </c>
      <c r="AT208">
        <f t="shared" si="156"/>
        <v>-170749.86256587671</v>
      </c>
      <c r="AU208">
        <f t="shared" si="157"/>
        <v>-289294.07987673872</v>
      </c>
      <c r="AV208">
        <f t="shared" si="198"/>
        <v>-2.1040005631994614</v>
      </c>
      <c r="AW208">
        <f t="shared" si="199"/>
        <v>-38904.885040740795</v>
      </c>
      <c r="AX208">
        <f t="shared" si="200"/>
        <v>-38946.964299784704</v>
      </c>
      <c r="AY208">
        <f t="shared" si="208"/>
        <v>-2.355653985948674</v>
      </c>
      <c r="BA208">
        <f t="shared" si="184"/>
        <v>6.1022528949394763</v>
      </c>
      <c r="BB208">
        <f t="shared" si="201"/>
        <v>15.709804041876144</v>
      </c>
      <c r="BC208">
        <f t="shared" si="202"/>
        <v>0.25165342274921265</v>
      </c>
      <c r="BD208">
        <f t="shared" si="185"/>
        <v>-165.58132095997289</v>
      </c>
      <c r="BF208">
        <f t="shared" si="186"/>
        <v>-8.3258268192115334</v>
      </c>
      <c r="BG208">
        <f t="shared" si="187"/>
        <v>-128.63067749156448</v>
      </c>
      <c r="BH208">
        <f t="shared" si="203"/>
        <v>51.369322508435516</v>
      </c>
      <c r="BI208">
        <f t="shared" si="204"/>
        <v>51.369322508435516</v>
      </c>
      <c r="BJ208">
        <f t="shared" si="188"/>
        <v>0</v>
      </c>
      <c r="BK208">
        <f t="shared" si="205"/>
        <v>0</v>
      </c>
      <c r="BM208">
        <f t="shared" si="206"/>
        <v>-24.035630861087679</v>
      </c>
      <c r="BN208">
        <f t="shared" si="189"/>
        <v>-143.0493565315916</v>
      </c>
      <c r="BQ208" s="56">
        <f t="shared" si="207"/>
        <v>32.611764842161278</v>
      </c>
      <c r="BR208" s="59"/>
      <c r="BS208" s="59"/>
      <c r="BT208" s="59">
        <v>9549.9259999999995</v>
      </c>
      <c r="BU208" s="59">
        <v>-2.1278299999999999</v>
      </c>
      <c r="BV208" s="59">
        <v>-215.499</v>
      </c>
      <c r="BW208" s="61"/>
      <c r="BY208" s="59"/>
      <c r="BZ208" s="59"/>
      <c r="CA208" s="59"/>
      <c r="CC208" s="59"/>
    </row>
    <row r="209" spans="1:81" x14ac:dyDescent="0.25">
      <c r="A209">
        <f t="shared" si="190"/>
        <v>87500</v>
      </c>
      <c r="B209">
        <f t="shared" si="191"/>
        <v>87.5</v>
      </c>
      <c r="C209">
        <f t="shared" si="159"/>
        <v>1.2355775812319332</v>
      </c>
      <c r="D209">
        <f t="shared" si="160"/>
        <v>0.62777204416397991</v>
      </c>
      <c r="F209">
        <f t="shared" si="161"/>
        <v>3.3582961533541763E-3</v>
      </c>
      <c r="G209">
        <f t="shared" si="162"/>
        <v>1.9745815315429471E-2</v>
      </c>
      <c r="H209">
        <f t="shared" si="163"/>
        <v>-3.1218468346845709</v>
      </c>
      <c r="J209">
        <f t="shared" si="164"/>
        <v>15</v>
      </c>
      <c r="M209">
        <f t="shared" si="165"/>
        <v>1.4539677357428928E-2</v>
      </c>
      <c r="N209">
        <f t="shared" si="166"/>
        <v>-1.5707963250000001</v>
      </c>
      <c r="O209">
        <f t="shared" si="167"/>
        <v>25.441428305086163</v>
      </c>
      <c r="P209">
        <f t="shared" si="168"/>
        <v>1.5314802294283791</v>
      </c>
      <c r="Q209">
        <f t="shared" si="169"/>
        <v>22.470826540420116</v>
      </c>
      <c r="R209">
        <f t="shared" si="170"/>
        <v>1.5262794788629195</v>
      </c>
      <c r="S209">
        <f t="shared" si="171"/>
        <v>0.82795405030764424</v>
      </c>
      <c r="T209">
        <f t="shared" si="172"/>
        <v>-0.59534682549764073</v>
      </c>
      <c r="U209">
        <f t="shared" si="173"/>
        <v>0.87670736062816301</v>
      </c>
      <c r="V209">
        <f t="shared" si="174"/>
        <v>-0.50182248181841893</v>
      </c>
      <c r="X209">
        <f t="shared" si="192"/>
        <v>-8.506870706648952</v>
      </c>
      <c r="Y209">
        <f t="shared" si="175"/>
        <v>-120.56640399198905</v>
      </c>
      <c r="Z209">
        <f t="shared" si="193"/>
        <v>59.433596008010952</v>
      </c>
      <c r="AC209">
        <v>1</v>
      </c>
      <c r="AD209">
        <f t="shared" si="176"/>
        <v>25.421767723799999</v>
      </c>
      <c r="AE209">
        <f t="shared" si="177"/>
        <v>-2.0964520140663045E-3</v>
      </c>
      <c r="AF209">
        <f t="shared" si="178"/>
        <v>3.8209620605624997E-3</v>
      </c>
      <c r="AG209">
        <f t="shared" si="194"/>
        <v>5003.413943881661</v>
      </c>
      <c r="AH209">
        <f t="shared" si="195"/>
        <v>-3006.9435544635417</v>
      </c>
      <c r="AJ209">
        <f t="shared" si="179"/>
        <v>18000</v>
      </c>
      <c r="AK209">
        <f t="shared" si="180"/>
        <v>12191.89275612</v>
      </c>
      <c r="AL209">
        <v>1</v>
      </c>
      <c r="AM209">
        <f t="shared" si="181"/>
        <v>22.448564439840002</v>
      </c>
      <c r="AN209">
        <f t="shared" si="196"/>
        <v>577.67580167728102</v>
      </c>
      <c r="AO209">
        <f t="shared" si="197"/>
        <v>-776.09970316867589</v>
      </c>
      <c r="AQ209">
        <f t="shared" si="182"/>
        <v>0.32651995036896753</v>
      </c>
      <c r="AR209">
        <f t="shared" si="183"/>
        <v>-57.14099131456932</v>
      </c>
      <c r="AT209">
        <f t="shared" si="156"/>
        <v>-170186.02105636979</v>
      </c>
      <c r="AU209">
        <f t="shared" si="157"/>
        <v>-286881.85977070272</v>
      </c>
      <c r="AV209">
        <f t="shared" si="198"/>
        <v>-2.106220682460636</v>
      </c>
      <c r="AW209">
        <f t="shared" si="199"/>
        <v>-38411.168173301165</v>
      </c>
      <c r="AX209">
        <f t="shared" si="200"/>
        <v>-38723.673427271191</v>
      </c>
      <c r="AY209">
        <f t="shared" si="208"/>
        <v>-2.352143097362779</v>
      </c>
      <c r="BA209">
        <f t="shared" si="184"/>
        <v>6.1156006646056413</v>
      </c>
      <c r="BB209">
        <f t="shared" si="201"/>
        <v>15.728782383659972</v>
      </c>
      <c r="BC209">
        <f t="shared" si="202"/>
        <v>0.24592241490214306</v>
      </c>
      <c r="BD209">
        <f t="shared" si="185"/>
        <v>-165.90968352234154</v>
      </c>
      <c r="BF209">
        <f t="shared" si="186"/>
        <v>-8.3896122009550762</v>
      </c>
      <c r="BG209">
        <f t="shared" si="187"/>
        <v>-128.80964297243329</v>
      </c>
      <c r="BH209">
        <f t="shared" si="203"/>
        <v>51.190357027566705</v>
      </c>
      <c r="BI209">
        <f t="shared" si="204"/>
        <v>51.190357027566705</v>
      </c>
      <c r="BJ209">
        <f t="shared" si="188"/>
        <v>0</v>
      </c>
      <c r="BK209">
        <f t="shared" si="205"/>
        <v>0</v>
      </c>
      <c r="BM209">
        <f t="shared" si="206"/>
        <v>-24.118394584615046</v>
      </c>
      <c r="BN209">
        <f t="shared" si="189"/>
        <v>-142.89995945009179</v>
      </c>
      <c r="BQ209" s="56">
        <f t="shared" si="207"/>
        <v>32.630743183945107</v>
      </c>
      <c r="BR209" s="59"/>
      <c r="BS209" s="59"/>
      <c r="BT209" s="59">
        <v>9772.3719999999994</v>
      </c>
      <c r="BU209" s="59">
        <v>-1.9944299999999999</v>
      </c>
      <c r="BV209" s="59">
        <v>-212.98699999999999</v>
      </c>
      <c r="BW209" s="61"/>
      <c r="BY209" s="59"/>
      <c r="BZ209" s="59"/>
      <c r="CA209" s="59"/>
      <c r="CC209" s="59"/>
    </row>
    <row r="210" spans="1:81" x14ac:dyDescent="0.25">
      <c r="A210">
        <f t="shared" si="190"/>
        <v>88000</v>
      </c>
      <c r="B210">
        <f t="shared" si="191"/>
        <v>88</v>
      </c>
      <c r="C210">
        <f t="shared" si="159"/>
        <v>1.2380177848382585</v>
      </c>
      <c r="D210">
        <f t="shared" si="160"/>
        <v>0.6304830311454962</v>
      </c>
      <c r="F210">
        <f t="shared" si="161"/>
        <v>3.3201223836376121E-3</v>
      </c>
      <c r="G210">
        <f t="shared" si="162"/>
        <v>1.963290063545365E-2</v>
      </c>
      <c r="H210">
        <f t="shared" si="163"/>
        <v>-3.1219597493645463</v>
      </c>
      <c r="J210">
        <f t="shared" si="164"/>
        <v>15</v>
      </c>
      <c r="M210">
        <f t="shared" si="165"/>
        <v>1.4457065554261716E-2</v>
      </c>
      <c r="N210">
        <f t="shared" si="166"/>
        <v>-1.5707963250000001</v>
      </c>
      <c r="O210">
        <f t="shared" si="167"/>
        <v>25.586583926965751</v>
      </c>
      <c r="P210">
        <f t="shared" si="168"/>
        <v>1.5317033881705746</v>
      </c>
      <c r="Q210">
        <f t="shared" si="169"/>
        <v>22.598977686546753</v>
      </c>
      <c r="R210">
        <f t="shared" si="170"/>
        <v>1.5265320842969816</v>
      </c>
      <c r="S210">
        <f t="shared" si="171"/>
        <v>0.82646590660179642</v>
      </c>
      <c r="T210">
        <f t="shared" si="172"/>
        <v>-0.59799527846872236</v>
      </c>
      <c r="U210">
        <f t="shared" si="173"/>
        <v>0.87554717725480302</v>
      </c>
      <c r="V210">
        <f t="shared" si="174"/>
        <v>-0.50422910877169502</v>
      </c>
      <c r="X210">
        <f t="shared" si="192"/>
        <v>-8.5668403831472801</v>
      </c>
      <c r="Y210">
        <f t="shared" si="175"/>
        <v>-120.67992087979451</v>
      </c>
      <c r="Z210">
        <f t="shared" si="193"/>
        <v>59.320079120205492</v>
      </c>
      <c r="AC210">
        <v>1</v>
      </c>
      <c r="AD210">
        <f t="shared" si="176"/>
        <v>25.567034967935999</v>
      </c>
      <c r="AE210">
        <f t="shared" si="177"/>
        <v>-2.1204799212316034E-3</v>
      </c>
      <c r="AF210">
        <f t="shared" si="178"/>
        <v>3.8427961294799995E-3</v>
      </c>
      <c r="AG210">
        <f t="shared" si="194"/>
        <v>4990.1802538043939</v>
      </c>
      <c r="AH210">
        <f t="shared" si="195"/>
        <v>-3013.8411305951431</v>
      </c>
      <c r="AJ210">
        <f t="shared" si="179"/>
        <v>18000</v>
      </c>
      <c r="AK210">
        <f t="shared" si="180"/>
        <v>12261.5607147264</v>
      </c>
      <c r="AL210">
        <v>1</v>
      </c>
      <c r="AM210">
        <f t="shared" si="181"/>
        <v>22.576841950924802</v>
      </c>
      <c r="AN210">
        <f t="shared" si="196"/>
        <v>577.28481719299191</v>
      </c>
      <c r="AO210">
        <f t="shared" si="197"/>
        <v>-771.70736370829457</v>
      </c>
      <c r="AQ210">
        <f t="shared" si="182"/>
        <v>0.32282015689059623</v>
      </c>
      <c r="AR210">
        <f t="shared" si="183"/>
        <v>-56.816347612744941</v>
      </c>
      <c r="AT210">
        <f t="shared" si="156"/>
        <v>-169624.5145530364</v>
      </c>
      <c r="AU210">
        <f t="shared" si="157"/>
        <v>-284496.74461702828</v>
      </c>
      <c r="AV210">
        <f t="shared" si="198"/>
        <v>-2.1084366171500659</v>
      </c>
      <c r="AW210">
        <f t="shared" si="199"/>
        <v>-37926.054781426785</v>
      </c>
      <c r="AX210">
        <f t="shared" si="200"/>
        <v>-38503.36209902721</v>
      </c>
      <c r="AY210">
        <f t="shared" si="208"/>
        <v>-2.3486411637097766</v>
      </c>
      <c r="BA210">
        <f t="shared" si="184"/>
        <v>6.12867934415259</v>
      </c>
      <c r="BB210">
        <f t="shared" si="201"/>
        <v>15.747337988445</v>
      </c>
      <c r="BC210">
        <f t="shared" si="202"/>
        <v>0.24020454655971069</v>
      </c>
      <c r="BD210">
        <f t="shared" si="185"/>
        <v>-166.23729324654872</v>
      </c>
      <c r="BF210">
        <f t="shared" si="186"/>
        <v>-8.4532173059113607</v>
      </c>
      <c r="BG210">
        <f t="shared" si="187"/>
        <v>-128.98839411872225</v>
      </c>
      <c r="BH210">
        <f t="shared" si="203"/>
        <v>51.011605881277745</v>
      </c>
      <c r="BI210">
        <f t="shared" si="204"/>
        <v>51.011605881277745</v>
      </c>
      <c r="BJ210">
        <f t="shared" si="188"/>
        <v>0</v>
      </c>
      <c r="BK210">
        <f t="shared" si="205"/>
        <v>0</v>
      </c>
      <c r="BM210">
        <f t="shared" si="206"/>
        <v>-24.200555294356363</v>
      </c>
      <c r="BN210">
        <f t="shared" si="189"/>
        <v>-142.75110087217354</v>
      </c>
      <c r="BQ210" s="56">
        <f t="shared" si="207"/>
        <v>32.649298788730135</v>
      </c>
      <c r="BR210" s="59"/>
      <c r="BS210" s="59"/>
      <c r="BT210" s="59">
        <v>10000</v>
      </c>
      <c r="BU210" s="59">
        <v>-2.2209699999999999</v>
      </c>
      <c r="BV210" s="59">
        <v>-213.047</v>
      </c>
      <c r="BW210" s="61"/>
      <c r="BY210" s="59"/>
      <c r="BZ210" s="59"/>
      <c r="CA210" s="59"/>
      <c r="CC210" s="59"/>
    </row>
    <row r="211" spans="1:81" x14ac:dyDescent="0.25">
      <c r="A211">
        <f t="shared" si="190"/>
        <v>88500</v>
      </c>
      <c r="B211">
        <f t="shared" si="191"/>
        <v>88.5</v>
      </c>
      <c r="C211">
        <f t="shared" si="159"/>
        <v>1.2404670513584959</v>
      </c>
      <c r="D211">
        <f t="shared" si="160"/>
        <v>0.6331833323759265</v>
      </c>
      <c r="F211">
        <f t="shared" si="161"/>
        <v>3.2825964806133157E-3</v>
      </c>
      <c r="G211">
        <f t="shared" si="162"/>
        <v>1.9521274019974777E-2</v>
      </c>
      <c r="H211">
        <f t="shared" si="163"/>
        <v>-3.1220713759800254</v>
      </c>
      <c r="J211">
        <f t="shared" si="164"/>
        <v>15</v>
      </c>
      <c r="M211">
        <f t="shared" si="165"/>
        <v>1.4375387217796961E-2</v>
      </c>
      <c r="N211">
        <f t="shared" si="166"/>
        <v>-1.5707963250000001</v>
      </c>
      <c r="O211">
        <f t="shared" si="167"/>
        <v>25.73174080867679</v>
      </c>
      <c r="P211">
        <f t="shared" si="168"/>
        <v>1.5319240291750593</v>
      </c>
      <c r="Q211">
        <f t="shared" si="169"/>
        <v>22.727130258440621</v>
      </c>
      <c r="R211">
        <f t="shared" si="170"/>
        <v>1.5267818409898011</v>
      </c>
      <c r="S211">
        <f t="shared" si="171"/>
        <v>0.82497734729328098</v>
      </c>
      <c r="T211">
        <f t="shared" si="172"/>
        <v>-0.60063420956322999</v>
      </c>
      <c r="U211">
        <f t="shared" si="173"/>
        <v>0.87438501622971476</v>
      </c>
      <c r="V211">
        <f t="shared" si="174"/>
        <v>-0.50662936070449949</v>
      </c>
      <c r="X211">
        <f t="shared" si="192"/>
        <v>-8.6265591352660884</v>
      </c>
      <c r="Y211">
        <f t="shared" si="175"/>
        <v>-120.79337286686555</v>
      </c>
      <c r="Z211">
        <f t="shared" si="193"/>
        <v>59.206627133134447</v>
      </c>
      <c r="AC211">
        <v>1</v>
      </c>
      <c r="AD211">
        <f t="shared" si="176"/>
        <v>25.712302212071997</v>
      </c>
      <c r="AE211">
        <f t="shared" si="177"/>
        <v>-2.1446447395488408E-3</v>
      </c>
      <c r="AF211">
        <f t="shared" si="178"/>
        <v>3.8646301983975002E-3</v>
      </c>
      <c r="AG211">
        <f t="shared" si="194"/>
        <v>4976.9415746651694</v>
      </c>
      <c r="AH211">
        <f t="shared" si="195"/>
        <v>-3020.6697582573888</v>
      </c>
      <c r="AJ211">
        <f t="shared" si="179"/>
        <v>18000</v>
      </c>
      <c r="AK211">
        <f t="shared" si="180"/>
        <v>12331.2286733328</v>
      </c>
      <c r="AL211">
        <v>1</v>
      </c>
      <c r="AM211">
        <f t="shared" si="181"/>
        <v>22.705119462009602</v>
      </c>
      <c r="AN211">
        <f t="shared" si="196"/>
        <v>576.90042372004643</v>
      </c>
      <c r="AO211">
        <f t="shared" si="197"/>
        <v>-767.36436491481288</v>
      </c>
      <c r="AQ211">
        <f t="shared" si="182"/>
        <v>0.31918289179699966</v>
      </c>
      <c r="AR211">
        <f t="shared" si="183"/>
        <v>-56.495371848068942</v>
      </c>
      <c r="AT211">
        <f t="shared" si="156"/>
        <v>-169065.30661886136</v>
      </c>
      <c r="AU211">
        <f t="shared" si="157"/>
        <v>-282138.31103542686</v>
      </c>
      <c r="AV211">
        <f t="shared" si="198"/>
        <v>-2.1106483277156487</v>
      </c>
      <c r="AW211">
        <f t="shared" si="199"/>
        <v>-37449.351179485842</v>
      </c>
      <c r="AX211">
        <f t="shared" si="200"/>
        <v>-38285.968982510494</v>
      </c>
      <c r="AY211">
        <f t="shared" si="208"/>
        <v>-2.3451483392863368</v>
      </c>
      <c r="BA211">
        <f t="shared" si="184"/>
        <v>6.1414902996653424</v>
      </c>
      <c r="BB211">
        <f t="shared" si="201"/>
        <v>15.765475404537055</v>
      </c>
      <c r="BC211">
        <f t="shared" si="202"/>
        <v>0.23450001157068812</v>
      </c>
      <c r="BD211">
        <f t="shared" si="185"/>
        <v>-166.56413902587789</v>
      </c>
      <c r="BF211">
        <f t="shared" si="186"/>
        <v>-8.5166447584291447</v>
      </c>
      <c r="BG211">
        <f t="shared" si="187"/>
        <v>-129.16691976791259</v>
      </c>
      <c r="BH211">
        <f t="shared" si="203"/>
        <v>50.833080232087411</v>
      </c>
      <c r="BI211">
        <f t="shared" si="204"/>
        <v>50.833080232087411</v>
      </c>
      <c r="BJ211">
        <f t="shared" si="188"/>
        <v>0</v>
      </c>
      <c r="BK211">
        <f t="shared" si="205"/>
        <v>0</v>
      </c>
      <c r="BM211">
        <f t="shared" si="206"/>
        <v>-24.282120162966194</v>
      </c>
      <c r="BN211">
        <f t="shared" si="189"/>
        <v>-142.6027807420347</v>
      </c>
      <c r="BQ211" s="56">
        <f t="shared" si="207"/>
        <v>32.667436204822188</v>
      </c>
      <c r="BR211" s="59"/>
      <c r="BS211" s="59"/>
      <c r="BT211" s="59">
        <v>10232.93</v>
      </c>
      <c r="BU211" s="59">
        <v>-2.4867400000000002</v>
      </c>
      <c r="BV211" s="59">
        <v>-211.715</v>
      </c>
      <c r="BW211" s="61"/>
      <c r="BY211" s="59"/>
      <c r="BZ211" s="59"/>
      <c r="CA211" s="59"/>
      <c r="CC211" s="59"/>
    </row>
    <row r="212" spans="1:81" x14ac:dyDescent="0.25">
      <c r="A212">
        <f t="shared" si="190"/>
        <v>89000</v>
      </c>
      <c r="B212">
        <f t="shared" si="191"/>
        <v>89</v>
      </c>
      <c r="C212">
        <f t="shared" si="159"/>
        <v>1.2429253272154333</v>
      </c>
      <c r="D212">
        <f t="shared" si="160"/>
        <v>0.63587297176332558</v>
      </c>
      <c r="F212">
        <f t="shared" si="161"/>
        <v>3.2457038516694801E-3</v>
      </c>
      <c r="G212">
        <f t="shared" si="162"/>
        <v>1.9410913486989187E-2</v>
      </c>
      <c r="H212">
        <f t="shared" si="163"/>
        <v>-3.1221817365130109</v>
      </c>
      <c r="J212">
        <f t="shared" si="164"/>
        <v>15</v>
      </c>
      <c r="M212">
        <f t="shared" si="165"/>
        <v>1.4294626615449786E-2</v>
      </c>
      <c r="N212">
        <f t="shared" si="166"/>
        <v>-1.5707963250000001</v>
      </c>
      <c r="O212">
        <f t="shared" si="167"/>
        <v>25.876898929018154</v>
      </c>
      <c r="P212">
        <f t="shared" si="168"/>
        <v>1.5321421947903999</v>
      </c>
      <c r="Q212">
        <f t="shared" si="169"/>
        <v>22.855284232118326</v>
      </c>
      <c r="R212">
        <f t="shared" si="170"/>
        <v>1.5270287968302738</v>
      </c>
      <c r="S212">
        <f t="shared" si="171"/>
        <v>0.82348843665302396</v>
      </c>
      <c r="T212">
        <f t="shared" si="172"/>
        <v>-0.60326363348253664</v>
      </c>
      <c r="U212">
        <f t="shared" si="173"/>
        <v>0.87322092550999997</v>
      </c>
      <c r="V212">
        <f t="shared" si="174"/>
        <v>-0.50902323536709881</v>
      </c>
      <c r="X212">
        <f t="shared" si="192"/>
        <v>-8.6860300135994599</v>
      </c>
      <c r="Y212">
        <f t="shared" si="175"/>
        <v>-120.906755386048</v>
      </c>
      <c r="Z212">
        <f t="shared" si="193"/>
        <v>59.093244613951995</v>
      </c>
      <c r="AC212">
        <v>1</v>
      </c>
      <c r="AD212">
        <f t="shared" si="176"/>
        <v>25.857569456208001</v>
      </c>
      <c r="AE212">
        <f t="shared" si="177"/>
        <v>-2.1689464690180177E-3</v>
      </c>
      <c r="AF212">
        <f t="shared" si="178"/>
        <v>3.8864642673150001E-3</v>
      </c>
      <c r="AG212">
        <f t="shared" si="194"/>
        <v>4963.6985414430574</v>
      </c>
      <c r="AH212">
        <f t="shared" si="195"/>
        <v>-3027.4294617049063</v>
      </c>
      <c r="AJ212">
        <f t="shared" si="179"/>
        <v>18000</v>
      </c>
      <c r="AK212">
        <f t="shared" si="180"/>
        <v>12400.896631939198</v>
      </c>
      <c r="AL212">
        <v>1</v>
      </c>
      <c r="AM212">
        <f t="shared" si="181"/>
        <v>22.833396973094402</v>
      </c>
      <c r="AN212">
        <f t="shared" si="196"/>
        <v>576.52247403671413</v>
      </c>
      <c r="AO212">
        <f t="shared" si="197"/>
        <v>-763.06988165160612</v>
      </c>
      <c r="AQ212">
        <f t="shared" si="182"/>
        <v>0.31560675398453525</v>
      </c>
      <c r="AR212">
        <f t="shared" si="183"/>
        <v>-56.178002209247275</v>
      </c>
      <c r="AT212">
        <f t="shared" si="156"/>
        <v>-168508.3622035759</v>
      </c>
      <c r="AU212">
        <f t="shared" si="157"/>
        <v>-279806.14481255139</v>
      </c>
      <c r="AV212">
        <f t="shared" si="198"/>
        <v>-2.1128557757415365</v>
      </c>
      <c r="AW212">
        <f t="shared" si="199"/>
        <v>-36980.869071064364</v>
      </c>
      <c r="AX212">
        <f t="shared" si="200"/>
        <v>-38071.434402561637</v>
      </c>
      <c r="AY212">
        <f t="shared" si="208"/>
        <v>-2.3416647751015174</v>
      </c>
      <c r="BA212">
        <f t="shared" si="184"/>
        <v>6.1540349287119964</v>
      </c>
      <c r="BB212">
        <f t="shared" si="201"/>
        <v>15.783199137233769</v>
      </c>
      <c r="BC212">
        <f t="shared" si="202"/>
        <v>0.22880899935998089</v>
      </c>
      <c r="BD212">
        <f t="shared" si="185"/>
        <v>-166.89021000708141</v>
      </c>
      <c r="BF212">
        <f t="shared" si="186"/>
        <v>-8.5798971084420277</v>
      </c>
      <c r="BG212">
        <f t="shared" si="187"/>
        <v>-129.34520895640199</v>
      </c>
      <c r="BH212">
        <f t="shared" si="203"/>
        <v>50.65479104359801</v>
      </c>
      <c r="BI212">
        <f t="shared" si="204"/>
        <v>50.65479104359801</v>
      </c>
      <c r="BJ212">
        <f t="shared" si="188"/>
        <v>0</v>
      </c>
      <c r="BK212">
        <f t="shared" si="205"/>
        <v>0</v>
      </c>
      <c r="BM212">
        <f t="shared" si="206"/>
        <v>-24.363096245675798</v>
      </c>
      <c r="BN212">
        <f t="shared" si="189"/>
        <v>-142.45499894932058</v>
      </c>
      <c r="BQ212" s="56">
        <f t="shared" si="207"/>
        <v>32.685159937518911</v>
      </c>
      <c r="BR212" s="59"/>
      <c r="BS212" s="59"/>
      <c r="BT212" s="59">
        <v>10471.285</v>
      </c>
      <c r="BU212" s="59">
        <v>-2.3517399999999999</v>
      </c>
      <c r="BV212" s="59">
        <v>-211.89099999999999</v>
      </c>
      <c r="BW212" s="61"/>
      <c r="BY212" s="59"/>
      <c r="BZ212" s="59"/>
      <c r="CA212" s="59"/>
      <c r="CC212" s="59"/>
    </row>
    <row r="213" spans="1:81" x14ac:dyDescent="0.25">
      <c r="A213">
        <f t="shared" si="190"/>
        <v>89500</v>
      </c>
      <c r="B213">
        <f t="shared" si="191"/>
        <v>89.5</v>
      </c>
      <c r="C213">
        <f t="shared" si="159"/>
        <v>1.245392559058581</v>
      </c>
      <c r="D213">
        <f t="shared" si="160"/>
        <v>0.63855197364436334</v>
      </c>
      <c r="F213">
        <f t="shared" si="161"/>
        <v>3.2094303131560372E-3</v>
      </c>
      <c r="G213">
        <f t="shared" si="162"/>
        <v>1.930179755331982E-2</v>
      </c>
      <c r="H213">
        <f t="shared" si="163"/>
        <v>-3.1222908524466804</v>
      </c>
      <c r="J213">
        <f t="shared" si="164"/>
        <v>15</v>
      </c>
      <c r="M213">
        <f t="shared" si="165"/>
        <v>1.4214768366201466E-2</v>
      </c>
      <c r="N213">
        <f t="shared" si="166"/>
        <v>-1.5707963250000001</v>
      </c>
      <c r="O213">
        <f t="shared" si="167"/>
        <v>26.022058267261581</v>
      </c>
      <c r="P213">
        <f t="shared" si="168"/>
        <v>1.5323579264211826</v>
      </c>
      <c r="Q213">
        <f t="shared" si="169"/>
        <v>22.983439584131141</v>
      </c>
      <c r="R213">
        <f t="shared" si="170"/>
        <v>1.5272729986405682</v>
      </c>
      <c r="S213">
        <f t="shared" si="171"/>
        <v>0.82199923817723053</v>
      </c>
      <c r="T213">
        <f t="shared" si="172"/>
        <v>-0.60588356534812926</v>
      </c>
      <c r="U213">
        <f t="shared" si="173"/>
        <v>0.87205495273819766</v>
      </c>
      <c r="V213">
        <f t="shared" si="174"/>
        <v>-0.51141073081406263</v>
      </c>
      <c r="X213">
        <f t="shared" si="192"/>
        <v>-8.7452560104494275</v>
      </c>
      <c r="Y213">
        <f t="shared" si="175"/>
        <v>-121.0200639737607</v>
      </c>
      <c r="Z213">
        <f t="shared" si="193"/>
        <v>58.979936026239301</v>
      </c>
      <c r="AC213">
        <v>1</v>
      </c>
      <c r="AD213">
        <f t="shared" si="176"/>
        <v>26.002836700343998</v>
      </c>
      <c r="AE213">
        <f t="shared" si="177"/>
        <v>-2.1933851096391337E-3</v>
      </c>
      <c r="AF213">
        <f t="shared" si="178"/>
        <v>3.9082983362324995E-3</v>
      </c>
      <c r="AG213">
        <f t="shared" si="194"/>
        <v>4950.451782786321</v>
      </c>
      <c r="AH213">
        <f t="shared" si="195"/>
        <v>-3034.1202759308972</v>
      </c>
      <c r="AJ213">
        <f t="shared" si="179"/>
        <v>18000</v>
      </c>
      <c r="AK213">
        <f t="shared" si="180"/>
        <v>12470.564590545599</v>
      </c>
      <c r="AL213">
        <v>1</v>
      </c>
      <c r="AM213">
        <f t="shared" si="181"/>
        <v>22.961674484179202</v>
      </c>
      <c r="AN213">
        <f t="shared" si="196"/>
        <v>576.15082500641267</v>
      </c>
      <c r="AO213">
        <f t="shared" si="197"/>
        <v>-758.82310704294559</v>
      </c>
      <c r="AQ213">
        <f t="shared" si="182"/>
        <v>0.31209038137444606</v>
      </c>
      <c r="AR213">
        <f t="shared" si="183"/>
        <v>-55.864178266025839</v>
      </c>
      <c r="AT213">
        <f t="shared" si="156"/>
        <v>-167953.64759030155</v>
      </c>
      <c r="AU213">
        <f t="shared" si="157"/>
        <v>-277499.84064499167</v>
      </c>
      <c r="AV213">
        <f t="shared" si="198"/>
        <v>-2.1150589239220174</v>
      </c>
      <c r="AW213">
        <f t="shared" si="199"/>
        <v>-36520.425369985722</v>
      </c>
      <c r="AX213">
        <f t="shared" si="200"/>
        <v>-37859.700286280618</v>
      </c>
      <c r="AY213">
        <f t="shared" si="208"/>
        <v>-2.3381906188969133</v>
      </c>
      <c r="BA213">
        <f t="shared" si="184"/>
        <v>6.1663146595683802</v>
      </c>
      <c r="BB213">
        <f t="shared" si="201"/>
        <v>15.80051364954673</v>
      </c>
      <c r="BC213">
        <f t="shared" si="202"/>
        <v>0.22313169497489582</v>
      </c>
      <c r="BD213">
        <f t="shared" si="185"/>
        <v>-167.21549558772961</v>
      </c>
      <c r="BF213">
        <f t="shared" si="186"/>
        <v>-8.6429768332978689</v>
      </c>
      <c r="BG213">
        <f t="shared" si="187"/>
        <v>-129.52325091826776</v>
      </c>
      <c r="BH213">
        <f t="shared" si="203"/>
        <v>50.476749081732237</v>
      </c>
      <c r="BI213">
        <f t="shared" si="204"/>
        <v>50.476749081732237</v>
      </c>
      <c r="BJ213">
        <f t="shared" si="188"/>
        <v>0</v>
      </c>
      <c r="BK213">
        <f t="shared" si="205"/>
        <v>0</v>
      </c>
      <c r="BM213">
        <f t="shared" si="206"/>
        <v>-24.443490482844599</v>
      </c>
      <c r="BN213">
        <f t="shared" si="189"/>
        <v>-142.30775533053816</v>
      </c>
      <c r="BQ213" s="56">
        <f t="shared" si="207"/>
        <v>32.702474449831868</v>
      </c>
      <c r="BR213" s="59"/>
      <c r="BS213" s="59"/>
      <c r="BT213" s="59">
        <v>10715.192999999999</v>
      </c>
      <c r="BU213" s="59">
        <v>-2.5136799999999999</v>
      </c>
      <c r="BV213" s="59">
        <v>-209.68</v>
      </c>
      <c r="BW213" s="61"/>
      <c r="BY213" s="59"/>
      <c r="BZ213" s="59"/>
      <c r="CA213" s="59"/>
      <c r="CC213" s="59"/>
    </row>
    <row r="214" spans="1:81" x14ac:dyDescent="0.25">
      <c r="A214">
        <f t="shared" si="190"/>
        <v>90000</v>
      </c>
      <c r="B214">
        <f t="shared" si="191"/>
        <v>90</v>
      </c>
      <c r="C214">
        <f t="shared" si="159"/>
        <v>1.2478686937657781</v>
      </c>
      <c r="D214">
        <f t="shared" si="160"/>
        <v>0.64122036277435768</v>
      </c>
      <c r="F214">
        <f t="shared" si="161"/>
        <v>3.1737620766944708E-3</v>
      </c>
      <c r="G214">
        <f t="shared" si="162"/>
        <v>1.9193905220506655E-2</v>
      </c>
      <c r="H214">
        <f t="shared" si="163"/>
        <v>-3.1223987447794936</v>
      </c>
      <c r="J214">
        <f t="shared" si="164"/>
        <v>15</v>
      </c>
      <c r="M214">
        <f t="shared" si="165"/>
        <v>1.4135797430833678E-2</v>
      </c>
      <c r="N214">
        <f t="shared" si="166"/>
        <v>-1.5707963250000001</v>
      </c>
      <c r="O214">
        <f t="shared" si="167"/>
        <v>26.167218803138603</v>
      </c>
      <c r="P214">
        <f t="shared" si="168"/>
        <v>1.5325712645541572</v>
      </c>
      <c r="Q214">
        <f t="shared" si="169"/>
        <v>23.111596291550182</v>
      </c>
      <c r="R214">
        <f t="shared" si="170"/>
        <v>1.5275144922056447</v>
      </c>
      <c r="S214">
        <f t="shared" si="171"/>
        <v>0.82050981458962269</v>
      </c>
      <c r="T214">
        <f t="shared" si="172"/>
        <v>-0.60849402069374825</v>
      </c>
      <c r="U214">
        <f t="shared" si="173"/>
        <v>0.87088714524034561</v>
      </c>
      <c r="V214">
        <f t="shared" si="174"/>
        <v>-0.51379184540121237</v>
      </c>
      <c r="X214">
        <f t="shared" si="192"/>
        <v>-8.8042400612107183</v>
      </c>
      <c r="Y214">
        <f t="shared" si="175"/>
        <v>-121.1332942675598</v>
      </c>
      <c r="Z214">
        <f t="shared" si="193"/>
        <v>58.866705732440195</v>
      </c>
      <c r="AC214">
        <v>1</v>
      </c>
      <c r="AD214">
        <f t="shared" si="176"/>
        <v>26.148103944480003</v>
      </c>
      <c r="AE214">
        <f t="shared" si="177"/>
        <v>-2.2179606614121886E-3</v>
      </c>
      <c r="AF214">
        <f t="shared" si="178"/>
        <v>3.9301324051499997E-3</v>
      </c>
      <c r="AG214">
        <f t="shared" si="194"/>
        <v>4937.2019210024682</v>
      </c>
      <c r="AH214">
        <f t="shared" si="195"/>
        <v>-3040.7422463864937</v>
      </c>
      <c r="AJ214">
        <f t="shared" si="179"/>
        <v>18000</v>
      </c>
      <c r="AK214">
        <f t="shared" si="180"/>
        <v>12540.232549151999</v>
      </c>
      <c r="AL214">
        <v>1</v>
      </c>
      <c r="AM214">
        <f t="shared" si="181"/>
        <v>23.089951995264002</v>
      </c>
      <c r="AN214">
        <f t="shared" si="196"/>
        <v>575.78533744251706</v>
      </c>
      <c r="AO214">
        <f t="shared" si="197"/>
        <v>-754.623251972606</v>
      </c>
      <c r="AQ214">
        <f t="shared" si="182"/>
        <v>0.30863244961575259</v>
      </c>
      <c r="AR214">
        <f t="shared" si="183"/>
        <v>-55.55384093083547</v>
      </c>
      <c r="AT214">
        <f t="shared" ref="AT214:AT277" si="209">-AR214*AH214+AG214*AQ214</f>
        <v>-167401.13034429998</v>
      </c>
      <c r="AU214">
        <f t="shared" ref="AU214:AU277" si="210">AQ214*AH214+AG214*AR214</f>
        <v>-275219.00189093879</v>
      </c>
      <c r="AV214">
        <f t="shared" si="198"/>
        <v>-2.117257736036156</v>
      </c>
      <c r="AW214">
        <f t="shared" si="199"/>
        <v>-36067.842028229024</v>
      </c>
      <c r="AX214">
        <f t="shared" si="200"/>
        <v>-37650.710110077518</v>
      </c>
      <c r="AY214">
        <f t="shared" si="208"/>
        <v>-2.3347260151669014</v>
      </c>
      <c r="BA214">
        <f t="shared" si="184"/>
        <v>6.1783309504373802</v>
      </c>
      <c r="BB214">
        <f t="shared" si="201"/>
        <v>15.817423362892731</v>
      </c>
      <c r="BC214">
        <f t="shared" si="202"/>
        <v>0.2174682791307454</v>
      </c>
      <c r="BD214">
        <f t="shared" si="185"/>
        <v>-167.53998541359772</v>
      </c>
      <c r="BF214">
        <f t="shared" si="186"/>
        <v>-8.7058863395478188</v>
      </c>
      <c r="BG214">
        <f t="shared" si="187"/>
        <v>-129.70103508403301</v>
      </c>
      <c r="BH214">
        <f t="shared" si="203"/>
        <v>50.298964915966991</v>
      </c>
      <c r="BI214">
        <f t="shared" si="204"/>
        <v>50.298964915966991</v>
      </c>
      <c r="BJ214">
        <f t="shared" si="188"/>
        <v>0</v>
      </c>
      <c r="BK214">
        <f t="shared" si="205"/>
        <v>0</v>
      </c>
      <c r="BM214">
        <f t="shared" si="206"/>
        <v>-24.523309702440553</v>
      </c>
      <c r="BN214">
        <f t="shared" si="189"/>
        <v>-142.16104967043529</v>
      </c>
      <c r="BQ214" s="56">
        <f t="shared" si="207"/>
        <v>32.719384163177871</v>
      </c>
      <c r="BR214" s="59"/>
      <c r="BS214" s="59"/>
      <c r="BT214" s="59">
        <v>10964.781999999999</v>
      </c>
      <c r="BU214" s="59">
        <v>-2.5043700000000002</v>
      </c>
      <c r="BV214" s="59">
        <v>-209.52500000000001</v>
      </c>
      <c r="BW214" s="61"/>
      <c r="BY214" s="59"/>
      <c r="BZ214" s="59"/>
      <c r="CA214" s="59"/>
      <c r="CC214" s="59"/>
    </row>
    <row r="215" spans="1:81" x14ac:dyDescent="0.25">
      <c r="A215">
        <f t="shared" si="190"/>
        <v>90500</v>
      </c>
      <c r="B215">
        <f t="shared" si="191"/>
        <v>90.5</v>
      </c>
      <c r="C215">
        <f t="shared" si="159"/>
        <v>1.2503536784447331</v>
      </c>
      <c r="D215">
        <f t="shared" si="160"/>
        <v>0.64387816431741229</v>
      </c>
      <c r="F215">
        <f t="shared" si="161"/>
        <v>3.1386857360198275E-3</v>
      </c>
      <c r="G215">
        <f t="shared" si="162"/>
        <v>1.9087215961174717E-2</v>
      </c>
      <c r="H215">
        <f t="shared" si="163"/>
        <v>-3.1225054340388256</v>
      </c>
      <c r="J215">
        <f t="shared" si="164"/>
        <v>15</v>
      </c>
      <c r="M215">
        <f t="shared" si="165"/>
        <v>1.4057699102486531E-2</v>
      </c>
      <c r="N215">
        <f t="shared" si="166"/>
        <v>-1.5707963250000001</v>
      </c>
      <c r="O215">
        <f t="shared" si="167"/>
        <v>26.312380516827851</v>
      </c>
      <c r="P215">
        <f t="shared" si="168"/>
        <v>1.5327822487835174</v>
      </c>
      <c r="Q215">
        <f t="shared" si="169"/>
        <v>23.239754331952096</v>
      </c>
      <c r="R215">
        <f t="shared" si="170"/>
        <v>1.5277533223017992</v>
      </c>
      <c r="S215">
        <f t="shared" si="171"/>
        <v>0.81902022784382689</v>
      </c>
      <c r="T215">
        <f t="shared" si="172"/>
        <v>-0.61109501545758471</v>
      </c>
      <c r="U215">
        <f t="shared" si="173"/>
        <v>0.86971755002413009</v>
      </c>
      <c r="V215">
        <f t="shared" si="174"/>
        <v>-0.51616657778256492</v>
      </c>
      <c r="X215">
        <f t="shared" si="192"/>
        <v>-8.8629850457157495</v>
      </c>
      <c r="Y215">
        <f t="shared" si="175"/>
        <v>-121.24644200377931</v>
      </c>
      <c r="Z215">
        <f t="shared" si="193"/>
        <v>58.753557996220692</v>
      </c>
      <c r="AC215">
        <v>1</v>
      </c>
      <c r="AD215">
        <f t="shared" si="176"/>
        <v>26.293371188616</v>
      </c>
      <c r="AE215">
        <f t="shared" si="177"/>
        <v>-2.2426731243371822E-3</v>
      </c>
      <c r="AF215">
        <f t="shared" si="178"/>
        <v>3.9519664740675E-3</v>
      </c>
      <c r="AG215">
        <f t="shared" si="194"/>
        <v>4923.9495720498608</v>
      </c>
      <c r="AH215">
        <f t="shared" si="195"/>
        <v>-3047.2954287066405</v>
      </c>
      <c r="AJ215">
        <f t="shared" si="179"/>
        <v>18000</v>
      </c>
      <c r="AK215">
        <f t="shared" si="180"/>
        <v>12609.900507758401</v>
      </c>
      <c r="AL215">
        <v>1</v>
      </c>
      <c r="AM215">
        <f t="shared" si="181"/>
        <v>23.218229506348802</v>
      </c>
      <c r="AN215">
        <f t="shared" si="196"/>
        <v>575.42587597835598</v>
      </c>
      <c r="AO215">
        <f t="shared" si="197"/>
        <v>-750.46954459887058</v>
      </c>
      <c r="AQ215">
        <f t="shared" si="182"/>
        <v>0.30523167083816616</v>
      </c>
      <c r="AR215">
        <f t="shared" si="183"/>
        <v>-55.246932421708074</v>
      </c>
      <c r="AT215">
        <f t="shared" si="209"/>
        <v>-166850.77926373604</v>
      </c>
      <c r="AU215">
        <f t="shared" si="210"/>
        <v>-272963.2403301787</v>
      </c>
      <c r="AV215">
        <f t="shared" si="198"/>
        <v>-2.119452176923168</v>
      </c>
      <c r="AW215">
        <f t="shared" si="199"/>
        <v>-35622.945870444688</v>
      </c>
      <c r="AX215">
        <f t="shared" si="200"/>
        <v>-37444.408848798281</v>
      </c>
      <c r="AY215">
        <f t="shared" si="208"/>
        <v>-2.3312711051790238</v>
      </c>
      <c r="BA215">
        <f t="shared" si="184"/>
        <v>6.1900852886635489</v>
      </c>
      <c r="BB215">
        <f t="shared" si="201"/>
        <v>15.833932657755415</v>
      </c>
      <c r="BC215">
        <f t="shared" si="202"/>
        <v>0.2118189282558558</v>
      </c>
      <c r="BD215">
        <f t="shared" si="185"/>
        <v>-167.8636693760873</v>
      </c>
      <c r="BF215">
        <f t="shared" si="186"/>
        <v>-8.7686279646963214</v>
      </c>
      <c r="BG215">
        <f t="shared" si="187"/>
        <v>-129.87855107943429</v>
      </c>
      <c r="BH215">
        <f t="shared" si="203"/>
        <v>50.121448920565712</v>
      </c>
      <c r="BI215">
        <f t="shared" si="204"/>
        <v>50.121448920565712</v>
      </c>
      <c r="BJ215">
        <f t="shared" si="188"/>
        <v>0</v>
      </c>
      <c r="BK215">
        <f t="shared" si="205"/>
        <v>0</v>
      </c>
      <c r="BM215">
        <f t="shared" si="206"/>
        <v>-24.602560622451737</v>
      </c>
      <c r="BN215">
        <f t="shared" si="189"/>
        <v>-142.01488170334699</v>
      </c>
      <c r="BQ215" s="56">
        <f t="shared" si="207"/>
        <v>32.73589345804055</v>
      </c>
      <c r="BR215" s="59"/>
      <c r="BS215" s="59"/>
      <c r="BT215" s="59">
        <v>11220.184999999999</v>
      </c>
      <c r="BU215" s="59">
        <v>-2.7486899999999999</v>
      </c>
      <c r="BV215" s="59">
        <v>-207.815</v>
      </c>
      <c r="BW215" s="61"/>
      <c r="BY215" s="59"/>
      <c r="BZ215" s="59"/>
      <c r="CA215" s="59"/>
      <c r="CC215" s="59"/>
    </row>
    <row r="216" spans="1:81" x14ac:dyDescent="0.25">
      <c r="A216">
        <f t="shared" si="190"/>
        <v>91000</v>
      </c>
      <c r="B216">
        <f t="shared" si="191"/>
        <v>91</v>
      </c>
      <c r="C216">
        <f t="shared" si="159"/>
        <v>1.2528474604345012</v>
      </c>
      <c r="D216">
        <f t="shared" si="160"/>
        <v>0.64652540383665713</v>
      </c>
      <c r="F216">
        <f t="shared" si="161"/>
        <v>3.1041882543314087E-3</v>
      </c>
      <c r="G216">
        <f t="shared" si="162"/>
        <v>1.8981709705860696E-2</v>
      </c>
      <c r="H216">
        <f t="shared" si="163"/>
        <v>-3.1226109402941393</v>
      </c>
      <c r="J216">
        <f t="shared" si="164"/>
        <v>15</v>
      </c>
      <c r="M216">
        <f t="shared" si="165"/>
        <v>1.3980458997527813E-2</v>
      </c>
      <c r="N216">
        <f t="shared" si="166"/>
        <v>-1.5707963250000001</v>
      </c>
      <c r="O216">
        <f t="shared" si="167"/>
        <v>26.457543388942803</v>
      </c>
      <c r="P216">
        <f t="shared" si="168"/>
        <v>1.5329909178353496</v>
      </c>
      <c r="Q216">
        <f t="shared" si="169"/>
        <v>23.367913683405209</v>
      </c>
      <c r="R216">
        <f t="shared" si="170"/>
        <v>1.5279895327242714</v>
      </c>
      <c r="S216">
        <f t="shared" si="171"/>
        <v>0.81753053912590767</v>
      </c>
      <c r="T216">
        <f t="shared" si="172"/>
        <v>-0.61368656597453586</v>
      </c>
      <c r="U216">
        <f t="shared" si="173"/>
        <v>0.86854621377712071</v>
      </c>
      <c r="V216">
        <f t="shared" si="174"/>
        <v>-0.51853492690727343</v>
      </c>
      <c r="X216">
        <f t="shared" si="192"/>
        <v>-8.9214937895413815</v>
      </c>
      <c r="Y216">
        <f t="shared" si="175"/>
        <v>-121.35950301524311</v>
      </c>
      <c r="Z216">
        <f t="shared" si="193"/>
        <v>58.640496984756894</v>
      </c>
      <c r="AC216">
        <v>1</v>
      </c>
      <c r="AD216">
        <f t="shared" si="176"/>
        <v>26.438638432752001</v>
      </c>
      <c r="AE216">
        <f t="shared" si="177"/>
        <v>-2.2675224984141148E-3</v>
      </c>
      <c r="AF216">
        <f t="shared" si="178"/>
        <v>3.9738005429849994E-3</v>
      </c>
      <c r="AG216">
        <f t="shared" si="194"/>
        <v>4910.6953455308767</v>
      </c>
      <c r="AH216">
        <f t="shared" si="195"/>
        <v>-3053.7798884423141</v>
      </c>
      <c r="AJ216">
        <f t="shared" si="179"/>
        <v>18000</v>
      </c>
      <c r="AK216">
        <f t="shared" si="180"/>
        <v>12679.568466364801</v>
      </c>
      <c r="AL216">
        <v>1</v>
      </c>
      <c r="AM216">
        <f t="shared" si="181"/>
        <v>23.346507017433602</v>
      </c>
      <c r="AN216">
        <f t="shared" si="196"/>
        <v>575.07230894216991</v>
      </c>
      <c r="AO216">
        <f t="shared" si="197"/>
        <v>-746.36122988531281</v>
      </c>
      <c r="AQ216">
        <f t="shared" si="182"/>
        <v>0.30188679245283018</v>
      </c>
      <c r="AR216">
        <f t="shared" si="183"/>
        <v>-54.943396226415096</v>
      </c>
      <c r="AT216">
        <f t="shared" si="209"/>
        <v>-166302.56433236841</v>
      </c>
      <c r="AU216">
        <f t="shared" si="210"/>
        <v>-270732.17593209416</v>
      </c>
      <c r="AV216">
        <f t="shared" si="198"/>
        <v>-2.1216422124585002</v>
      </c>
      <c r="AW216">
        <f t="shared" si="199"/>
        <v>-35185.56843477967</v>
      </c>
      <c r="AX216">
        <f t="shared" si="200"/>
        <v>-37240.742926832041</v>
      </c>
      <c r="AY216">
        <f t="shared" si="208"/>
        <v>-2.3278260269945301</v>
      </c>
      <c r="BA216">
        <f t="shared" si="184"/>
        <v>6.2015791899436676</v>
      </c>
      <c r="BB216">
        <f t="shared" si="201"/>
        <v>15.850045874318576</v>
      </c>
      <c r="BC216">
        <f t="shared" si="202"/>
        <v>0.20618381453602996</v>
      </c>
      <c r="BD216">
        <f t="shared" si="185"/>
        <v>-168.18653760967851</v>
      </c>
      <c r="BF216">
        <f t="shared" si="186"/>
        <v>-8.8312039789130079</v>
      </c>
      <c r="BG216">
        <f t="shared" si="187"/>
        <v>-130.05578872418783</v>
      </c>
      <c r="BH216">
        <f t="shared" si="203"/>
        <v>49.944211275812165</v>
      </c>
      <c r="BI216">
        <f t="shared" si="204"/>
        <v>49.944211275812165</v>
      </c>
      <c r="BJ216">
        <f t="shared" si="188"/>
        <v>0</v>
      </c>
      <c r="BK216">
        <f t="shared" si="205"/>
        <v>0</v>
      </c>
      <c r="BM216">
        <f t="shared" si="206"/>
        <v>-24.681249853231584</v>
      </c>
      <c r="BN216">
        <f t="shared" si="189"/>
        <v>-141.8692511145093</v>
      </c>
      <c r="BQ216" s="56">
        <f t="shared" si="207"/>
        <v>32.752006674603713</v>
      </c>
      <c r="BR216" s="59"/>
      <c r="BS216" s="59"/>
      <c r="BT216" s="59">
        <v>11481.536</v>
      </c>
      <c r="BU216" s="59">
        <v>-2.86917</v>
      </c>
      <c r="BV216" s="59">
        <v>-207.916</v>
      </c>
      <c r="BW216" s="61"/>
      <c r="BY216" s="59"/>
      <c r="BZ216" s="59"/>
      <c r="CA216" s="59"/>
      <c r="CC216" s="59"/>
    </row>
    <row r="217" spans="1:81" x14ac:dyDescent="0.25">
      <c r="A217">
        <f t="shared" si="190"/>
        <v>91500</v>
      </c>
      <c r="B217">
        <f t="shared" si="191"/>
        <v>91.5</v>
      </c>
      <c r="C217">
        <f t="shared" si="159"/>
        <v>1.2553499873068952</v>
      </c>
      <c r="D217">
        <f t="shared" si="160"/>
        <v>0.64916210728459411</v>
      </c>
      <c r="F217">
        <f t="shared" si="161"/>
        <v>3.0702569521297569E-3</v>
      </c>
      <c r="G217">
        <f t="shared" si="162"/>
        <v>1.8877366830280448E-2</v>
      </c>
      <c r="H217">
        <f t="shared" si="163"/>
        <v>-3.1227152831697196</v>
      </c>
      <c r="J217">
        <f t="shared" si="164"/>
        <v>15</v>
      </c>
      <c r="M217">
        <f t="shared" si="165"/>
        <v>1.3904063046721649E-2</v>
      </c>
      <c r="N217">
        <f t="shared" si="166"/>
        <v>-1.5707963250000001</v>
      </c>
      <c r="O217">
        <f t="shared" si="167"/>
        <v>26.602707400519932</v>
      </c>
      <c r="P217">
        <f t="shared" si="168"/>
        <v>1.5331973095912852</v>
      </c>
      <c r="Q217">
        <f t="shared" si="169"/>
        <v>23.496074324456139</v>
      </c>
      <c r="R217">
        <f t="shared" si="170"/>
        <v>1.5282231663139507</v>
      </c>
      <c r="S217">
        <f t="shared" si="171"/>
        <v>0.81604080885704333</v>
      </c>
      <c r="T217">
        <f t="shared" si="172"/>
        <v>-0.61626868896852172</v>
      </c>
      <c r="U217">
        <f t="shared" si="173"/>
        <v>0.86737318286509124</v>
      </c>
      <c r="V217">
        <f t="shared" si="174"/>
        <v>-0.52089689201656442</v>
      </c>
      <c r="X217">
        <f t="shared" si="192"/>
        <v>-8.9797690652786013</v>
      </c>
      <c r="Y217">
        <f t="shared" si="175"/>
        <v>-121.47247322904694</v>
      </c>
      <c r="Z217">
        <f t="shared" si="193"/>
        <v>58.52752677095306</v>
      </c>
      <c r="AC217">
        <v>1</v>
      </c>
      <c r="AD217">
        <f t="shared" si="176"/>
        <v>26.583905676887998</v>
      </c>
      <c r="AE217">
        <f t="shared" si="177"/>
        <v>-2.2925087836429873E-3</v>
      </c>
      <c r="AF217">
        <f t="shared" si="178"/>
        <v>3.9956346119024997E-3</v>
      </c>
      <c r="AG217">
        <f t="shared" si="194"/>
        <v>4897.4398446865825</v>
      </c>
      <c r="AH217">
        <f t="shared" si="195"/>
        <v>-3060.1957007988563</v>
      </c>
      <c r="AJ217">
        <f t="shared" si="179"/>
        <v>18000</v>
      </c>
      <c r="AK217">
        <f t="shared" si="180"/>
        <v>12749.236424971199</v>
      </c>
      <c r="AL217">
        <v>1</v>
      </c>
      <c r="AM217">
        <f t="shared" si="181"/>
        <v>23.474784528518402</v>
      </c>
      <c r="AN217">
        <f t="shared" si="196"/>
        <v>574.72450823681629</v>
      </c>
      <c r="AO217">
        <f t="shared" si="197"/>
        <v>-742.29756914676022</v>
      </c>
      <c r="AQ217">
        <f t="shared" si="182"/>
        <v>0.29859659599880561</v>
      </c>
      <c r="AR217">
        <f t="shared" si="183"/>
        <v>-54.64317706778143</v>
      </c>
      <c r="AT217">
        <f t="shared" si="209"/>
        <v>-165756.45667408305</v>
      </c>
      <c r="AU217">
        <f t="shared" si="210"/>
        <v>-268525.43663136562</v>
      </c>
      <c r="AV217">
        <f t="shared" si="198"/>
        <v>-2.1238278095305847</v>
      </c>
      <c r="AW217">
        <f t="shared" si="199"/>
        <v>-34755.545819738734</v>
      </c>
      <c r="AX217">
        <f t="shared" si="200"/>
        <v>-37039.660171110831</v>
      </c>
      <c r="AY217">
        <f t="shared" si="208"/>
        <v>-2.3243909154891078</v>
      </c>
      <c r="BA217">
        <f t="shared" si="184"/>
        <v>6.212814197533894</v>
      </c>
      <c r="BB217">
        <f t="shared" si="201"/>
        <v>15.865767313072352</v>
      </c>
      <c r="BC217">
        <f t="shared" si="202"/>
        <v>0.20056310595852311</v>
      </c>
      <c r="BD217">
        <f t="shared" si="185"/>
        <v>-168.50858048941063</v>
      </c>
      <c r="BF217">
        <f t="shared" si="186"/>
        <v>-8.8936165867075552</v>
      </c>
      <c r="BG217">
        <f t="shared" si="187"/>
        <v>-130.23273803075276</v>
      </c>
      <c r="BH217">
        <f t="shared" si="203"/>
        <v>49.767261969247244</v>
      </c>
      <c r="BI217">
        <f t="shared" si="204"/>
        <v>49.767261969247244</v>
      </c>
      <c r="BJ217">
        <f t="shared" si="188"/>
        <v>0</v>
      </c>
      <c r="BK217">
        <f t="shared" si="205"/>
        <v>0</v>
      </c>
      <c r="BM217">
        <f t="shared" si="206"/>
        <v>-24.759383899779909</v>
      </c>
      <c r="BN217">
        <f t="shared" si="189"/>
        <v>-141.72415754134215</v>
      </c>
      <c r="BQ217" s="56">
        <f t="shared" si="207"/>
        <v>32.767728113357492</v>
      </c>
      <c r="BR217" s="59"/>
      <c r="BS217" s="59"/>
      <c r="BT217" s="59">
        <v>11748.976000000001</v>
      </c>
      <c r="BU217" s="59">
        <v>-3.0396299999999998</v>
      </c>
      <c r="BV217" s="59">
        <v>-206.25700000000001</v>
      </c>
      <c r="BW217" s="61"/>
      <c r="BY217" s="59"/>
      <c r="BZ217" s="59"/>
      <c r="CA217" s="59"/>
      <c r="CC217" s="59"/>
    </row>
    <row r="218" spans="1:81" x14ac:dyDescent="0.25">
      <c r="A218">
        <f t="shared" si="190"/>
        <v>92000</v>
      </c>
      <c r="B218">
        <f t="shared" si="191"/>
        <v>92</v>
      </c>
      <c r="C218">
        <f t="shared" si="159"/>
        <v>1.2578612068678334</v>
      </c>
      <c r="D218">
        <f t="shared" si="160"/>
        <v>0.65178830099354856</v>
      </c>
      <c r="F218">
        <f t="shared" si="161"/>
        <v>3.03687949551868E-3</v>
      </c>
      <c r="G218">
        <f t="shared" si="162"/>
        <v>1.8774168143019965E-2</v>
      </c>
      <c r="H218">
        <f t="shared" si="163"/>
        <v>-3.1228184818569802</v>
      </c>
      <c r="J218">
        <f t="shared" si="164"/>
        <v>15</v>
      </c>
      <c r="M218">
        <f t="shared" si="165"/>
        <v>1.3828497486685121E-2</v>
      </c>
      <c r="N218">
        <f t="shared" si="166"/>
        <v>-1.5707963250000001</v>
      </c>
      <c r="O218">
        <f t="shared" si="167"/>
        <v>26.747872533007229</v>
      </c>
      <c r="P218">
        <f t="shared" si="168"/>
        <v>1.5334014611113811</v>
      </c>
      <c r="Q218">
        <f t="shared" si="169"/>
        <v>23.624236234116811</v>
      </c>
      <c r="R218">
        <f t="shared" si="170"/>
        <v>1.5284542649832153</v>
      </c>
      <c r="S218">
        <f t="shared" si="171"/>
        <v>0.81455109669633796</v>
      </c>
      <c r="T218">
        <f t="shared" si="172"/>
        <v>-0.61884140154486178</v>
      </c>
      <c r="U218">
        <f t="shared" si="173"/>
        <v>0.86619850333042314</v>
      </c>
      <c r="V218">
        <f t="shared" si="174"/>
        <v>-0.52325247264067298</v>
      </c>
      <c r="X218">
        <f t="shared" si="192"/>
        <v>-9.0378135937665256</v>
      </c>
      <c r="Y218">
        <f t="shared" si="175"/>
        <v>-121.58534866440641</v>
      </c>
      <c r="Z218">
        <f t="shared" si="193"/>
        <v>58.414651335593589</v>
      </c>
      <c r="AC218">
        <v>1</v>
      </c>
      <c r="AD218">
        <f t="shared" si="176"/>
        <v>26.729172921024002</v>
      </c>
      <c r="AE218">
        <f t="shared" si="177"/>
        <v>-2.3176319800237983E-3</v>
      </c>
      <c r="AF218">
        <f t="shared" si="178"/>
        <v>4.0174686808199999E-3</v>
      </c>
      <c r="AG218">
        <f t="shared" si="194"/>
        <v>4884.1836663929171</v>
      </c>
      <c r="AH218">
        <f t="shared" si="195"/>
        <v>-3066.5429503802748</v>
      </c>
      <c r="AJ218">
        <f t="shared" si="179"/>
        <v>18000</v>
      </c>
      <c r="AK218">
        <f t="shared" si="180"/>
        <v>12818.904383577599</v>
      </c>
      <c r="AL218">
        <v>1</v>
      </c>
      <c r="AM218">
        <f t="shared" si="181"/>
        <v>23.603062039603202</v>
      </c>
      <c r="AN218">
        <f t="shared" si="196"/>
        <v>574.38234922401534</v>
      </c>
      <c r="AO218">
        <f t="shared" si="197"/>
        <v>-738.27783960986994</v>
      </c>
      <c r="AQ218">
        <f t="shared" si="182"/>
        <v>0.29535989603331658</v>
      </c>
      <c r="AR218">
        <f t="shared" si="183"/>
        <v>-54.346220870130253</v>
      </c>
      <c r="AT218">
        <f t="shared" si="209"/>
        <v>-165212.42850919385</v>
      </c>
      <c r="AU218">
        <f t="shared" si="210"/>
        <v>-266342.65811107808</v>
      </c>
      <c r="AV218">
        <f t="shared" si="198"/>
        <v>-2.1260089360182493</v>
      </c>
      <c r="AW218">
        <f t="shared" si="199"/>
        <v>-34332.718536822169</v>
      </c>
      <c r="AX218">
        <f t="shared" si="200"/>
        <v>-36841.109765917259</v>
      </c>
      <c r="AY218">
        <f t="shared" si="208"/>
        <v>-2.3209659023738327</v>
      </c>
      <c r="BA218">
        <f t="shared" si="184"/>
        <v>6.2237918814541713</v>
      </c>
      <c r="BB218">
        <f t="shared" si="201"/>
        <v>15.88110123539353</v>
      </c>
      <c r="BC218">
        <f t="shared" si="202"/>
        <v>0.19495696635558346</v>
      </c>
      <c r="BD218">
        <f t="shared" si="185"/>
        <v>-168.82978862838726</v>
      </c>
      <c r="BF218">
        <f t="shared" si="186"/>
        <v>-8.9558679285684075</v>
      </c>
      <c r="BG218">
        <f t="shared" si="187"/>
        <v>-130.40938920308864</v>
      </c>
      <c r="BH218">
        <f t="shared" si="203"/>
        <v>49.590610796911363</v>
      </c>
      <c r="BI218">
        <f t="shared" si="204"/>
        <v>49.590610796911363</v>
      </c>
      <c r="BJ218">
        <f t="shared" si="188"/>
        <v>0</v>
      </c>
      <c r="BK218">
        <f t="shared" si="205"/>
        <v>0</v>
      </c>
      <c r="BM218">
        <f t="shared" si="206"/>
        <v>-24.836969163961939</v>
      </c>
      <c r="BN218">
        <f t="shared" si="189"/>
        <v>-141.57960057470137</v>
      </c>
      <c r="BQ218" s="56">
        <f t="shared" si="207"/>
        <v>32.783062035678668</v>
      </c>
      <c r="BR218" s="59"/>
      <c r="BS218" s="59"/>
      <c r="BT218" s="59">
        <v>12022.644</v>
      </c>
      <c r="BU218" s="59">
        <v>-3.2097500000000001</v>
      </c>
      <c r="BV218" s="59">
        <v>-205.79599999999999</v>
      </c>
      <c r="BW218" s="61"/>
      <c r="BY218" s="59"/>
      <c r="BZ218" s="59"/>
      <c r="CA218" s="59"/>
      <c r="CC218" s="59"/>
    </row>
    <row r="219" spans="1:81" x14ac:dyDescent="0.25">
      <c r="A219">
        <f t="shared" si="190"/>
        <v>92500</v>
      </c>
      <c r="B219">
        <f t="shared" si="191"/>
        <v>92.5</v>
      </c>
      <c r="C219">
        <f t="shared" si="159"/>
        <v>1.260381067158628</v>
      </c>
      <c r="D219">
        <f t="shared" si="160"/>
        <v>0.65440401166622619</v>
      </c>
      <c r="F219">
        <f t="shared" si="161"/>
        <v>3.0040438849520765E-3</v>
      </c>
      <c r="G219">
        <f t="shared" si="162"/>
        <v>1.8672094873633686E-2</v>
      </c>
      <c r="H219">
        <f t="shared" si="163"/>
        <v>-3.1229205551263663</v>
      </c>
      <c r="J219">
        <f t="shared" si="164"/>
        <v>15</v>
      </c>
      <c r="M219">
        <f t="shared" si="165"/>
        <v>1.3753748851621957E-2</v>
      </c>
      <c r="N219">
        <f t="shared" si="166"/>
        <v>-1.5707963250000001</v>
      </c>
      <c r="O219">
        <f t="shared" si="167"/>
        <v>26.893038768253117</v>
      </c>
      <c r="P219">
        <f t="shared" si="168"/>
        <v>1.5336034086562635</v>
      </c>
      <c r="Q219">
        <f t="shared" si="169"/>
        <v>23.752399391851945</v>
      </c>
      <c r="R219">
        <f t="shared" si="170"/>
        <v>1.5286828697409371</v>
      </c>
      <c r="S219">
        <f t="shared" si="171"/>
        <v>0.81306146154376691</v>
      </c>
      <c r="T219">
        <f t="shared" si="172"/>
        <v>-0.6214047211827145</v>
      </c>
      <c r="U219">
        <f t="shared" si="173"/>
        <v>0.865022220890594</v>
      </c>
      <c r="V219">
        <f t="shared" si="174"/>
        <v>-0.52560166859577662</v>
      </c>
      <c r="X219">
        <f t="shared" si="192"/>
        <v>-9.0956300452918146</v>
      </c>
      <c r="Y219">
        <f t="shared" si="175"/>
        <v>-121.6981254305702</v>
      </c>
      <c r="Z219">
        <f t="shared" si="193"/>
        <v>58.301874569429799</v>
      </c>
      <c r="AC219">
        <v>1</v>
      </c>
      <c r="AD219">
        <f t="shared" si="176"/>
        <v>26.874440165159999</v>
      </c>
      <c r="AE219">
        <f t="shared" si="177"/>
        <v>-2.3428920875565476E-3</v>
      </c>
      <c r="AF219">
        <f t="shared" si="178"/>
        <v>4.0393027497374993E-3</v>
      </c>
      <c r="AG219">
        <f t="shared" si="194"/>
        <v>4870.9274011583193</v>
      </c>
      <c r="AH219">
        <f t="shared" si="195"/>
        <v>-3072.8217309392862</v>
      </c>
      <c r="AJ219">
        <f t="shared" si="179"/>
        <v>18000</v>
      </c>
      <c r="AK219">
        <f t="shared" si="180"/>
        <v>12888.572342183999</v>
      </c>
      <c r="AL219">
        <v>1</v>
      </c>
      <c r="AM219">
        <f t="shared" si="181"/>
        <v>23.731339550688002</v>
      </c>
      <c r="AN219">
        <f t="shared" si="196"/>
        <v>574.04571061294473</v>
      </c>
      <c r="AO219">
        <f t="shared" si="197"/>
        <v>-734.30133398777537</v>
      </c>
      <c r="AQ219">
        <f t="shared" si="182"/>
        <v>0.29217553906386956</v>
      </c>
      <c r="AR219">
        <f t="shared" si="183"/>
        <v>-54.052474726815873</v>
      </c>
      <c r="AT219">
        <f t="shared" si="209"/>
        <v>-164670.45311243195</v>
      </c>
      <c r="AU219">
        <f t="shared" si="210"/>
        <v>-264183.48359294934</v>
      </c>
      <c r="AV219">
        <f t="shared" si="198"/>
        <v>-2.128185560768757</v>
      </c>
      <c r="AW219">
        <f t="shared" si="199"/>
        <v>-33916.93136869197</v>
      </c>
      <c r="AX219">
        <f t="shared" si="200"/>
        <v>-36645.04220942004</v>
      </c>
      <c r="AY219">
        <f t="shared" si="208"/>
        <v>-2.3175511162163431</v>
      </c>
      <c r="BA219">
        <f t="shared" si="184"/>
        <v>6.2345138376904439</v>
      </c>
      <c r="BB219">
        <f t="shared" si="201"/>
        <v>15.896051864100995</v>
      </c>
      <c r="BC219">
        <f t="shared" si="202"/>
        <v>0.18936555544758615</v>
      </c>
      <c r="BD219">
        <f t="shared" si="185"/>
        <v>-169.15015287530497</v>
      </c>
      <c r="BF219">
        <f t="shared" si="186"/>
        <v>-9.0179600825663861</v>
      </c>
      <c r="BG219">
        <f t="shared" si="187"/>
        <v>-130.58573263540697</v>
      </c>
      <c r="BH219">
        <f t="shared" si="203"/>
        <v>49.41426736459303</v>
      </c>
      <c r="BI219">
        <f t="shared" si="204"/>
        <v>49.41426736459303</v>
      </c>
      <c r="BJ219">
        <f t="shared" si="188"/>
        <v>0</v>
      </c>
      <c r="BK219">
        <f t="shared" si="205"/>
        <v>0</v>
      </c>
      <c r="BM219">
        <f t="shared" si="206"/>
        <v>-24.91401194666738</v>
      </c>
      <c r="BN219">
        <f t="shared" si="189"/>
        <v>-141.435579760102</v>
      </c>
      <c r="BQ219" s="56">
        <f t="shared" si="207"/>
        <v>32.798012664386135</v>
      </c>
      <c r="BR219" s="59"/>
      <c r="BS219" s="59"/>
      <c r="BT219" s="59">
        <v>12302.688</v>
      </c>
      <c r="BU219" s="59">
        <v>-3.2360000000000002</v>
      </c>
      <c r="BV219" s="59">
        <v>-205.58</v>
      </c>
      <c r="BW219" s="61"/>
      <c r="BY219" s="59"/>
      <c r="BZ219" s="59"/>
      <c r="CA219" s="59"/>
      <c r="CC219" s="59"/>
    </row>
    <row r="220" spans="1:81" x14ac:dyDescent="0.25">
      <c r="A220">
        <f t="shared" si="190"/>
        <v>93000</v>
      </c>
      <c r="B220">
        <f t="shared" si="191"/>
        <v>93</v>
      </c>
      <c r="C220">
        <f t="shared" si="159"/>
        <v>1.2629095164572082</v>
      </c>
      <c r="D220">
        <f t="shared" si="160"/>
        <v>0.65700926636637735</v>
      </c>
      <c r="F220">
        <f t="shared" si="161"/>
        <v>2.9717384444063197E-3</v>
      </c>
      <c r="G220">
        <f t="shared" si="162"/>
        <v>1.8571128661134275E-2</v>
      </c>
      <c r="H220">
        <f t="shared" si="163"/>
        <v>-3.1230215213388659</v>
      </c>
      <c r="J220">
        <f t="shared" si="164"/>
        <v>15</v>
      </c>
      <c r="M220">
        <f t="shared" si="165"/>
        <v>1.3679803965322914E-2</v>
      </c>
      <c r="N220">
        <f t="shared" si="166"/>
        <v>-1.5707963250000001</v>
      </c>
      <c r="O220">
        <f t="shared" si="167"/>
        <v>27.038206088495681</v>
      </c>
      <c r="P220">
        <f t="shared" si="168"/>
        <v>1.5338031877085572</v>
      </c>
      <c r="Q220">
        <f t="shared" si="169"/>
        <v>23.880563777566888</v>
      </c>
      <c r="R220">
        <f t="shared" si="170"/>
        <v>1.5289090207166829</v>
      </c>
      <c r="S220">
        <f t="shared" si="171"/>
        <v>0.81157196154325129</v>
      </c>
      <c r="T220">
        <f t="shared" si="172"/>
        <v>-0.62395866572757841</v>
      </c>
      <c r="U220">
        <f t="shared" si="173"/>
        <v>0.86384438093674554</v>
      </c>
      <c r="V220">
        <f t="shared" si="174"/>
        <v>-0.52794447998092808</v>
      </c>
      <c r="X220">
        <f t="shared" si="192"/>
        <v>-9.1532210407547545</v>
      </c>
      <c r="Y220">
        <f t="shared" si="175"/>
        <v>-121.81079972479431</v>
      </c>
      <c r="Z220">
        <f t="shared" si="193"/>
        <v>58.189200275205692</v>
      </c>
      <c r="AC220">
        <v>1</v>
      </c>
      <c r="AD220">
        <f t="shared" si="176"/>
        <v>27.019707409296004</v>
      </c>
      <c r="AE220">
        <f t="shared" si="177"/>
        <v>-2.3682891062412371E-3</v>
      </c>
      <c r="AF220">
        <f t="shared" si="178"/>
        <v>4.0611368186549996E-3</v>
      </c>
      <c r="AG220">
        <f t="shared" si="194"/>
        <v>4857.6716331228045</v>
      </c>
      <c r="AH220">
        <f t="shared" si="195"/>
        <v>-3079.0321451329773</v>
      </c>
      <c r="AJ220">
        <f t="shared" si="179"/>
        <v>18000</v>
      </c>
      <c r="AK220">
        <f t="shared" si="180"/>
        <v>12958.240300790401</v>
      </c>
      <c r="AL220">
        <v>1</v>
      </c>
      <c r="AM220">
        <f t="shared" si="181"/>
        <v>23.859617061772802</v>
      </c>
      <c r="AN220">
        <f t="shared" si="196"/>
        <v>573.71447435299262</v>
      </c>
      <c r="AO220">
        <f t="shared" si="197"/>
        <v>-730.36736006827641</v>
      </c>
      <c r="AQ220">
        <f t="shared" si="182"/>
        <v>0.28904240252044977</v>
      </c>
      <c r="AR220">
        <f t="shared" si="183"/>
        <v>-53.76188686880365</v>
      </c>
      <c r="AT220">
        <f t="shared" si="209"/>
        <v>-164130.50477255569</v>
      </c>
      <c r="AU220">
        <f t="shared" si="210"/>
        <v>-262047.56363441181</v>
      </c>
      <c r="AV220">
        <f t="shared" si="198"/>
        <v>-2.1303576535764552</v>
      </c>
      <c r="AW220">
        <f t="shared" si="199"/>
        <v>-33508.03323263082</v>
      </c>
      <c r="AX220">
        <f t="shared" si="200"/>
        <v>-36451.40927186091</v>
      </c>
      <c r="AY220">
        <f t="shared" si="208"/>
        <v>-2.3141466824622801</v>
      </c>
      <c r="BA220">
        <f t="shared" si="184"/>
        <v>6.2449816873954056</v>
      </c>
      <c r="BB220">
        <f t="shared" si="201"/>
        <v>15.910623383987602</v>
      </c>
      <c r="BC220">
        <f t="shared" si="202"/>
        <v>0.18378902888582482</v>
      </c>
      <c r="BD220">
        <f t="shared" si="185"/>
        <v>-169.46966431200161</v>
      </c>
      <c r="BF220">
        <f t="shared" si="186"/>
        <v>-9.0798950659239512</v>
      </c>
      <c r="BG220">
        <f t="shared" si="187"/>
        <v>-130.76175891091401</v>
      </c>
      <c r="BH220">
        <f t="shared" si="203"/>
        <v>49.238241089085989</v>
      </c>
      <c r="BI220">
        <f t="shared" si="204"/>
        <v>49.238241089085989</v>
      </c>
      <c r="BJ220">
        <f t="shared" si="188"/>
        <v>0</v>
      </c>
      <c r="BK220">
        <f t="shared" si="205"/>
        <v>0</v>
      </c>
      <c r="BM220">
        <f t="shared" si="206"/>
        <v>-24.990518449911555</v>
      </c>
      <c r="BN220">
        <f t="shared" si="189"/>
        <v>-141.2920945989124</v>
      </c>
      <c r="BQ220" s="56">
        <f t="shared" si="207"/>
        <v>32.812584184272737</v>
      </c>
      <c r="BR220" s="59"/>
      <c r="BS220" s="59"/>
      <c r="BT220" s="59">
        <v>12589.254000000001</v>
      </c>
      <c r="BU220" s="59">
        <v>-3.6465100000000001</v>
      </c>
      <c r="BV220" s="59">
        <v>-203.78</v>
      </c>
      <c r="BW220" s="61"/>
      <c r="BY220" s="59"/>
      <c r="BZ220" s="59"/>
      <c r="CA220" s="59"/>
      <c r="CC220" s="59"/>
    </row>
    <row r="221" spans="1:81" x14ac:dyDescent="0.25">
      <c r="A221">
        <f t="shared" si="190"/>
        <v>93500</v>
      </c>
      <c r="B221">
        <f t="shared" si="191"/>
        <v>93.5</v>
      </c>
      <c r="C221">
        <f t="shared" si="159"/>
        <v>1.2654465032792872</v>
      </c>
      <c r="D221">
        <f t="shared" si="160"/>
        <v>0.65960409250956831</v>
      </c>
      <c r="F221">
        <f t="shared" si="161"/>
        <v>2.9399518109599039E-3</v>
      </c>
      <c r="G221">
        <f t="shared" si="162"/>
        <v>1.8471251542858988E-2</v>
      </c>
      <c r="H221">
        <f t="shared" si="163"/>
        <v>-3.1231213984571413</v>
      </c>
      <c r="J221">
        <f t="shared" si="164"/>
        <v>15</v>
      </c>
      <c r="M221">
        <f t="shared" si="165"/>
        <v>1.3606649933422791E-2</v>
      </c>
      <c r="N221">
        <f t="shared" si="166"/>
        <v>-1.5707963250000001</v>
      </c>
      <c r="O221">
        <f t="shared" si="167"/>
        <v>27.183374476352324</v>
      </c>
      <c r="P221">
        <f t="shared" si="168"/>
        <v>1.5340008329936317</v>
      </c>
      <c r="Q221">
        <f t="shared" si="169"/>
        <v>24.008729371595891</v>
      </c>
      <c r="R221">
        <f t="shared" si="170"/>
        <v>1.5291327571841429</v>
      </c>
      <c r="S221">
        <f t="shared" si="171"/>
        <v>0.81008265408585678</v>
      </c>
      <c r="T221">
        <f t="shared" si="172"/>
        <v>-0.6265032533838587</v>
      </c>
      <c r="U221">
        <f t="shared" si="173"/>
        <v>0.86266502853233573</v>
      </c>
      <c r="V221">
        <f t="shared" si="174"/>
        <v>-0.5302809071749881</v>
      </c>
      <c r="X221">
        <f t="shared" si="192"/>
        <v>-9.2105891528030259</v>
      </c>
      <c r="Y221">
        <f t="shared" si="175"/>
        <v>-121.92336783037615</v>
      </c>
      <c r="Z221">
        <f t="shared" si="193"/>
        <v>58.076632169623849</v>
      </c>
      <c r="AC221">
        <v>1</v>
      </c>
      <c r="AD221">
        <f t="shared" si="176"/>
        <v>27.164974653432001</v>
      </c>
      <c r="AE221">
        <f t="shared" si="177"/>
        <v>-2.3938230360778649E-3</v>
      </c>
      <c r="AF221">
        <f t="shared" si="178"/>
        <v>4.0829708875724999E-3</v>
      </c>
      <c r="AG221">
        <f t="shared" si="194"/>
        <v>4844.4169400584651</v>
      </c>
      <c r="AH221">
        <f t="shared" si="195"/>
        <v>-3085.1743042838734</v>
      </c>
      <c r="AJ221">
        <f t="shared" si="179"/>
        <v>18000</v>
      </c>
      <c r="AK221">
        <f t="shared" si="180"/>
        <v>13027.9082593968</v>
      </c>
      <c r="AL221">
        <v>1</v>
      </c>
      <c r="AM221">
        <f t="shared" si="181"/>
        <v>23.987894572857602</v>
      </c>
      <c r="AN221">
        <f t="shared" si="196"/>
        <v>573.3885255304989</v>
      </c>
      <c r="AO221">
        <f t="shared" si="197"/>
        <v>-726.47524031507885</v>
      </c>
      <c r="AQ221">
        <f t="shared" si="182"/>
        <v>0.2859593937660852</v>
      </c>
      <c r="AR221">
        <f t="shared" si="183"/>
        <v>-53.474406634257939</v>
      </c>
      <c r="AT221">
        <f t="shared" si="209"/>
        <v>-163592.55875351041</v>
      </c>
      <c r="AU221">
        <f t="shared" si="210"/>
        <v>-259934.55593228966</v>
      </c>
      <c r="AV221">
        <f t="shared" si="198"/>
        <v>-2.1325251851619988</v>
      </c>
      <c r="AW221">
        <f t="shared" si="199"/>
        <v>-33105.877049069655</v>
      </c>
      <c r="AX221">
        <f t="shared" si="200"/>
        <v>-36260.163955320822</v>
      </c>
      <c r="AY221">
        <f t="shared" si="208"/>
        <v>-2.3107527234569916</v>
      </c>
      <c r="BA221">
        <f t="shared" si="184"/>
        <v>6.2551970760882956</v>
      </c>
      <c r="BB221">
        <f t="shared" si="201"/>
        <v>15.92481994232935</v>
      </c>
      <c r="BC221">
        <f t="shared" si="202"/>
        <v>0.17822753829499272</v>
      </c>
      <c r="BD221">
        <f t="shared" si="185"/>
        <v>-169.78831425102211</v>
      </c>
      <c r="BF221">
        <f t="shared" si="186"/>
        <v>-9.1416748365510454</v>
      </c>
      <c r="BG221">
        <f t="shared" si="187"/>
        <v>-130.93745880054323</v>
      </c>
      <c r="BH221">
        <f t="shared" si="203"/>
        <v>49.062541199456774</v>
      </c>
      <c r="BI221">
        <f t="shared" si="204"/>
        <v>49.062541199456774</v>
      </c>
      <c r="BJ221">
        <f t="shared" si="188"/>
        <v>0</v>
      </c>
      <c r="BK221">
        <f t="shared" si="205"/>
        <v>0</v>
      </c>
      <c r="BM221">
        <f t="shared" si="206"/>
        <v>-25.066494778880394</v>
      </c>
      <c r="BN221">
        <f t="shared" si="189"/>
        <v>-141.14914454952111</v>
      </c>
      <c r="BQ221" s="56">
        <f t="shared" si="207"/>
        <v>32.826780742614488</v>
      </c>
      <c r="BR221" s="59"/>
      <c r="BS221" s="59"/>
      <c r="BT221" s="59">
        <v>12882.495999999999</v>
      </c>
      <c r="BU221" s="59">
        <v>-3.6234700000000002</v>
      </c>
      <c r="BV221" s="59">
        <v>-201.71899999999999</v>
      </c>
      <c r="BW221" s="61"/>
      <c r="BY221" s="59"/>
      <c r="BZ221" s="59"/>
      <c r="CA221" s="59"/>
      <c r="CC221" s="59"/>
    </row>
    <row r="222" spans="1:81" x14ac:dyDescent="0.25">
      <c r="A222">
        <f t="shared" si="190"/>
        <v>94000</v>
      </c>
      <c r="B222">
        <f t="shared" si="191"/>
        <v>94</v>
      </c>
      <c r="C222">
        <f t="shared" si="159"/>
        <v>1.267991976379468</v>
      </c>
      <c r="D222">
        <f t="shared" si="160"/>
        <v>0.6621885178540593</v>
      </c>
      <c r="F222">
        <f t="shared" si="161"/>
        <v>2.9086729247629014E-3</v>
      </c>
      <c r="G222">
        <f t="shared" si="162"/>
        <v>1.8372445943698256E-2</v>
      </c>
      <c r="H222">
        <f t="shared" si="163"/>
        <v>-3.123220204056302</v>
      </c>
      <c r="J222">
        <f t="shared" si="164"/>
        <v>15</v>
      </c>
      <c r="M222">
        <f t="shared" si="165"/>
        <v>1.3534274135904587E-2</v>
      </c>
      <c r="N222">
        <f t="shared" si="166"/>
        <v>-1.5707963250000001</v>
      </c>
      <c r="O222">
        <f t="shared" si="167"/>
        <v>27.328543914809629</v>
      </c>
      <c r="P222">
        <f t="shared" si="168"/>
        <v>1.534196378499685</v>
      </c>
      <c r="Q222">
        <f t="shared" si="169"/>
        <v>24.136896154690703</v>
      </c>
      <c r="R222">
        <f t="shared" si="170"/>
        <v>1.529354117583813</v>
      </c>
      <c r="S222">
        <f t="shared" si="171"/>
        <v>0.80859359581311363</v>
      </c>
      <c r="T222">
        <f t="shared" si="172"/>
        <v>-0.62903850270749673</v>
      </c>
      <c r="U222">
        <f t="shared" si="173"/>
        <v>0.86148420841186713</v>
      </c>
      <c r="V222">
        <f t="shared" si="174"/>
        <v>-0.53261095083355892</v>
      </c>
      <c r="X222">
        <f t="shared" si="192"/>
        <v>-9.2677369069343651</v>
      </c>
      <c r="Y222">
        <f t="shared" si="175"/>
        <v>-122.03582611474596</v>
      </c>
      <c r="Z222">
        <f t="shared" si="193"/>
        <v>57.964173885254041</v>
      </c>
      <c r="AC222">
        <v>1</v>
      </c>
      <c r="AD222">
        <f t="shared" si="176"/>
        <v>27.310241897568002</v>
      </c>
      <c r="AE222">
        <f t="shared" si="177"/>
        <v>-2.4194938770664316E-3</v>
      </c>
      <c r="AF222">
        <f t="shared" si="178"/>
        <v>4.1048049564899993E-3</v>
      </c>
      <c r="AG222">
        <f t="shared" si="194"/>
        <v>4831.1638933713339</v>
      </c>
      <c r="AH222">
        <f t="shared" si="195"/>
        <v>-3091.2483281463028</v>
      </c>
      <c r="AJ222">
        <f t="shared" si="179"/>
        <v>18000</v>
      </c>
      <c r="AK222">
        <f t="shared" si="180"/>
        <v>13097.5762180032</v>
      </c>
      <c r="AL222">
        <v>1</v>
      </c>
      <c r="AM222">
        <f t="shared" si="181"/>
        <v>24.116172083942402</v>
      </c>
      <c r="AN222">
        <f t="shared" si="196"/>
        <v>573.067752269312</v>
      </c>
      <c r="AO222">
        <f t="shared" si="197"/>
        <v>-722.62431148160113</v>
      </c>
      <c r="AQ222">
        <f t="shared" si="182"/>
        <v>0.28292544914415052</v>
      </c>
      <c r="AR222">
        <f t="shared" si="183"/>
        <v>-53.1899844391003</v>
      </c>
      <c r="AT222">
        <f t="shared" si="209"/>
        <v>-163056.59125707558</v>
      </c>
      <c r="AU222">
        <f t="shared" si="210"/>
        <v>-257844.12513282138</v>
      </c>
      <c r="AV222">
        <f t="shared" si="198"/>
        <v>-2.1346881271521516</v>
      </c>
      <c r="AW222">
        <f t="shared" si="199"/>
        <v>-32710.319614969594</v>
      </c>
      <c r="AX222">
        <f t="shared" si="200"/>
        <v>-36071.260454996416</v>
      </c>
      <c r="AY222">
        <f t="shared" si="208"/>
        <v>-2.3073693584675223</v>
      </c>
      <c r="BA222">
        <f t="shared" si="184"/>
        <v>6.2651616728543891</v>
      </c>
      <c r="BB222">
        <f t="shared" si="201"/>
        <v>15.938645649373029</v>
      </c>
      <c r="BC222">
        <f t="shared" si="202"/>
        <v>0.17268123131537072</v>
      </c>
      <c r="BD222">
        <f t="shared" si="185"/>
        <v>-170.10609423320153</v>
      </c>
      <c r="BF222">
        <f t="shared" si="186"/>
        <v>-9.2033012945482611</v>
      </c>
      <c r="BG222">
        <f t="shared" si="187"/>
        <v>-131.1128232616781</v>
      </c>
      <c r="BH222">
        <f t="shared" si="203"/>
        <v>48.887176738321898</v>
      </c>
      <c r="BI222">
        <f t="shared" si="204"/>
        <v>48.887176738321898</v>
      </c>
      <c r="BJ222">
        <f t="shared" si="188"/>
        <v>0</v>
      </c>
      <c r="BK222">
        <f t="shared" si="205"/>
        <v>0</v>
      </c>
      <c r="BM222">
        <f t="shared" si="206"/>
        <v>-25.14194694392129</v>
      </c>
      <c r="BN222">
        <f t="shared" si="189"/>
        <v>-141.00672902847657</v>
      </c>
      <c r="BQ222" s="56">
        <f t="shared" si="207"/>
        <v>32.840606449658168</v>
      </c>
      <c r="BR222" s="59"/>
      <c r="BS222" s="59"/>
      <c r="BT222" s="59">
        <v>13182.566999999999</v>
      </c>
      <c r="BU222" s="59">
        <v>-4.1132799999999996</v>
      </c>
      <c r="BV222" s="59">
        <v>-198.27600000000001</v>
      </c>
      <c r="BW222" s="61"/>
      <c r="BY222" s="59"/>
      <c r="BZ222" s="59"/>
      <c r="CA222" s="59"/>
      <c r="CC222" s="59"/>
    </row>
    <row r="223" spans="1:81" x14ac:dyDescent="0.25">
      <c r="A223">
        <f t="shared" si="190"/>
        <v>94500</v>
      </c>
      <c r="B223">
        <f t="shared" si="191"/>
        <v>94.5</v>
      </c>
      <c r="C223">
        <f t="shared" si="159"/>
        <v>1.2705458847522908</v>
      </c>
      <c r="D223">
        <f t="shared" si="160"/>
        <v>0.66476257049179188</v>
      </c>
      <c r="F223">
        <f t="shared" si="161"/>
        <v>2.8778910193796615E-3</v>
      </c>
      <c r="G223">
        <f t="shared" si="162"/>
        <v>1.8274694665672834E-2</v>
      </c>
      <c r="H223">
        <f t="shared" si="163"/>
        <v>-3.1233179553343273</v>
      </c>
      <c r="J223">
        <f t="shared" si="164"/>
        <v>15</v>
      </c>
      <c r="M223">
        <f t="shared" si="165"/>
        <v>1.3462664219841599E-2</v>
      </c>
      <c r="N223">
        <f t="shared" si="166"/>
        <v>-1.5707963250000001</v>
      </c>
      <c r="O223">
        <f t="shared" si="167"/>
        <v>27.473714387213679</v>
      </c>
      <c r="P223">
        <f t="shared" si="168"/>
        <v>1.5343898574971946</v>
      </c>
      <c r="Q223">
        <f t="shared" si="169"/>
        <v>24.265064108009579</v>
      </c>
      <c r="R223">
        <f t="shared" si="170"/>
        <v>1.5295731395449628</v>
      </c>
      <c r="S223">
        <f t="shared" si="171"/>
        <v>0.80710484262045323</v>
      </c>
      <c r="T223">
        <f t="shared" si="172"/>
        <v>-0.63156443259866524</v>
      </c>
      <c r="U223">
        <f t="shared" si="173"/>
        <v>0.8603019649796968</v>
      </c>
      <c r="V223">
        <f t="shared" si="174"/>
        <v>-0.53493461188591884</v>
      </c>
      <c r="X223">
        <f t="shared" si="192"/>
        <v>-9.3246667825689844</v>
      </c>
      <c r="Y223">
        <f t="shared" si="175"/>
        <v>-122.14817102761336</v>
      </c>
      <c r="Z223">
        <f t="shared" si="193"/>
        <v>57.851828972386642</v>
      </c>
      <c r="AC223">
        <v>1</v>
      </c>
      <c r="AD223">
        <f t="shared" si="176"/>
        <v>27.455509141703999</v>
      </c>
      <c r="AE223">
        <f t="shared" si="177"/>
        <v>-2.4453016292069378E-3</v>
      </c>
      <c r="AF223">
        <f t="shared" si="178"/>
        <v>4.1266390254075004E-3</v>
      </c>
      <c r="AG223">
        <f t="shared" si="194"/>
        <v>4817.9130581046265</v>
      </c>
      <c r="AH223">
        <f t="shared" si="195"/>
        <v>-3097.2543446778682</v>
      </c>
      <c r="AJ223">
        <f t="shared" si="179"/>
        <v>18000</v>
      </c>
      <c r="AK223">
        <f t="shared" si="180"/>
        <v>13167.244176609598</v>
      </c>
      <c r="AL223">
        <v>1</v>
      </c>
      <c r="AM223">
        <f t="shared" si="181"/>
        <v>24.244449595027202</v>
      </c>
      <c r="AN223">
        <f t="shared" si="196"/>
        <v>572.75204563500051</v>
      </c>
      <c r="AO223">
        <f t="shared" si="197"/>
        <v>-718.81392423689078</v>
      </c>
      <c r="AQ223">
        <f t="shared" si="182"/>
        <v>0.27993953306085884</v>
      </c>
      <c r="AR223">
        <f t="shared" si="183"/>
        <v>-52.908571748502325</v>
      </c>
      <c r="AT223">
        <f t="shared" si="209"/>
        <v>-162522.57938693592</v>
      </c>
      <c r="AU223">
        <f t="shared" si="210"/>
        <v>-255775.94264779473</v>
      </c>
      <c r="AV223">
        <f t="shared" si="198"/>
        <v>-2.1368464520601167</v>
      </c>
      <c r="AW223">
        <f t="shared" si="199"/>
        <v>-32321.221481854845</v>
      </c>
      <c r="AX223">
        <f t="shared" si="200"/>
        <v>-35884.654121921281</v>
      </c>
      <c r="AY223">
        <f t="shared" si="208"/>
        <v>-2.3039967037049065</v>
      </c>
      <c r="BA223">
        <f t="shared" si="184"/>
        <v>6.2748771695447587</v>
      </c>
      <c r="BB223">
        <f t="shared" si="201"/>
        <v>15.952104578803263</v>
      </c>
      <c r="BC223">
        <f t="shared" si="202"/>
        <v>0.1671502516447898</v>
      </c>
      <c r="BD223">
        <f t="shared" si="185"/>
        <v>-170.42299602526057</v>
      </c>
      <c r="BF223">
        <f t="shared" si="186"/>
        <v>-9.2647762836781649</v>
      </c>
      <c r="BG223">
        <f t="shared" si="187"/>
        <v>-131.28784343686127</v>
      </c>
      <c r="BH223">
        <f t="shared" si="203"/>
        <v>48.712156563138734</v>
      </c>
      <c r="BI223">
        <f t="shared" si="204"/>
        <v>48.712156563138734</v>
      </c>
      <c r="BJ223">
        <f t="shared" si="188"/>
        <v>0</v>
      </c>
      <c r="BK223">
        <f t="shared" si="205"/>
        <v>0</v>
      </c>
      <c r="BM223">
        <f t="shared" si="206"/>
        <v>-25.216880862481432</v>
      </c>
      <c r="BN223">
        <f t="shared" si="189"/>
        <v>-140.86484741160069</v>
      </c>
      <c r="BQ223" s="56">
        <f t="shared" si="207"/>
        <v>32.854065379088397</v>
      </c>
      <c r="BR223" s="59"/>
      <c r="BS223" s="59"/>
      <c r="BT223" s="59">
        <v>13489.629000000001</v>
      </c>
      <c r="BU223" s="59">
        <v>-3.8779599999999999</v>
      </c>
      <c r="BV223" s="59">
        <v>-197.578</v>
      </c>
      <c r="BW223" s="61"/>
      <c r="BY223" s="59"/>
      <c r="BZ223" s="59"/>
      <c r="CA223" s="59"/>
      <c r="CC223" s="59"/>
    </row>
    <row r="224" spans="1:81" x14ac:dyDescent="0.25">
      <c r="A224">
        <f t="shared" si="190"/>
        <v>95000</v>
      </c>
      <c r="B224">
        <f t="shared" si="191"/>
        <v>95</v>
      </c>
      <c r="C224">
        <f t="shared" si="159"/>
        <v>1.2731081776332256</v>
      </c>
      <c r="D224">
        <f t="shared" si="160"/>
        <v>0.66732627883948348</v>
      </c>
      <c r="F224">
        <f t="shared" si="161"/>
        <v>2.8475956124889355E-3</v>
      </c>
      <c r="G224">
        <f t="shared" si="162"/>
        <v>1.8177980877846299E-2</v>
      </c>
      <c r="H224">
        <f t="shared" si="163"/>
        <v>-3.123414669122154</v>
      </c>
      <c r="J224">
        <f t="shared" si="164"/>
        <v>15</v>
      </c>
      <c r="M224">
        <f t="shared" si="165"/>
        <v>1.3391808092368748E-2</v>
      </c>
      <c r="N224">
        <f t="shared" si="166"/>
        <v>-1.5707963250000001</v>
      </c>
      <c r="O224">
        <f t="shared" si="167"/>
        <v>27.618885877260563</v>
      </c>
      <c r="P224">
        <f t="shared" si="168"/>
        <v>1.5345813025577537</v>
      </c>
      <c r="Q224">
        <f t="shared" si="169"/>
        <v>24.393233213106594</v>
      </c>
      <c r="R224">
        <f t="shared" si="170"/>
        <v>1.5297898599069091</v>
      </c>
      <c r="S224">
        <f t="shared" si="171"/>
        <v>0.80561644966075696</v>
      </c>
      <c r="T224">
        <f t="shared" si="172"/>
        <v>-0.63408106229453076</v>
      </c>
      <c r="U224">
        <f t="shared" si="173"/>
        <v>0.8591183423089227</v>
      </c>
      <c r="V224">
        <f t="shared" si="174"/>
        <v>-0.53725189153195874</v>
      </c>
      <c r="X224">
        <f t="shared" si="192"/>
        <v>-9.3813812140928619</v>
      </c>
      <c r="Y224">
        <f t="shared" si="175"/>
        <v>-122.26039909916693</v>
      </c>
      <c r="Z224">
        <f t="shared" si="193"/>
        <v>57.739600900833068</v>
      </c>
      <c r="AC224">
        <v>1</v>
      </c>
      <c r="AD224">
        <f t="shared" si="176"/>
        <v>27.600776385839996</v>
      </c>
      <c r="AE224">
        <f t="shared" si="177"/>
        <v>-2.4712462924993831E-3</v>
      </c>
      <c r="AF224">
        <f t="shared" si="178"/>
        <v>4.1484730943249998E-3</v>
      </c>
      <c r="AG224">
        <f t="shared" si="194"/>
        <v>4804.6649929433006</v>
      </c>
      <c r="AH224">
        <f t="shared" si="195"/>
        <v>-3103.19248981591</v>
      </c>
      <c r="AJ224">
        <f t="shared" si="179"/>
        <v>18000</v>
      </c>
      <c r="AK224">
        <f t="shared" si="180"/>
        <v>13236.912135216</v>
      </c>
      <c r="AL224">
        <v>1</v>
      </c>
      <c r="AM224">
        <f t="shared" si="181"/>
        <v>24.372727106112002</v>
      </c>
      <c r="AN224">
        <f t="shared" si="196"/>
        <v>572.44129954257141</v>
      </c>
      <c r="AO224">
        <f t="shared" si="197"/>
        <v>-715.04344280320947</v>
      </c>
      <c r="AQ224">
        <f t="shared" si="182"/>
        <v>0.27700063710146533</v>
      </c>
      <c r="AR224">
        <f t="shared" si="183"/>
        <v>-52.630121049278415</v>
      </c>
      <c r="AT224">
        <f t="shared" si="209"/>
        <v>-161990.50111411861</v>
      </c>
      <c r="AU224">
        <f t="shared" si="210"/>
        <v>-253729.68647656383</v>
      </c>
      <c r="AV224">
        <f t="shared" si="198"/>
        <v>-2.1390001332664026</v>
      </c>
      <c r="AW224">
        <f t="shared" si="199"/>
        <v>-31938.44683830217</v>
      </c>
      <c r="AX224">
        <f t="shared" si="200"/>
        <v>-35700.301427069986</v>
      </c>
      <c r="AY224">
        <f t="shared" si="208"/>
        <v>-2.3006348723467669</v>
      </c>
      <c r="BA224">
        <f t="shared" si="184"/>
        <v>6.2843452799768764</v>
      </c>
      <c r="BB224">
        <f t="shared" si="201"/>
        <v>15.965200768189918</v>
      </c>
      <c r="BC224">
        <f t="shared" si="202"/>
        <v>0.1616347390803643</v>
      </c>
      <c r="BD224">
        <f t="shared" si="185"/>
        <v>-170.73901161741463</v>
      </c>
      <c r="BF224">
        <f t="shared" si="186"/>
        <v>-9.3261015928054469</v>
      </c>
      <c r="BG224">
        <f t="shared" si="187"/>
        <v>-131.46251065249183</v>
      </c>
      <c r="BH224">
        <f t="shared" si="203"/>
        <v>48.537489347508171</v>
      </c>
      <c r="BI224">
        <f t="shared" si="204"/>
        <v>48.537489347508171</v>
      </c>
      <c r="BJ224">
        <f t="shared" si="188"/>
        <v>0</v>
      </c>
      <c r="BK224">
        <f t="shared" si="205"/>
        <v>0</v>
      </c>
      <c r="BM224">
        <f t="shared" si="206"/>
        <v>-25.291302360995367</v>
      </c>
      <c r="BN224">
        <f t="shared" si="189"/>
        <v>-140.72349903507723</v>
      </c>
      <c r="BQ224" s="56">
        <f t="shared" si="207"/>
        <v>32.867161568475055</v>
      </c>
      <c r="BR224" s="59"/>
      <c r="BS224" s="59"/>
      <c r="BT224" s="59">
        <v>13803.843000000001</v>
      </c>
      <c r="BU224" s="59">
        <v>-4.0306600000000001</v>
      </c>
      <c r="BV224" s="59">
        <v>-195.64599999999999</v>
      </c>
      <c r="BW224" s="61"/>
      <c r="BY224" s="59"/>
      <c r="BZ224" s="59"/>
      <c r="CA224" s="59"/>
      <c r="CC224" s="59"/>
    </row>
    <row r="225" spans="1:81" x14ac:dyDescent="0.25">
      <c r="A225">
        <f t="shared" si="190"/>
        <v>95500</v>
      </c>
      <c r="B225">
        <f t="shared" si="191"/>
        <v>95.5</v>
      </c>
      <c r="C225">
        <f t="shared" si="159"/>
        <v>1.275678804499605</v>
      </c>
      <c r="D225">
        <f t="shared" si="160"/>
        <v>0.66987967162983064</v>
      </c>
      <c r="F225">
        <f t="shared" si="161"/>
        <v>2.8177764969263778E-3</v>
      </c>
      <c r="G225">
        <f t="shared" si="162"/>
        <v>1.8082288106560426E-2</v>
      </c>
      <c r="H225">
        <f t="shared" si="163"/>
        <v>-3.1235103618934397</v>
      </c>
      <c r="J225">
        <f t="shared" si="164"/>
        <v>15</v>
      </c>
      <c r="M225">
        <f t="shared" si="165"/>
        <v>1.3321693913874669E-2</v>
      </c>
      <c r="N225">
        <f t="shared" si="166"/>
        <v>-1.5707963250000001</v>
      </c>
      <c r="O225">
        <f t="shared" si="167"/>
        <v>27.764058368987261</v>
      </c>
      <c r="P225">
        <f t="shared" si="168"/>
        <v>1.5347707455723185</v>
      </c>
      <c r="Q225">
        <f t="shared" si="169"/>
        <v>24.521403451921323</v>
      </c>
      <c r="R225">
        <f t="shared" si="170"/>
        <v>1.5300043147396265</v>
      </c>
      <c r="S225">
        <f t="shared" si="171"/>
        <v>0.80412847134801435</v>
      </c>
      <c r="T225">
        <f t="shared" si="172"/>
        <v>-0.63658841136208066</v>
      </c>
      <c r="U225">
        <f t="shared" si="173"/>
        <v>0.85793338414034725</v>
      </c>
      <c r="V225">
        <f t="shared" si="174"/>
        <v>-0.53956279123912099</v>
      </c>
      <c r="X225">
        <f t="shared" si="192"/>
        <v>-9.4378825918728246</v>
      </c>
      <c r="Y225">
        <f t="shared" si="175"/>
        <v>-122.372506938325</v>
      </c>
      <c r="Z225">
        <f t="shared" si="193"/>
        <v>57.627493061674997</v>
      </c>
      <c r="AC225">
        <v>1</v>
      </c>
      <c r="AD225">
        <f t="shared" si="176"/>
        <v>27.746043629976</v>
      </c>
      <c r="AE225">
        <f t="shared" si="177"/>
        <v>-2.4973278669437673E-3</v>
      </c>
      <c r="AF225">
        <f t="shared" si="178"/>
        <v>4.1703071632425001E-3</v>
      </c>
      <c r="AG225">
        <f t="shared" si="194"/>
        <v>4791.4202502199396</v>
      </c>
      <c r="AH225">
        <f t="shared" si="195"/>
        <v>-3109.0629072588017</v>
      </c>
      <c r="AJ225">
        <f t="shared" si="179"/>
        <v>18000</v>
      </c>
      <c r="AK225">
        <f t="shared" si="180"/>
        <v>13306.5800938224</v>
      </c>
      <c r="AL225">
        <v>1</v>
      </c>
      <c r="AM225">
        <f t="shared" si="181"/>
        <v>24.501004617196802</v>
      </c>
      <c r="AN225">
        <f t="shared" si="196"/>
        <v>572.13541066754328</v>
      </c>
      <c r="AO225">
        <f t="shared" si="197"/>
        <v>-711.31224460486669</v>
      </c>
      <c r="AQ225">
        <f t="shared" si="182"/>
        <v>0.2741077791787731</v>
      </c>
      <c r="AR225">
        <f t="shared" si="183"/>
        <v>-52.354585823145662</v>
      </c>
      <c r="AT225">
        <f t="shared" si="209"/>
        <v>-161460.33524373971</v>
      </c>
      <c r="AU225">
        <f t="shared" si="210"/>
        <v>-251705.04103373372</v>
      </c>
      <c r="AV225">
        <f t="shared" si="198"/>
        <v>-2.1411491450001883</v>
      </c>
      <c r="AW225">
        <f t="shared" si="199"/>
        <v>-31561.863396701883</v>
      </c>
      <c r="AX225">
        <f t="shared" si="200"/>
        <v>-35518.159926785323</v>
      </c>
      <c r="AY225">
        <f t="shared" si="208"/>
        <v>-2.2972839745602314</v>
      </c>
      <c r="BA225">
        <f t="shared" si="184"/>
        <v>6.2935677391366376</v>
      </c>
      <c r="BB225">
        <f t="shared" si="201"/>
        <v>15.977938219416835</v>
      </c>
      <c r="BC225">
        <f t="shared" si="202"/>
        <v>0.1561348295600431</v>
      </c>
      <c r="BD225">
        <f t="shared" si="185"/>
        <v>-171.05413322099295</v>
      </c>
      <c r="BF225">
        <f t="shared" si="186"/>
        <v>-9.3872789573066466</v>
      </c>
      <c r="BG225">
        <f t="shared" si="187"/>
        <v>-131.63681641750779</v>
      </c>
      <c r="BH225">
        <f t="shared" si="203"/>
        <v>48.363183582492212</v>
      </c>
      <c r="BI225">
        <f t="shared" si="204"/>
        <v>48.363183582492212</v>
      </c>
      <c r="BJ225">
        <f t="shared" si="188"/>
        <v>0</v>
      </c>
      <c r="BK225">
        <f t="shared" si="205"/>
        <v>0</v>
      </c>
      <c r="BM225">
        <f t="shared" si="206"/>
        <v>-25.365217176723476</v>
      </c>
      <c r="BN225">
        <f t="shared" si="189"/>
        <v>-140.58268319651484</v>
      </c>
      <c r="BQ225" s="56">
        <f t="shared" si="207"/>
        <v>32.879899019701973</v>
      </c>
      <c r="BR225" s="59"/>
      <c r="BS225" s="59"/>
      <c r="BT225" s="59">
        <v>14125.375</v>
      </c>
      <c r="BU225" s="59">
        <v>-4.0179099999999996</v>
      </c>
      <c r="BV225" s="59">
        <v>-192.58199999999999</v>
      </c>
      <c r="BW225" s="61"/>
      <c r="BY225" s="59"/>
      <c r="BZ225" s="59"/>
      <c r="CA225" s="59"/>
      <c r="CC225" s="59"/>
    </row>
    <row r="226" spans="1:81" x14ac:dyDescent="0.25">
      <c r="A226">
        <f t="shared" si="190"/>
        <v>96000</v>
      </c>
      <c r="B226">
        <f t="shared" si="191"/>
        <v>96</v>
      </c>
      <c r="C226">
        <f t="shared" si="159"/>
        <v>1.2782577150715067</v>
      </c>
      <c r="D226">
        <f t="shared" si="160"/>
        <v>0.67242277790282157</v>
      </c>
      <c r="F226">
        <f t="shared" si="161"/>
        <v>2.7884237320550897E-3</v>
      </c>
      <c r="G226">
        <f t="shared" si="162"/>
        <v>1.7987600225981438E-2</v>
      </c>
      <c r="H226">
        <f t="shared" si="163"/>
        <v>-3.1236050497740186</v>
      </c>
      <c r="J226">
        <f t="shared" si="164"/>
        <v>15</v>
      </c>
      <c r="M226">
        <f t="shared" si="165"/>
        <v>1.3252310091406575E-2</v>
      </c>
      <c r="N226">
        <f t="shared" si="166"/>
        <v>-1.5707963250000001</v>
      </c>
      <c r="O226">
        <f t="shared" si="167"/>
        <v>27.90923184676279</v>
      </c>
      <c r="P226">
        <f t="shared" si="168"/>
        <v>1.5349582177688874</v>
      </c>
      <c r="Q226">
        <f t="shared" si="169"/>
        <v>24.649574806768808</v>
      </c>
      <c r="R226">
        <f t="shared" si="170"/>
        <v>1.5302165393637157</v>
      </c>
      <c r="S226">
        <f t="shared" si="171"/>
        <v>0.8026409613610862</v>
      </c>
      <c r="T226">
        <f t="shared" si="172"/>
        <v>-0.63908649969101872</v>
      </c>
      <c r="U226">
        <f t="shared" si="173"/>
        <v>0.85674713388151569</v>
      </c>
      <c r="V226">
        <f t="shared" si="174"/>
        <v>-0.54186731273934186</v>
      </c>
      <c r="X226">
        <f t="shared" si="192"/>
        <v>-9.4941732632442637</v>
      </c>
      <c r="Y226">
        <f t="shared" si="175"/>
        <v>-122.48449123103585</v>
      </c>
      <c r="Z226">
        <f t="shared" si="193"/>
        <v>57.515508768964153</v>
      </c>
      <c r="AC226">
        <v>1</v>
      </c>
      <c r="AD226">
        <f t="shared" si="176"/>
        <v>27.891310874111998</v>
      </c>
      <c r="AE226">
        <f t="shared" si="177"/>
        <v>-2.5235463525400902E-3</v>
      </c>
      <c r="AF226">
        <f t="shared" si="178"/>
        <v>4.1921412321600003E-3</v>
      </c>
      <c r="AG226">
        <f t="shared" si="194"/>
        <v>4778.1793759218899</v>
      </c>
      <c r="AH226">
        <f t="shared" si="195"/>
        <v>-3114.8657482519643</v>
      </c>
      <c r="AJ226">
        <f t="shared" si="179"/>
        <v>18000</v>
      </c>
      <c r="AK226">
        <f t="shared" si="180"/>
        <v>13376.248052428798</v>
      </c>
      <c r="AL226">
        <v>1</v>
      </c>
      <c r="AM226">
        <f t="shared" si="181"/>
        <v>24.629282128281602</v>
      </c>
      <c r="AN226">
        <f t="shared" si="196"/>
        <v>571.83427836024111</v>
      </c>
      <c r="AO226">
        <f t="shared" si="197"/>
        <v>-707.61971992789586</v>
      </c>
      <c r="AQ226">
        <f t="shared" si="182"/>
        <v>0.27126000271260003</v>
      </c>
      <c r="AR226">
        <f t="shared" si="183"/>
        <v>-52.081920520819203</v>
      </c>
      <c r="AT226">
        <f t="shared" si="209"/>
        <v>-160932.06138300698</v>
      </c>
      <c r="AU226">
        <f t="shared" si="210"/>
        <v>-249701.69698230157</v>
      </c>
      <c r="AV226">
        <f t="shared" si="198"/>
        <v>-2.1432934623211759</v>
      </c>
      <c r="AW226">
        <f t="shared" si="199"/>
        <v>-31191.34228411394</v>
      </c>
      <c r="AX226">
        <f t="shared" si="200"/>
        <v>-35338.188229472842</v>
      </c>
      <c r="AY226">
        <f t="shared" si="208"/>
        <v>-2.2939441175251796</v>
      </c>
      <c r="BA226">
        <f t="shared" si="184"/>
        <v>6.3025463023823027</v>
      </c>
      <c r="BB226">
        <f t="shared" si="201"/>
        <v>15.990320899092691</v>
      </c>
      <c r="BC226">
        <f t="shared" si="202"/>
        <v>0.15065065520400367</v>
      </c>
      <c r="BD226">
        <f t="shared" si="185"/>
        <v>-171.36835326606692</v>
      </c>
      <c r="BF226">
        <f t="shared" si="186"/>
        <v>-9.4483100604501455</v>
      </c>
      <c r="BG226">
        <f t="shared" si="187"/>
        <v>-131.81075242205407</v>
      </c>
      <c r="BH226">
        <f t="shared" si="203"/>
        <v>48.189247577945935</v>
      </c>
      <c r="BI226">
        <f t="shared" si="204"/>
        <v>48.189247577945935</v>
      </c>
      <c r="BJ226">
        <f t="shared" si="188"/>
        <v>0</v>
      </c>
      <c r="BK226">
        <f t="shared" si="205"/>
        <v>0</v>
      </c>
      <c r="BM226">
        <f t="shared" si="206"/>
        <v>-25.438630959542834</v>
      </c>
      <c r="BN226">
        <f t="shared" si="189"/>
        <v>-140.44239915598715</v>
      </c>
      <c r="BQ226" s="56">
        <f t="shared" si="207"/>
        <v>32.892281699377826</v>
      </c>
      <c r="BR226" s="59"/>
      <c r="BS226" s="59"/>
      <c r="BT226" s="59">
        <v>14454.397999999999</v>
      </c>
      <c r="BU226" s="59">
        <v>-3.9652699999999999</v>
      </c>
      <c r="BV226" s="59">
        <v>-192.25399999999999</v>
      </c>
      <c r="BW226" s="61"/>
      <c r="BY226" s="59"/>
      <c r="BZ226" s="59"/>
      <c r="CA226" s="59"/>
      <c r="CC226" s="59"/>
    </row>
    <row r="227" spans="1:81" x14ac:dyDescent="0.25">
      <c r="A227">
        <f t="shared" si="190"/>
        <v>96500</v>
      </c>
      <c r="B227">
        <f t="shared" si="191"/>
        <v>96.5</v>
      </c>
      <c r="C227">
        <f t="shared" si="159"/>
        <v>1.2808448593125767</v>
      </c>
      <c r="D227">
        <f t="shared" si="160"/>
        <v>0.67495562699715606</v>
      </c>
      <c r="F227">
        <f t="shared" si="161"/>
        <v>2.7595276354505211E-3</v>
      </c>
      <c r="G227">
        <f t="shared" si="162"/>
        <v>1.7893901448945499E-2</v>
      </c>
      <c r="H227">
        <f t="shared" si="163"/>
        <v>-3.1236987485510546</v>
      </c>
      <c r="J227">
        <f t="shared" si="164"/>
        <v>15</v>
      </c>
      <c r="M227">
        <f t="shared" si="165"/>
        <v>1.3183645272280114E-2</v>
      </c>
      <c r="N227">
        <f t="shared" si="166"/>
        <v>-1.5707963250000001</v>
      </c>
      <c r="O227">
        <f t="shared" si="167"/>
        <v>28.054406295279577</v>
      </c>
      <c r="P227">
        <f t="shared" si="168"/>
        <v>1.5351437497296314</v>
      </c>
      <c r="Q227">
        <f t="shared" si="169"/>
        <v>24.777747260329868</v>
      </c>
      <c r="R227">
        <f t="shared" si="170"/>
        <v>1.5304265683697524</v>
      </c>
      <c r="S227">
        <f t="shared" si="171"/>
        <v>0.8011539726475686</v>
      </c>
      <c r="T227">
        <f t="shared" si="172"/>
        <v>-0.64157534748672873</v>
      </c>
      <c r="U227">
        <f t="shared" si="173"/>
        <v>0.8555596346058294</v>
      </c>
      <c r="V227">
        <f t="shared" si="174"/>
        <v>-0.54416545802599725</v>
      </c>
      <c r="X227">
        <f t="shared" si="192"/>
        <v>-9.5502555334725212</v>
      </c>
      <c r="Y227">
        <f t="shared" si="175"/>
        <v>-122.59634873862571</v>
      </c>
      <c r="Z227">
        <f t="shared" si="193"/>
        <v>57.403651261374293</v>
      </c>
      <c r="AC227">
        <v>1</v>
      </c>
      <c r="AD227">
        <f t="shared" si="176"/>
        <v>28.036578118248002</v>
      </c>
      <c r="AE227">
        <f t="shared" si="177"/>
        <v>-2.5499017492883517E-3</v>
      </c>
      <c r="AF227">
        <f t="shared" si="178"/>
        <v>4.2139753010774997E-3</v>
      </c>
      <c r="AG227">
        <f t="shared" si="194"/>
        <v>4764.9429096996764</v>
      </c>
      <c r="AH227">
        <f t="shared" si="195"/>
        <v>-3120.6011713784574</v>
      </c>
      <c r="AJ227">
        <f t="shared" si="179"/>
        <v>18000</v>
      </c>
      <c r="AK227">
        <f t="shared" si="180"/>
        <v>13445.9160110352</v>
      </c>
      <c r="AL227">
        <v>1</v>
      </c>
      <c r="AM227">
        <f t="shared" si="181"/>
        <v>24.757559639366399</v>
      </c>
      <c r="AN227">
        <f t="shared" si="196"/>
        <v>571.53780456317679</v>
      </c>
      <c r="AO227">
        <f t="shared" si="197"/>
        <v>-703.96527159018717</v>
      </c>
      <c r="AQ227">
        <f t="shared" si="182"/>
        <v>0.26845637583892618</v>
      </c>
      <c r="AR227">
        <f t="shared" si="183"/>
        <v>-51.812080536912752</v>
      </c>
      <c r="AT227">
        <f t="shared" si="209"/>
        <v>-160405.65991042755</v>
      </c>
      <c r="AU227">
        <f t="shared" si="210"/>
        <v>-247719.35107205799</v>
      </c>
      <c r="AV227">
        <f t="shared" si="198"/>
        <v>-2.1454330611019206</v>
      </c>
      <c r="AW227">
        <f t="shared" si="199"/>
        <v>-30826.757937050625</v>
      </c>
      <c r="AX227">
        <f t="shared" si="200"/>
        <v>-35160.345963508633</v>
      </c>
      <c r="AY227">
        <f t="shared" si="208"/>
        <v>-2.2906154054578165</v>
      </c>
      <c r="BA227">
        <f t="shared" si="184"/>
        <v>6.3112827446509803</v>
      </c>
      <c r="BB227">
        <f t="shared" si="201"/>
        <v>16.002352738944982</v>
      </c>
      <c r="BC227">
        <f t="shared" si="202"/>
        <v>0.14518234435589594</v>
      </c>
      <c r="BD227">
        <f t="shared" si="185"/>
        <v>-171.68166439908711</v>
      </c>
      <c r="BF227">
        <f t="shared" si="186"/>
        <v>-9.5091965347470406</v>
      </c>
      <c r="BG227">
        <f t="shared" si="187"/>
        <v>-131.98431053613535</v>
      </c>
      <c r="BH227">
        <f t="shared" si="203"/>
        <v>48.015689463864646</v>
      </c>
      <c r="BI227">
        <f t="shared" si="204"/>
        <v>48.015689463864646</v>
      </c>
      <c r="BJ227">
        <f t="shared" si="188"/>
        <v>0</v>
      </c>
      <c r="BK227">
        <f t="shared" si="205"/>
        <v>0</v>
      </c>
      <c r="BM227">
        <f t="shared" si="206"/>
        <v>-25.511549273692022</v>
      </c>
      <c r="BN227">
        <f t="shared" si="189"/>
        <v>-140.30264613704827</v>
      </c>
      <c r="BQ227" s="56">
        <f t="shared" si="207"/>
        <v>32.904313539230117</v>
      </c>
      <c r="BR227" s="59"/>
      <c r="BS227" s="59"/>
      <c r="BT227" s="59">
        <v>14791.084000000001</v>
      </c>
      <c r="BU227" s="59">
        <v>-3.9583900000000001</v>
      </c>
      <c r="BV227" s="59">
        <v>-191.02600000000001</v>
      </c>
      <c r="BW227" s="61"/>
      <c r="BY227" s="59"/>
      <c r="BZ227" s="59"/>
      <c r="CA227" s="59"/>
      <c r="CC227" s="59"/>
    </row>
    <row r="228" spans="1:81" x14ac:dyDescent="0.25">
      <c r="A228">
        <f t="shared" si="190"/>
        <v>97000</v>
      </c>
      <c r="B228">
        <f t="shared" si="191"/>
        <v>97</v>
      </c>
      <c r="C228">
        <f t="shared" si="159"/>
        <v>1.2834401874308046</v>
      </c>
      <c r="D228">
        <f t="shared" si="160"/>
        <v>0.67747824854177652</v>
      </c>
      <c r="F228">
        <f t="shared" si="161"/>
        <v>2.731078774886713E-3</v>
      </c>
      <c r="G228">
        <f t="shared" si="162"/>
        <v>1.7801176318092578E-2</v>
      </c>
      <c r="H228">
        <f t="shared" si="163"/>
        <v>-3.1237914736819077</v>
      </c>
      <c r="J228">
        <f t="shared" si="164"/>
        <v>15</v>
      </c>
      <c r="M228">
        <f t="shared" si="165"/>
        <v>1.3115688337886918E-2</v>
      </c>
      <c r="N228">
        <f t="shared" si="166"/>
        <v>-1.5707963250000001</v>
      </c>
      <c r="O228">
        <f t="shared" si="167"/>
        <v>28.199581699545199</v>
      </c>
      <c r="P228">
        <f t="shared" si="168"/>
        <v>1.5353273714074971</v>
      </c>
      <c r="Q228">
        <f t="shared" si="169"/>
        <v>24.905920795641688</v>
      </c>
      <c r="R228">
        <f t="shared" si="170"/>
        <v>1.530634435637042</v>
      </c>
      <c r="S228">
        <f t="shared" si="171"/>
        <v>0.79966755742775442</v>
      </c>
      <c r="T228">
        <f t="shared" si="172"/>
        <v>-0.64405497526330591</v>
      </c>
      <c r="U228">
        <f t="shared" si="173"/>
        <v>0.85437092905173273</v>
      </c>
      <c r="V228">
        <f t="shared" si="174"/>
        <v>-0.54645722935085261</v>
      </c>
      <c r="X228">
        <f t="shared" si="192"/>
        <v>-9.6061316666885883</v>
      </c>
      <c r="Y228">
        <f t="shared" si="175"/>
        <v>-122.70807629619169</v>
      </c>
      <c r="Z228">
        <f t="shared" si="193"/>
        <v>57.291923703808308</v>
      </c>
      <c r="AC228">
        <v>1</v>
      </c>
      <c r="AD228">
        <f t="shared" si="176"/>
        <v>28.181845362383999</v>
      </c>
      <c r="AE228">
        <f t="shared" si="177"/>
        <v>-2.576394057188553E-3</v>
      </c>
      <c r="AF228">
        <f t="shared" si="178"/>
        <v>4.235809369995E-3</v>
      </c>
      <c r="AG228">
        <f t="shared" si="194"/>
        <v>4751.7113848766203</v>
      </c>
      <c r="AH228">
        <f t="shared" si="195"/>
        <v>-3126.2693423540322</v>
      </c>
      <c r="AJ228">
        <f t="shared" si="179"/>
        <v>18000</v>
      </c>
      <c r="AK228">
        <f t="shared" si="180"/>
        <v>13515.583969641599</v>
      </c>
      <c r="AL228">
        <v>1</v>
      </c>
      <c r="AM228">
        <f t="shared" si="181"/>
        <v>24.885837150451199</v>
      </c>
      <c r="AN228">
        <f t="shared" si="196"/>
        <v>571.24589373138917</v>
      </c>
      <c r="AO228">
        <f t="shared" si="197"/>
        <v>-700.34831462170098</v>
      </c>
      <c r="AQ228">
        <f t="shared" si="182"/>
        <v>0.26569599064750116</v>
      </c>
      <c r="AR228">
        <f t="shared" si="183"/>
        <v>-51.545022185615217</v>
      </c>
      <c r="AT228">
        <f t="shared" si="209"/>
        <v>-159881.11194617147</v>
      </c>
      <c r="AU228">
        <f t="shared" si="210"/>
        <v>-245757.70598305346</v>
      </c>
      <c r="AV228">
        <f t="shared" si="198"/>
        <v>-2.1475679180106084</v>
      </c>
      <c r="AW228">
        <f t="shared" si="199"/>
        <v>-30467.988000025278</v>
      </c>
      <c r="AX228">
        <f t="shared" si="200"/>
        <v>-34984.593746309489</v>
      </c>
      <c r="AY228">
        <f t="shared" si="208"/>
        <v>-2.2872979396345814</v>
      </c>
      <c r="BA228">
        <f t="shared" si="184"/>
        <v>6.3197788596680882</v>
      </c>
      <c r="BB228">
        <f t="shared" si="201"/>
        <v>16.014037636197823</v>
      </c>
      <c r="BC228">
        <f t="shared" si="202"/>
        <v>0.13973002162397297</v>
      </c>
      <c r="BD228">
        <f t="shared" si="185"/>
        <v>-171.99405948052649</v>
      </c>
      <c r="BF228">
        <f t="shared" si="186"/>
        <v>-9.5699399632735194</v>
      </c>
      <c r="BG228">
        <f t="shared" si="187"/>
        <v>-132.15748280825284</v>
      </c>
      <c r="BH228">
        <f t="shared" si="203"/>
        <v>47.842517191747163</v>
      </c>
      <c r="BI228">
        <f t="shared" si="204"/>
        <v>47.842517191747163</v>
      </c>
      <c r="BJ228">
        <f t="shared" si="188"/>
        <v>0</v>
      </c>
      <c r="BK228">
        <f t="shared" si="205"/>
        <v>0</v>
      </c>
      <c r="BM228">
        <f t="shared" si="206"/>
        <v>-25.583977599471339</v>
      </c>
      <c r="BN228">
        <f t="shared" si="189"/>
        <v>-140.16342332772635</v>
      </c>
      <c r="BQ228" s="56">
        <f t="shared" si="207"/>
        <v>32.915998436482958</v>
      </c>
      <c r="BR228" s="59"/>
      <c r="BS228" s="59"/>
      <c r="BT228" s="59">
        <v>15135.611999999999</v>
      </c>
      <c r="BU228" s="59">
        <v>-3.8792200000000001</v>
      </c>
      <c r="BV228" s="59">
        <v>-189.453</v>
      </c>
      <c r="BW228" s="61"/>
      <c r="BY228" s="59"/>
      <c r="BZ228" s="59"/>
      <c r="CA228" s="59"/>
      <c r="CC228" s="59"/>
    </row>
    <row r="229" spans="1:81" x14ac:dyDescent="0.25">
      <c r="A229">
        <f t="shared" si="190"/>
        <v>97500</v>
      </c>
      <c r="B229">
        <f t="shared" si="191"/>
        <v>97.5</v>
      </c>
      <c r="C229">
        <f t="shared" si="159"/>
        <v>1.2860436498792416</v>
      </c>
      <c r="D229">
        <f t="shared" si="160"/>
        <v>0.67999067244750577</v>
      </c>
      <c r="F229">
        <f t="shared" si="161"/>
        <v>2.7030679606114484E-3</v>
      </c>
      <c r="G229">
        <f t="shared" si="162"/>
        <v>1.7709409697277995E-2</v>
      </c>
      <c r="H229">
        <f t="shared" si="163"/>
        <v>-3.1238832403027224</v>
      </c>
      <c r="J229">
        <f t="shared" si="164"/>
        <v>15</v>
      </c>
      <c r="M229">
        <f t="shared" si="165"/>
        <v>1.3048428397692626E-2</v>
      </c>
      <c r="N229">
        <f t="shared" si="166"/>
        <v>-1.5707963250000001</v>
      </c>
      <c r="O229">
        <f t="shared" si="167"/>
        <v>28.344758044874261</v>
      </c>
      <c r="P229">
        <f t="shared" si="168"/>
        <v>1.5355091121422997</v>
      </c>
      <c r="Q229">
        <f t="shared" si="169"/>
        <v>25.03409539608872</v>
      </c>
      <c r="R229">
        <f t="shared" si="170"/>
        <v>1.5308401743517968</v>
      </c>
      <c r="S229">
        <f t="shared" si="171"/>
        <v>0.79818176719868916</v>
      </c>
      <c r="T229">
        <f t="shared" si="172"/>
        <v>-0.64652540383665713</v>
      </c>
      <c r="U229">
        <f t="shared" si="173"/>
        <v>0.8531810596219721</v>
      </c>
      <c r="V229">
        <f t="shared" si="174"/>
        <v>-0.54874262922101891</v>
      </c>
      <c r="X229">
        <f t="shared" si="192"/>
        <v>-9.6618038868001026</v>
      </c>
      <c r="Y229">
        <f t="shared" si="175"/>
        <v>-122.81967081104015</v>
      </c>
      <c r="Z229">
        <f t="shared" si="193"/>
        <v>57.180329188959846</v>
      </c>
      <c r="AC229">
        <v>1</v>
      </c>
      <c r="AD229">
        <f t="shared" si="176"/>
        <v>28.32711260652</v>
      </c>
      <c r="AE229">
        <f t="shared" si="177"/>
        <v>-2.603023276240693E-3</v>
      </c>
      <c r="AF229">
        <f t="shared" si="178"/>
        <v>4.2576434389125003E-3</v>
      </c>
      <c r="AG229">
        <f t="shared" si="194"/>
        <v>4738.4853284596811</v>
      </c>
      <c r="AH229">
        <f t="shared" si="195"/>
        <v>-3131.8704338265306</v>
      </c>
      <c r="AJ229">
        <f t="shared" si="179"/>
        <v>18000</v>
      </c>
      <c r="AK229">
        <f t="shared" si="180"/>
        <v>13585.251928248001</v>
      </c>
      <c r="AL229">
        <v>1</v>
      </c>
      <c r="AM229">
        <f t="shared" si="181"/>
        <v>25.014114661535999</v>
      </c>
      <c r="AN229">
        <f t="shared" si="196"/>
        <v>570.95845275562601</v>
      </c>
      <c r="AO229">
        <f t="shared" si="197"/>
        <v>-696.76827595441023</v>
      </c>
      <c r="AQ229">
        <f t="shared" si="182"/>
        <v>0.26297796244674698</v>
      </c>
      <c r="AR229">
        <f t="shared" si="183"/>
        <v>-51.280702677115656</v>
      </c>
      <c r="AT229">
        <f t="shared" si="209"/>
        <v>-159358.39932354543</v>
      </c>
      <c r="AU229">
        <f t="shared" si="210"/>
        <v>-243816.47017395054</v>
      </c>
      <c r="AV229">
        <f t="shared" si="198"/>
        <v>-2.1496980104942778</v>
      </c>
      <c r="AW229">
        <f t="shared" si="199"/>
        <v>-30114.913227713903</v>
      </c>
      <c r="AX229">
        <f t="shared" si="200"/>
        <v>-34810.893154516874</v>
      </c>
      <c r="AY229">
        <f t="shared" si="208"/>
        <v>-2.2839918184163999</v>
      </c>
      <c r="BA229">
        <f t="shared" si="184"/>
        <v>6.3280364591603639</v>
      </c>
      <c r="BB229">
        <f t="shared" si="201"/>
        <v>16.025379453934459</v>
      </c>
      <c r="BC229">
        <f t="shared" si="202"/>
        <v>0.13429380792212209</v>
      </c>
      <c r="BD229">
        <f t="shared" si="185"/>
        <v>-172.30553158252965</v>
      </c>
      <c r="BF229">
        <f t="shared" si="186"/>
        <v>-9.6305418809654064</v>
      </c>
      <c r="BG229">
        <f t="shared" si="187"/>
        <v>-132.33026146402429</v>
      </c>
      <c r="BH229">
        <f t="shared" si="203"/>
        <v>47.669738535975711</v>
      </c>
      <c r="BI229">
        <f t="shared" si="204"/>
        <v>47.669738535975711</v>
      </c>
      <c r="BJ229">
        <f t="shared" si="188"/>
        <v>0</v>
      </c>
      <c r="BK229">
        <f t="shared" si="205"/>
        <v>0</v>
      </c>
      <c r="BM229">
        <f t="shared" si="206"/>
        <v>-25.655921334899865</v>
      </c>
      <c r="BN229">
        <f t="shared" si="189"/>
        <v>-140.02472988149464</v>
      </c>
      <c r="BQ229" s="56">
        <f t="shared" si="207"/>
        <v>32.927340254219594</v>
      </c>
      <c r="BR229" s="59"/>
      <c r="BS229" s="59"/>
      <c r="BT229" s="59">
        <v>15488.165999999999</v>
      </c>
      <c r="BU229" s="59">
        <v>-3.9822899999999999</v>
      </c>
      <c r="BV229" s="59">
        <v>-188.48099999999999</v>
      </c>
      <c r="BW229" s="61"/>
      <c r="BY229" s="59"/>
      <c r="BZ229" s="59"/>
      <c r="CA229" s="59"/>
      <c r="CC229" s="59"/>
    </row>
    <row r="230" spans="1:81" x14ac:dyDescent="0.25">
      <c r="A230">
        <f t="shared" si="190"/>
        <v>98000</v>
      </c>
      <c r="B230">
        <f t="shared" si="191"/>
        <v>98</v>
      </c>
      <c r="C230">
        <f t="shared" si="159"/>
        <v>1.2886551973566713</v>
      </c>
      <c r="D230">
        <f t="shared" si="160"/>
        <v>0.6824929288987952</v>
      </c>
      <c r="F230">
        <f t="shared" si="161"/>
        <v>2.67548623789846E-3</v>
      </c>
      <c r="G230">
        <f t="shared" si="162"/>
        <v>1.7618586763251641E-2</v>
      </c>
      <c r="H230">
        <f t="shared" si="163"/>
        <v>-3.1239740632367488</v>
      </c>
      <c r="J230">
        <f t="shared" si="164"/>
        <v>15</v>
      </c>
      <c r="M230">
        <f t="shared" si="165"/>
        <v>1.2981854783418683E-2</v>
      </c>
      <c r="N230">
        <f t="shared" si="166"/>
        <v>-1.5707963250000001</v>
      </c>
      <c r="O230">
        <f t="shared" si="167"/>
        <v>28.489935316880619</v>
      </c>
      <c r="P230">
        <f t="shared" si="168"/>
        <v>1.5356890006763249</v>
      </c>
      <c r="Q230">
        <f t="shared" si="169"/>
        <v>25.162271045393812</v>
      </c>
      <c r="R230">
        <f t="shared" si="170"/>
        <v>1.5310438170247613</v>
      </c>
      <c r="S230">
        <f t="shared" si="171"/>
        <v>0.79669665273831591</v>
      </c>
      <c r="T230">
        <f t="shared" si="172"/>
        <v>-0.64898665431767089</v>
      </c>
      <c r="U230">
        <f t="shared" si="173"/>
        <v>0.85199006838292546</v>
      </c>
      <c r="V230">
        <f t="shared" si="174"/>
        <v>-0.55102166039591216</v>
      </c>
      <c r="X230">
        <f t="shared" si="192"/>
        <v>-9.7172743783783542</v>
      </c>
      <c r="Y230">
        <f t="shared" si="175"/>
        <v>-122.93112926116663</v>
      </c>
      <c r="Z230">
        <f t="shared" si="193"/>
        <v>57.068870738833368</v>
      </c>
      <c r="AC230">
        <v>1</v>
      </c>
      <c r="AD230">
        <f t="shared" si="176"/>
        <v>28.472379850655997</v>
      </c>
      <c r="AE230">
        <f t="shared" si="177"/>
        <v>-2.6297894064447719E-3</v>
      </c>
      <c r="AF230">
        <f t="shared" si="178"/>
        <v>4.2794775078299997E-3</v>
      </c>
      <c r="AG230">
        <f t="shared" si="194"/>
        <v>4725.2652611514468</v>
      </c>
      <c r="AH230">
        <f t="shared" si="195"/>
        <v>-3137.4046251795198</v>
      </c>
      <c r="AJ230">
        <f t="shared" si="179"/>
        <v>18000</v>
      </c>
      <c r="AK230">
        <f t="shared" si="180"/>
        <v>13654.919886854399</v>
      </c>
      <c r="AL230">
        <v>1</v>
      </c>
      <c r="AM230">
        <f t="shared" si="181"/>
        <v>25.142392172620799</v>
      </c>
      <c r="AN230">
        <f t="shared" si="196"/>
        <v>570.6753908882489</v>
      </c>
      <c r="AO230">
        <f t="shared" si="197"/>
        <v>-693.22459412162402</v>
      </c>
      <c r="AQ230">
        <f t="shared" si="182"/>
        <v>0.26030142905484549</v>
      </c>
      <c r="AR230">
        <f t="shared" si="183"/>
        <v>-51.019080094749718</v>
      </c>
      <c r="AT230">
        <f t="shared" si="209"/>
        <v>-158837.50456153118</v>
      </c>
      <c r="AU230">
        <f t="shared" si="210"/>
        <v>-241895.3577350816</v>
      </c>
      <c r="AV230">
        <f t="shared" si="198"/>
        <v>-2.1518233167624654</v>
      </c>
      <c r="AW230">
        <f t="shared" si="199"/>
        <v>-29767.417390583174</v>
      </c>
      <c r="AX230">
        <f t="shared" si="200"/>
        <v>-34639.206695248176</v>
      </c>
      <c r="AY230">
        <f t="shared" si="208"/>
        <v>-2.2806971372732652</v>
      </c>
      <c r="BA230">
        <f t="shared" si="184"/>
        <v>6.3360573720728679</v>
      </c>
      <c r="BB230">
        <f t="shared" si="201"/>
        <v>16.036382021445203</v>
      </c>
      <c r="BC230">
        <f t="shared" si="202"/>
        <v>0.12887382051079976</v>
      </c>
      <c r="BD230">
        <f t="shared" si="185"/>
        <v>-172.6160739865673</v>
      </c>
      <c r="BF230">
        <f t="shared" si="186"/>
        <v>-9.69100377588539</v>
      </c>
      <c r="BG230">
        <f t="shared" si="187"/>
        <v>-132.50263890478851</v>
      </c>
      <c r="BH230">
        <f t="shared" si="203"/>
        <v>47.497361095211488</v>
      </c>
      <c r="BI230">
        <f t="shared" si="204"/>
        <v>47.497361095211488</v>
      </c>
      <c r="BJ230">
        <f t="shared" si="188"/>
        <v>0</v>
      </c>
      <c r="BK230">
        <f t="shared" si="205"/>
        <v>0</v>
      </c>
      <c r="BM230">
        <f t="shared" si="206"/>
        <v>-25.727385797330591</v>
      </c>
      <c r="BN230">
        <f t="shared" si="189"/>
        <v>-139.88656491822121</v>
      </c>
      <c r="BQ230" s="56">
        <f t="shared" si="207"/>
        <v>32.938342821730338</v>
      </c>
      <c r="BR230" s="59"/>
      <c r="BS230" s="59"/>
      <c r="BT230" s="59">
        <v>15848.932000000001</v>
      </c>
      <c r="BU230" s="59">
        <v>-3.9450400000000001</v>
      </c>
      <c r="BV230" s="59">
        <v>-186.14400000000001</v>
      </c>
      <c r="BW230" s="61"/>
      <c r="BY230" s="59"/>
      <c r="BZ230" s="59"/>
      <c r="CA230" s="59"/>
      <c r="CC230" s="59"/>
    </row>
    <row r="231" spans="1:81" x14ac:dyDescent="0.25">
      <c r="A231">
        <f t="shared" si="190"/>
        <v>98500</v>
      </c>
      <c r="B231">
        <f t="shared" si="191"/>
        <v>98.5</v>
      </c>
      <c r="C231">
        <f t="shared" si="159"/>
        <v>1.2912747808082292</v>
      </c>
      <c r="D231">
        <f t="shared" si="160"/>
        <v>0.68498504834558116</v>
      </c>
      <c r="F231">
        <f t="shared" si="161"/>
        <v>2.648324879865382E-3</v>
      </c>
      <c r="G231">
        <f t="shared" si="162"/>
        <v>1.7528692997595061E-2</v>
      </c>
      <c r="H231">
        <f t="shared" si="163"/>
        <v>-3.1240639570024054</v>
      </c>
      <c r="J231">
        <f t="shared" si="164"/>
        <v>15</v>
      </c>
      <c r="M231">
        <f t="shared" si="165"/>
        <v>1.2915957043401332E-2</v>
      </c>
      <c r="N231">
        <f t="shared" si="166"/>
        <v>-1.5707963250000001</v>
      </c>
      <c r="O231">
        <f t="shared" si="167"/>
        <v>28.635113501469782</v>
      </c>
      <c r="P231">
        <f t="shared" si="168"/>
        <v>1.5358670651694575</v>
      </c>
      <c r="Q231">
        <f t="shared" si="169"/>
        <v>25.290447727609674</v>
      </c>
      <c r="R231">
        <f t="shared" si="170"/>
        <v>1.5312453955083023</v>
      </c>
      <c r="S231">
        <f t="shared" si="171"/>
        <v>0.79521226410970791</v>
      </c>
      <c r="T231">
        <f t="shared" si="172"/>
        <v>-0.65143874810545721</v>
      </c>
      <c r="U231">
        <f t="shared" si="173"/>
        <v>0.85079799706400261</v>
      </c>
      <c r="V231">
        <f t="shared" si="174"/>
        <v>-0.55329432588422156</v>
      </c>
      <c r="X231">
        <f t="shared" si="192"/>
        <v>-9.7725452875220302</v>
      </c>
      <c r="Y231">
        <f t="shared" si="175"/>
        <v>-123.0424486937776</v>
      </c>
      <c r="Z231">
        <f t="shared" si="193"/>
        <v>56.957551306222399</v>
      </c>
      <c r="AC231">
        <v>1</v>
      </c>
      <c r="AD231">
        <f t="shared" si="176"/>
        <v>28.617647094792002</v>
      </c>
      <c r="AE231">
        <f t="shared" si="177"/>
        <v>-2.6566924478007908E-3</v>
      </c>
      <c r="AF231">
        <f t="shared" si="178"/>
        <v>4.3013115767475E-3</v>
      </c>
      <c r="AG231">
        <f t="shared" si="194"/>
        <v>4712.0516973632912</v>
      </c>
      <c r="AH231">
        <f t="shared" si="195"/>
        <v>-3142.8721023400367</v>
      </c>
      <c r="AJ231">
        <f t="shared" si="179"/>
        <v>18000</v>
      </c>
      <c r="AK231">
        <f t="shared" si="180"/>
        <v>13724.587845460799</v>
      </c>
      <c r="AL231">
        <v>1</v>
      </c>
      <c r="AM231">
        <f t="shared" si="181"/>
        <v>25.270669683705599</v>
      </c>
      <c r="AN231">
        <f t="shared" si="196"/>
        <v>570.39661967175482</v>
      </c>
      <c r="AO231">
        <f t="shared" si="197"/>
        <v>-689.7167189663661</v>
      </c>
      <c r="AQ231">
        <f t="shared" si="182"/>
        <v>0.25766555011594949</v>
      </c>
      <c r="AR231">
        <f t="shared" si="183"/>
        <v>-50.760113372842049</v>
      </c>
      <c r="AT231">
        <f t="shared" si="209"/>
        <v>-158318.41083834681</v>
      </c>
      <c r="AU231">
        <f t="shared" si="210"/>
        <v>-239994.088246047</v>
      </c>
      <c r="AV231">
        <f t="shared" si="198"/>
        <v>-2.1539438157712585</v>
      </c>
      <c r="AW231">
        <f t="shared" si="199"/>
        <v>-29425.387183845334</v>
      </c>
      <c r="AX231">
        <f t="shared" si="200"/>
        <v>-34469.497778371144</v>
      </c>
      <c r="AY231">
        <f t="shared" si="208"/>
        <v>-2.2774139888091689</v>
      </c>
      <c r="BA231">
        <f t="shared" si="184"/>
        <v>6.3438434437905169</v>
      </c>
      <c r="BB231">
        <f t="shared" si="201"/>
        <v>16.047049134561561</v>
      </c>
      <c r="BC231">
        <f t="shared" si="202"/>
        <v>0.12347017303791041</v>
      </c>
      <c r="BD231">
        <f t="shared" si="185"/>
        <v>-172.92568018109418</v>
      </c>
      <c r="BF231">
        <f t="shared" si="186"/>
        <v>-9.7513270904634979</v>
      </c>
      <c r="BG231">
        <f t="shared" si="187"/>
        <v>-132.67460770619147</v>
      </c>
      <c r="BH231">
        <f t="shared" si="203"/>
        <v>47.325392293808534</v>
      </c>
      <c r="BI231">
        <f t="shared" si="204"/>
        <v>47.325392293808534</v>
      </c>
      <c r="BJ231">
        <f t="shared" si="188"/>
        <v>0</v>
      </c>
      <c r="BK231">
        <f t="shared" si="205"/>
        <v>0</v>
      </c>
      <c r="BM231">
        <f t="shared" si="206"/>
        <v>-25.798376225025059</v>
      </c>
      <c r="BN231">
        <f t="shared" si="189"/>
        <v>-139.74892752509729</v>
      </c>
      <c r="BQ231" s="56">
        <f t="shared" si="207"/>
        <v>32.9490099348467</v>
      </c>
      <c r="BR231" s="59"/>
      <c r="BS231" s="59"/>
      <c r="BT231" s="59">
        <v>16218.101000000001</v>
      </c>
      <c r="BU231" s="59">
        <v>-3.9639700000000002</v>
      </c>
      <c r="BV231" s="59">
        <v>-185.626</v>
      </c>
      <c r="BW231" s="61"/>
      <c r="BY231" s="59"/>
      <c r="BZ231" s="59"/>
      <c r="CA231" s="59"/>
      <c r="CC231" s="59"/>
    </row>
    <row r="232" spans="1:81" x14ac:dyDescent="0.25">
      <c r="A232">
        <f t="shared" si="190"/>
        <v>99000</v>
      </c>
      <c r="B232">
        <f t="shared" si="191"/>
        <v>99</v>
      </c>
      <c r="C232">
        <f t="shared" si="159"/>
        <v>1.2939023514259713</v>
      </c>
      <c r="D232">
        <f t="shared" si="160"/>
        <v>0.68746706149525072</v>
      </c>
      <c r="F232">
        <f t="shared" si="161"/>
        <v>2.621575380546672E-3</v>
      </c>
      <c r="G232">
        <f t="shared" si="162"/>
        <v>1.7439714178907197E-2</v>
      </c>
      <c r="H232">
        <f t="shared" si="163"/>
        <v>-3.1241529358210931</v>
      </c>
      <c r="J232">
        <f t="shared" si="164"/>
        <v>15</v>
      </c>
      <c r="M232">
        <f t="shared" si="165"/>
        <v>1.2850724937121525E-2</v>
      </c>
      <c r="N232">
        <f t="shared" si="166"/>
        <v>-1.5707963250000001</v>
      </c>
      <c r="O232">
        <f t="shared" si="167"/>
        <v>28.78029258483155</v>
      </c>
      <c r="P232">
        <f t="shared" si="168"/>
        <v>1.5360433332138526</v>
      </c>
      <c r="Q232">
        <f t="shared" si="169"/>
        <v>25.418625427110555</v>
      </c>
      <c r="R232">
        <f t="shared" si="170"/>
        <v>1.5314449410129807</v>
      </c>
      <c r="S232">
        <f t="shared" si="171"/>
        <v>0.79372865066538323</v>
      </c>
      <c r="T232">
        <f t="shared" si="172"/>
        <v>-0.65388170688065705</v>
      </c>
      <c r="U232">
        <f t="shared" si="173"/>
        <v>0.8496048870571149</v>
      </c>
      <c r="V232">
        <f t="shared" si="174"/>
        <v>-0.55556062894088143</v>
      </c>
      <c r="X232">
        <f t="shared" si="192"/>
        <v>-9.8276187226984764</v>
      </c>
      <c r="Y232">
        <f t="shared" si="175"/>
        <v>-123.15362622385133</v>
      </c>
      <c r="Z232">
        <f t="shared" si="193"/>
        <v>56.846373776148667</v>
      </c>
      <c r="AC232">
        <v>1</v>
      </c>
      <c r="AD232">
        <f t="shared" si="176"/>
        <v>28.762914338927999</v>
      </c>
      <c r="AE232">
        <f t="shared" si="177"/>
        <v>-2.6837324003087478E-3</v>
      </c>
      <c r="AF232">
        <f t="shared" si="178"/>
        <v>4.3231456456650002E-3</v>
      </c>
      <c r="AG232">
        <f t="shared" si="194"/>
        <v>4698.8451452296376</v>
      </c>
      <c r="AH232">
        <f t="shared" si="195"/>
        <v>-3148.2730575903693</v>
      </c>
      <c r="AJ232">
        <f t="shared" si="179"/>
        <v>18000</v>
      </c>
      <c r="AK232">
        <f t="shared" si="180"/>
        <v>13794.255804067201</v>
      </c>
      <c r="AL232">
        <v>1</v>
      </c>
      <c r="AM232">
        <f t="shared" si="181"/>
        <v>25.398947194790399</v>
      </c>
      <c r="AN232">
        <f t="shared" si="196"/>
        <v>570.12205286980554</v>
      </c>
      <c r="AO232">
        <f t="shared" si="197"/>
        <v>-686.24411135849186</v>
      </c>
      <c r="AQ232">
        <f t="shared" si="182"/>
        <v>0.25506950644050502</v>
      </c>
      <c r="AR232">
        <f t="shared" si="183"/>
        <v>-50.503762275219998</v>
      </c>
      <c r="AT232">
        <f t="shared" si="209"/>
        <v>-157801.10196598992</v>
      </c>
      <c r="AU232">
        <f t="shared" si="210"/>
        <v>-238112.38663768873</v>
      </c>
      <c r="AV232">
        <f t="shared" si="198"/>
        <v>-2.1560594872077492</v>
      </c>
      <c r="AW232">
        <f t="shared" si="199"/>
        <v>-29088.712139606603</v>
      </c>
      <c r="AX232">
        <f t="shared" si="200"/>
        <v>-34301.730689759497</v>
      </c>
      <c r="AY232">
        <f t="shared" si="208"/>
        <v>-2.2741424627873612</v>
      </c>
      <c r="BA232">
        <f t="shared" si="184"/>
        <v>6.3513965353645396</v>
      </c>
      <c r="BB232">
        <f t="shared" si="201"/>
        <v>16.057384555977251</v>
      </c>
      <c r="BC232">
        <f t="shared" si="202"/>
        <v>0.118082975579612</v>
      </c>
      <c r="BD232">
        <f t="shared" si="185"/>
        <v>-173.23434385921098</v>
      </c>
      <c r="BF232">
        <f t="shared" si="186"/>
        <v>-9.8115132227114241</v>
      </c>
      <c r="BG232">
        <f t="shared" si="187"/>
        <v>-132.84616061675644</v>
      </c>
      <c r="BH232">
        <f t="shared" si="203"/>
        <v>47.153839383243564</v>
      </c>
      <c r="BI232">
        <f t="shared" si="204"/>
        <v>47.153839383243564</v>
      </c>
      <c r="BJ232">
        <f t="shared" si="188"/>
        <v>0</v>
      </c>
      <c r="BK232">
        <f t="shared" si="205"/>
        <v>0</v>
      </c>
      <c r="BM232">
        <f t="shared" si="206"/>
        <v>-25.868897778688677</v>
      </c>
      <c r="BN232">
        <f t="shared" si="189"/>
        <v>-139.61181675754545</v>
      </c>
      <c r="BQ232" s="56">
        <f t="shared" si="207"/>
        <v>32.959345356262389</v>
      </c>
      <c r="BR232" s="59"/>
      <c r="BS232" s="59"/>
      <c r="BT232" s="59">
        <v>16595.868999999999</v>
      </c>
      <c r="BU232" s="59">
        <v>-3.91065</v>
      </c>
      <c r="BV232" s="59">
        <v>-184.43100000000001</v>
      </c>
      <c r="BW232" s="61"/>
      <c r="BY232" s="59"/>
      <c r="BZ232" s="59"/>
      <c r="CA232" s="59"/>
      <c r="CC232" s="59"/>
    </row>
    <row r="233" spans="1:81" x14ac:dyDescent="0.25">
      <c r="A233">
        <f t="shared" si="190"/>
        <v>99500</v>
      </c>
      <c r="B233">
        <f t="shared" si="191"/>
        <v>99.5</v>
      </c>
      <c r="C233">
        <f t="shared" si="159"/>
        <v>1.2965378606493962</v>
      </c>
      <c r="D233">
        <f t="shared" si="160"/>
        <v>0.68993899930471492</v>
      </c>
      <c r="F233">
        <f t="shared" si="161"/>
        <v>2.5952294482111784E-3</v>
      </c>
      <c r="G233">
        <f t="shared" si="162"/>
        <v>1.7351636375229799E-2</v>
      </c>
      <c r="H233">
        <f t="shared" si="163"/>
        <v>-3.1242410136247702</v>
      </c>
      <c r="J233">
        <f t="shared" si="164"/>
        <v>15</v>
      </c>
      <c r="M233">
        <f t="shared" si="165"/>
        <v>1.2786148429899809E-2</v>
      </c>
      <c r="N233">
        <f t="shared" si="166"/>
        <v>-1.5707963250000001</v>
      </c>
      <c r="O233">
        <f t="shared" si="167"/>
        <v>28.925472553432911</v>
      </c>
      <c r="P233">
        <f t="shared" si="168"/>
        <v>1.536217831848165</v>
      </c>
      <c r="Q233">
        <f t="shared" si="169"/>
        <v>25.546804128584171</v>
      </c>
      <c r="R233">
        <f t="shared" si="170"/>
        <v>1.5316424841236289</v>
      </c>
      <c r="S233">
        <f t="shared" si="171"/>
        <v>0.79224586105170014</v>
      </c>
      <c r="T233">
        <f t="shared" si="172"/>
        <v>-0.65631555259882257</v>
      </c>
      <c r="U233">
        <f t="shared" si="173"/>
        <v>0.84841077941621068</v>
      </c>
      <c r="V233">
        <f t="shared" si="174"/>
        <v>-0.55782057306405286</v>
      </c>
      <c r="X233">
        <f t="shared" si="192"/>
        <v>-9.8824967555631744</v>
      </c>
      <c r="Y233">
        <f t="shared" si="175"/>
        <v>-123.26465903273758</v>
      </c>
      <c r="Z233">
        <f t="shared" si="193"/>
        <v>56.735340967262417</v>
      </c>
      <c r="AC233">
        <v>1</v>
      </c>
      <c r="AD233">
        <f t="shared" si="176"/>
        <v>28.908181583064003</v>
      </c>
      <c r="AE233">
        <f t="shared" si="177"/>
        <v>-2.7109092639686443E-3</v>
      </c>
      <c r="AF233">
        <f t="shared" si="178"/>
        <v>4.3449797145824996E-3</v>
      </c>
      <c r="AG233">
        <f t="shared" si="194"/>
        <v>4685.6461066233305</v>
      </c>
      <c r="AH233">
        <f t="shared" si="195"/>
        <v>-3153.607689383753</v>
      </c>
      <c r="AJ233">
        <f t="shared" si="179"/>
        <v>18000</v>
      </c>
      <c r="AK233">
        <f t="shared" si="180"/>
        <v>13863.923762673599</v>
      </c>
      <c r="AL233">
        <v>1</v>
      </c>
      <c r="AM233">
        <f t="shared" si="181"/>
        <v>25.527224705875199</v>
      </c>
      <c r="AN233">
        <f t="shared" si="196"/>
        <v>569.85160640066931</v>
      </c>
      <c r="AO233">
        <f t="shared" si="197"/>
        <v>-682.80624292023833</v>
      </c>
      <c r="AQ233">
        <f t="shared" si="182"/>
        <v>0.25251249936871878</v>
      </c>
      <c r="AR233">
        <f t="shared" si="183"/>
        <v>-50.249987374375031</v>
      </c>
      <c r="AT233">
        <f t="shared" si="209"/>
        <v>-157285.56236572482</v>
      </c>
      <c r="AU233">
        <f t="shared" si="210"/>
        <v>-236249.98305828657</v>
      </c>
      <c r="AV233">
        <f t="shared" si="198"/>
        <v>-2.1581703114748683</v>
      </c>
      <c r="AW233">
        <f t="shared" si="199"/>
        <v>-28757.284542081543</v>
      </c>
      <c r="AX233">
        <f t="shared" si="200"/>
        <v>-34135.870565489422</v>
      </c>
      <c r="AY233">
        <f t="shared" si="208"/>
        <v>-2.2708826461559468</v>
      </c>
      <c r="BA233">
        <f t="shared" si="184"/>
        <v>6.3587185227444003</v>
      </c>
      <c r="BB233">
        <f t="shared" si="201"/>
        <v>16.067392015556855</v>
      </c>
      <c r="BC233">
        <f t="shared" si="202"/>
        <v>0.11271233468107855</v>
      </c>
      <c r="BD233">
        <f t="shared" si="185"/>
        <v>-173.5420589163289</v>
      </c>
      <c r="BF233">
        <f t="shared" si="186"/>
        <v>-9.8715635274111264</v>
      </c>
      <c r="BG233">
        <f t="shared" si="187"/>
        <v>-133.01729055643662</v>
      </c>
      <c r="BH233">
        <f t="shared" si="203"/>
        <v>46.98270944356338</v>
      </c>
      <c r="BI233">
        <f t="shared" si="204"/>
        <v>46.98270944356338</v>
      </c>
      <c r="BJ233">
        <f t="shared" si="188"/>
        <v>0</v>
      </c>
      <c r="BK233">
        <f t="shared" si="205"/>
        <v>0</v>
      </c>
      <c r="BM233">
        <f t="shared" si="206"/>
        <v>-25.938955542967982</v>
      </c>
      <c r="BN233">
        <f t="shared" si="189"/>
        <v>-139.47523164010775</v>
      </c>
      <c r="BQ233" s="56">
        <f t="shared" si="207"/>
        <v>32.969352815841987</v>
      </c>
      <c r="BR233" s="59"/>
      <c r="BS233" s="59"/>
      <c r="BT233" s="59">
        <v>16982.437000000002</v>
      </c>
      <c r="BU233" s="59">
        <v>-3.9488799999999999</v>
      </c>
      <c r="BV233" s="59">
        <v>-182.72200000000001</v>
      </c>
      <c r="BW233" s="61"/>
      <c r="BY233" s="59"/>
      <c r="BZ233" s="59"/>
      <c r="CA233" s="59"/>
      <c r="CC233" s="59"/>
    </row>
    <row r="234" spans="1:81" x14ac:dyDescent="0.25">
      <c r="A234">
        <f t="shared" si="190"/>
        <v>100000</v>
      </c>
      <c r="B234">
        <f t="shared" si="191"/>
        <v>100</v>
      </c>
      <c r="C234">
        <f t="shared" si="159"/>
        <v>1.2991812601659198</v>
      </c>
      <c r="D234">
        <f t="shared" si="160"/>
        <v>0.69240089297259233</v>
      </c>
      <c r="F234">
        <f t="shared" si="161"/>
        <v>2.5692789989145417E-3</v>
      </c>
      <c r="G234">
        <f t="shared" si="162"/>
        <v>1.7264445936704016E-2</v>
      </c>
      <c r="H234">
        <f t="shared" si="163"/>
        <v>-3.1243282040632963</v>
      </c>
      <c r="J234">
        <f t="shared" si="164"/>
        <v>15</v>
      </c>
      <c r="M234">
        <f t="shared" si="165"/>
        <v>1.2722217687750309E-2</v>
      </c>
      <c r="N234">
        <f t="shared" si="166"/>
        <v>-1.5707963250000001</v>
      </c>
      <c r="O234">
        <f t="shared" si="167"/>
        <v>29.070653394011096</v>
      </c>
      <c r="P234">
        <f t="shared" si="168"/>
        <v>1.5363905875713537</v>
      </c>
      <c r="Q234">
        <f t="shared" si="169"/>
        <v>25.674983817023907</v>
      </c>
      <c r="R234">
        <f t="shared" si="170"/>
        <v>1.5318380548149448</v>
      </c>
      <c r="S234">
        <f t="shared" si="171"/>
        <v>0.79076394321332777</v>
      </c>
      <c r="T234">
        <f t="shared" si="172"/>
        <v>-0.65874030748386825</v>
      </c>
      <c r="U234">
        <f t="shared" si="173"/>
        <v>0.84721571485688074</v>
      </c>
      <c r="V234">
        <f t="shared" si="174"/>
        <v>-0.56007416199211058</v>
      </c>
      <c r="X234">
        <f t="shared" si="192"/>
        <v>-9.9371814217580159</v>
      </c>
      <c r="Y234">
        <f t="shared" si="175"/>
        <v>-123.37554436679407</v>
      </c>
      <c r="Z234">
        <f t="shared" si="193"/>
        <v>56.624455633205926</v>
      </c>
      <c r="AC234">
        <v>1</v>
      </c>
      <c r="AD234">
        <f t="shared" si="176"/>
        <v>29.0534488272</v>
      </c>
      <c r="AE234">
        <f t="shared" si="177"/>
        <v>-2.7382230387804794E-3</v>
      </c>
      <c r="AF234">
        <f t="shared" si="178"/>
        <v>4.3668137834999999E-3</v>
      </c>
      <c r="AG234">
        <f t="shared" si="194"/>
        <v>4672.4550771720569</v>
      </c>
      <c r="AH234">
        <f t="shared" si="195"/>
        <v>-3158.8762021638763</v>
      </c>
      <c r="AJ234">
        <f t="shared" si="179"/>
        <v>18000</v>
      </c>
      <c r="AK234">
        <f t="shared" si="180"/>
        <v>13933.59172128</v>
      </c>
      <c r="AL234">
        <v>1</v>
      </c>
      <c r="AM234">
        <f t="shared" si="181"/>
        <v>25.655502216959999</v>
      </c>
      <c r="AN234">
        <f t="shared" si="196"/>
        <v>569.5851982729755</v>
      </c>
      <c r="AO234">
        <f t="shared" si="197"/>
        <v>-679.40259575992093</v>
      </c>
      <c r="AQ234">
        <f t="shared" si="182"/>
        <v>0.24999375015624609</v>
      </c>
      <c r="AR234">
        <f t="shared" si="183"/>
        <v>-49.998750031249216</v>
      </c>
      <c r="AT234">
        <f t="shared" si="209"/>
        <v>-156771.7770444747</v>
      </c>
      <c r="AU234">
        <f t="shared" si="210"/>
        <v>-234406.61274382522</v>
      </c>
      <c r="AV234">
        <f t="shared" si="198"/>
        <v>-2.1602762696765918</v>
      </c>
      <c r="AW234">
        <f t="shared" si="199"/>
        <v>-28430.999345752054</v>
      </c>
      <c r="AX234">
        <f t="shared" si="200"/>
        <v>-33971.88336693887</v>
      </c>
      <c r="AY234">
        <f t="shared" si="208"/>
        <v>-2.2676346230738167</v>
      </c>
      <c r="BA234">
        <f t="shared" si="184"/>
        <v>6.3658112960154956</v>
      </c>
      <c r="BB234">
        <f t="shared" si="201"/>
        <v>16.0770752106326</v>
      </c>
      <c r="BC234">
        <f t="shared" si="202"/>
        <v>0.10735835339722488</v>
      </c>
      <c r="BD234">
        <f t="shared" si="185"/>
        <v>-173.84881944783629</v>
      </c>
      <c r="BF234">
        <f t="shared" si="186"/>
        <v>-9.9314793172783098</v>
      </c>
      <c r="BG234">
        <f t="shared" si="187"/>
        <v>-133.18799061515062</v>
      </c>
      <c r="BH234">
        <f t="shared" si="203"/>
        <v>46.812009384849375</v>
      </c>
      <c r="BI234">
        <f t="shared" si="204"/>
        <v>46.812009384849375</v>
      </c>
      <c r="BJ234">
        <f t="shared" si="188"/>
        <v>0</v>
      </c>
      <c r="BK234">
        <f t="shared" si="205"/>
        <v>0</v>
      </c>
      <c r="BM234">
        <f t="shared" si="206"/>
        <v>-26.008554527910906</v>
      </c>
      <c r="BN234">
        <f t="shared" si="189"/>
        <v>-139.33917116731433</v>
      </c>
      <c r="BQ234" s="56">
        <f t="shared" si="207"/>
        <v>32.979036010917739</v>
      </c>
      <c r="BR234" s="59"/>
      <c r="BS234" s="59"/>
      <c r="BT234" s="59">
        <v>17378.008000000002</v>
      </c>
      <c r="BU234" s="59">
        <v>-3.8028900000000001</v>
      </c>
      <c r="BV234" s="59">
        <v>-181.726</v>
      </c>
      <c r="BW234" s="61"/>
      <c r="BY234" s="59"/>
      <c r="BZ234" s="59"/>
      <c r="CA234" s="59"/>
      <c r="CC234" s="59"/>
    </row>
    <row r="235" spans="1:81" x14ac:dyDescent="0.25">
      <c r="A235">
        <f>A234+5000</f>
        <v>105000</v>
      </c>
      <c r="B235">
        <f t="shared" si="191"/>
        <v>105</v>
      </c>
      <c r="C235">
        <f t="shared" si="159"/>
        <v>1.3260387706661725</v>
      </c>
      <c r="D235">
        <f t="shared" si="160"/>
        <v>0.71647442326969213</v>
      </c>
      <c r="F235">
        <f t="shared" si="161"/>
        <v>2.3298843378374277E-3</v>
      </c>
      <c r="G235">
        <f t="shared" si="162"/>
        <v>1.643853173247985E-2</v>
      </c>
      <c r="H235">
        <f t="shared" si="163"/>
        <v>-3.1251541182675204</v>
      </c>
      <c r="J235">
        <f t="shared" si="164"/>
        <v>15</v>
      </c>
      <c r="M235">
        <f t="shared" si="165"/>
        <v>1.2116397797857439E-2</v>
      </c>
      <c r="N235">
        <f t="shared" si="166"/>
        <v>-1.5707963250000001</v>
      </c>
      <c r="O235">
        <f t="shared" si="167"/>
        <v>30.522507021083452</v>
      </c>
      <c r="P235">
        <f t="shared" si="168"/>
        <v>1.5380277542475755</v>
      </c>
      <c r="Q235">
        <f t="shared" si="169"/>
        <v>26.956831887109704</v>
      </c>
      <c r="R235">
        <f t="shared" si="170"/>
        <v>1.5336914658514704</v>
      </c>
      <c r="S235">
        <f t="shared" si="171"/>
        <v>0.77600276788642175</v>
      </c>
      <c r="T235">
        <f t="shared" si="172"/>
        <v>-0.6824929288987952</v>
      </c>
      <c r="U235">
        <f t="shared" si="173"/>
        <v>0.83522115378162787</v>
      </c>
      <c r="V235">
        <f t="shared" si="174"/>
        <v>-0.5822615037514477</v>
      </c>
      <c r="X235">
        <f t="shared" si="192"/>
        <v>-10.473816507979022</v>
      </c>
      <c r="Y235">
        <f t="shared" si="175"/>
        <v>-124.4757247120579</v>
      </c>
      <c r="Z235">
        <f t="shared" si="193"/>
        <v>55.524275287942103</v>
      </c>
      <c r="AC235">
        <v>1</v>
      </c>
      <c r="AD235">
        <f t="shared" si="176"/>
        <v>30.506121268560001</v>
      </c>
      <c r="AE235">
        <f t="shared" si="177"/>
        <v>-3.0188909002554793E-3</v>
      </c>
      <c r="AF235">
        <f t="shared" si="178"/>
        <v>4.585154472675E-3</v>
      </c>
      <c r="AG235">
        <f t="shared" si="194"/>
        <v>4541.0898969566251</v>
      </c>
      <c r="AH235">
        <f t="shared" si="195"/>
        <v>-3207.9737018288761</v>
      </c>
      <c r="AJ235">
        <f t="shared" si="179"/>
        <v>18000</v>
      </c>
      <c r="AK235">
        <f t="shared" si="180"/>
        <v>14630.271307343999</v>
      </c>
      <c r="AL235">
        <v>1</v>
      </c>
      <c r="AM235">
        <f t="shared" si="181"/>
        <v>26.938277327807999</v>
      </c>
      <c r="AN235">
        <f t="shared" si="196"/>
        <v>567.1265642490157</v>
      </c>
      <c r="AO235">
        <f t="shared" si="197"/>
        <v>-647.14136036290927</v>
      </c>
      <c r="AQ235">
        <f t="shared" si="182"/>
        <v>0.22675222784063853</v>
      </c>
      <c r="AR235">
        <f t="shared" si="183"/>
        <v>-47.617967846534093</v>
      </c>
      <c r="AT235">
        <f t="shared" si="209"/>
        <v>-151727.48633525483</v>
      </c>
      <c r="AU235">
        <f t="shared" si="210"/>
        <v>-216964.88788524526</v>
      </c>
      <c r="AV235">
        <f t="shared" si="198"/>
        <v>-2.1810645343245043</v>
      </c>
      <c r="AW235">
        <f t="shared" si="199"/>
        <v>-25429.628298964493</v>
      </c>
      <c r="AX235">
        <f t="shared" si="200"/>
        <v>-32428.078159249555</v>
      </c>
      <c r="AY235">
        <f t="shared" si="208"/>
        <v>-2.2358196116308662</v>
      </c>
      <c r="BA235">
        <f t="shared" si="184"/>
        <v>6.424556686540849</v>
      </c>
      <c r="BB235">
        <f t="shared" si="201"/>
        <v>16.156863308606933</v>
      </c>
      <c r="BC235">
        <f t="shared" si="202"/>
        <v>5.4755077306361866E-2</v>
      </c>
      <c r="BD235">
        <f t="shared" si="185"/>
        <v>-176.8627651598481</v>
      </c>
      <c r="BF235">
        <f t="shared" si="186"/>
        <v>-10.523499828845047</v>
      </c>
      <c r="BG235">
        <f t="shared" si="187"/>
        <v>-134.86994603977823</v>
      </c>
      <c r="BH235">
        <f t="shared" si="203"/>
        <v>45.130053960221773</v>
      </c>
      <c r="BI235">
        <f t="shared" si="204"/>
        <v>45.130053960221773</v>
      </c>
      <c r="BJ235">
        <f t="shared" si="188"/>
        <v>0</v>
      </c>
      <c r="BK235">
        <f t="shared" si="205"/>
        <v>0</v>
      </c>
      <c r="BM235">
        <f t="shared" si="206"/>
        <v>-26.680363137451977</v>
      </c>
      <c r="BN235">
        <f t="shared" si="189"/>
        <v>-138.00718087993013</v>
      </c>
      <c r="BQ235" s="56">
        <f t="shared" si="207"/>
        <v>33.058824108892068</v>
      </c>
      <c r="BR235" s="59"/>
      <c r="BS235" s="59"/>
      <c r="BT235" s="59">
        <v>17782.794000000002</v>
      </c>
      <c r="BU235" s="59">
        <v>-3.8474200000000001</v>
      </c>
      <c r="BV235" s="59">
        <v>-180.351</v>
      </c>
      <c r="BW235" s="61"/>
      <c r="BY235" s="59"/>
      <c r="BZ235" s="59"/>
      <c r="CA235" s="59"/>
      <c r="CC235" s="59"/>
    </row>
    <row r="236" spans="1:81" x14ac:dyDescent="0.25">
      <c r="A236">
        <f t="shared" ref="A236:A299" si="211">A235+5000</f>
        <v>110000</v>
      </c>
      <c r="B236">
        <f t="shared" si="191"/>
        <v>110</v>
      </c>
      <c r="C236">
        <f t="shared" si="159"/>
        <v>1.353634018332589</v>
      </c>
      <c r="D236">
        <f t="shared" si="160"/>
        <v>0.7395793695090408</v>
      </c>
      <c r="F236">
        <f t="shared" si="161"/>
        <v>2.1224740878583383E-3</v>
      </c>
      <c r="G236">
        <f t="shared" si="162"/>
        <v>1.568818494414824E-2</v>
      </c>
      <c r="H236">
        <f t="shared" si="163"/>
        <v>-3.1259044650558518</v>
      </c>
      <c r="J236">
        <f t="shared" si="164"/>
        <v>15</v>
      </c>
      <c r="M236">
        <f t="shared" si="165"/>
        <v>1.1565652443409373E-2</v>
      </c>
      <c r="N236">
        <f t="shared" si="166"/>
        <v>-1.5707963250000001</v>
      </c>
      <c r="O236">
        <f t="shared" si="167"/>
        <v>31.974435028522741</v>
      </c>
      <c r="P236">
        <f t="shared" si="168"/>
        <v>1.5395162403229012</v>
      </c>
      <c r="Q236">
        <f t="shared" si="169"/>
        <v>28.238764150461186</v>
      </c>
      <c r="R236">
        <f t="shared" si="170"/>
        <v>1.5353766066527157</v>
      </c>
      <c r="S236">
        <f t="shared" si="171"/>
        <v>0.76137648203284947</v>
      </c>
      <c r="T236">
        <f t="shared" si="172"/>
        <v>-0.70536266570915584</v>
      </c>
      <c r="U236">
        <f t="shared" si="173"/>
        <v>0.82317317089350017</v>
      </c>
      <c r="V236">
        <f t="shared" si="174"/>
        <v>-0.60381910743039047</v>
      </c>
      <c r="X236">
        <f t="shared" si="192"/>
        <v>-10.993114315409731</v>
      </c>
      <c r="Y236">
        <f t="shared" si="175"/>
        <v>-125.55856419129749</v>
      </c>
      <c r="Z236">
        <f t="shared" si="193"/>
        <v>54.441435808702508</v>
      </c>
      <c r="AC236">
        <v>1</v>
      </c>
      <c r="AD236">
        <f t="shared" si="176"/>
        <v>31.958793709919998</v>
      </c>
      <c r="AE236">
        <f t="shared" si="177"/>
        <v>-3.3132498769243802E-3</v>
      </c>
      <c r="AF236">
        <f t="shared" si="178"/>
        <v>4.8034951618499992E-3</v>
      </c>
      <c r="AG236">
        <f t="shared" si="194"/>
        <v>4411.0252477923577</v>
      </c>
      <c r="AH236">
        <f t="shared" si="195"/>
        <v>-3250.7223039118317</v>
      </c>
      <c r="AJ236">
        <f t="shared" si="179"/>
        <v>18000</v>
      </c>
      <c r="AK236">
        <f t="shared" si="180"/>
        <v>15326.950893407999</v>
      </c>
      <c r="AL236">
        <v>1</v>
      </c>
      <c r="AM236">
        <f t="shared" si="181"/>
        <v>28.221052438655999</v>
      </c>
      <c r="AN236">
        <f t="shared" si="196"/>
        <v>564.99495561408992</v>
      </c>
      <c r="AO236">
        <f t="shared" si="197"/>
        <v>-617.80137655334863</v>
      </c>
      <c r="AQ236">
        <f t="shared" si="182"/>
        <v>0.20660730150203507</v>
      </c>
      <c r="AR236">
        <f t="shared" si="183"/>
        <v>-45.45360633044772</v>
      </c>
      <c r="AT236">
        <f t="shared" si="209"/>
        <v>-146845.70186831069</v>
      </c>
      <c r="AU236">
        <f t="shared" si="210"/>
        <v>-201168.62808996314</v>
      </c>
      <c r="AV236">
        <f t="shared" si="198"/>
        <v>-2.2013500974562232</v>
      </c>
      <c r="AW236">
        <f t="shared" si="199"/>
        <v>-22844.048475817814</v>
      </c>
      <c r="AX236">
        <f t="shared" si="200"/>
        <v>-31039.422194675557</v>
      </c>
      <c r="AY236">
        <f t="shared" si="208"/>
        <v>-2.2052568692981165</v>
      </c>
      <c r="BA236">
        <f t="shared" si="184"/>
        <v>6.4625365908904717</v>
      </c>
      <c r="BB236">
        <f t="shared" si="201"/>
        <v>16.208060301697486</v>
      </c>
      <c r="BC236">
        <f t="shared" si="202"/>
        <v>3.9067718418932529E-3</v>
      </c>
      <c r="BD236">
        <f t="shared" si="185"/>
        <v>-179.7761584616832</v>
      </c>
      <c r="BF236">
        <f t="shared" si="186"/>
        <v>-11.10324137682891</v>
      </c>
      <c r="BG236">
        <f t="shared" si="187"/>
        <v>-136.50251513890103</v>
      </c>
      <c r="BH236">
        <f t="shared" si="203"/>
        <v>43.497484861098968</v>
      </c>
      <c r="BI236">
        <f t="shared" si="204"/>
        <v>43.497484861098968</v>
      </c>
      <c r="BJ236">
        <f t="shared" si="188"/>
        <v>0</v>
      </c>
      <c r="BK236">
        <f t="shared" si="205"/>
        <v>0</v>
      </c>
      <c r="BM236">
        <f t="shared" si="206"/>
        <v>-27.311301678526398</v>
      </c>
      <c r="BN236">
        <f t="shared" si="189"/>
        <v>-136.72635667721784</v>
      </c>
      <c r="BQ236" s="56">
        <f t="shared" si="207"/>
        <v>33.110021101982625</v>
      </c>
      <c r="BR236" s="59"/>
      <c r="BS236" s="59"/>
      <c r="BT236" s="59">
        <v>18197.008999999998</v>
      </c>
      <c r="BU236" s="59">
        <v>-3.8303199999999999</v>
      </c>
      <c r="BV236" s="59">
        <v>-179.43</v>
      </c>
      <c r="BY236" s="59"/>
      <c r="BZ236" s="59"/>
      <c r="CA236" s="59"/>
      <c r="CC236" s="59"/>
    </row>
    <row r="237" spans="1:81" x14ac:dyDescent="0.25">
      <c r="A237">
        <f t="shared" si="211"/>
        <v>115000</v>
      </c>
      <c r="B237">
        <f t="shared" si="191"/>
        <v>115</v>
      </c>
      <c r="C237">
        <f t="shared" si="159"/>
        <v>1.3819228088422457</v>
      </c>
      <c r="D237">
        <f t="shared" si="160"/>
        <v>0.76174981076317039</v>
      </c>
      <c r="F237">
        <f t="shared" si="161"/>
        <v>1.9415911072984226E-3</v>
      </c>
      <c r="G237">
        <f t="shared" si="162"/>
        <v>1.5003469918350883E-2</v>
      </c>
      <c r="H237">
        <f t="shared" si="163"/>
        <v>-3.1265891800816492</v>
      </c>
      <c r="J237">
        <f t="shared" si="164"/>
        <v>15</v>
      </c>
      <c r="M237">
        <f t="shared" si="165"/>
        <v>1.1062797989348096E-2</v>
      </c>
      <c r="N237">
        <f t="shared" si="166"/>
        <v>-1.5707963250000001</v>
      </c>
      <c r="O237">
        <f t="shared" si="167"/>
        <v>33.426427723855397</v>
      </c>
      <c r="P237">
        <f t="shared" si="168"/>
        <v>1.5408754140961782</v>
      </c>
      <c r="Q237">
        <f t="shared" si="169"/>
        <v>29.520769638863946</v>
      </c>
      <c r="R237">
        <f t="shared" si="170"/>
        <v>1.5369153894916667</v>
      </c>
      <c r="S237">
        <f t="shared" si="171"/>
        <v>0.74692221781933577</v>
      </c>
      <c r="T237">
        <f t="shared" si="172"/>
        <v>-0.7273752225106187</v>
      </c>
      <c r="U237">
        <f t="shared" si="173"/>
        <v>0.81110690357527171</v>
      </c>
      <c r="V237">
        <f t="shared" si="174"/>
        <v>-0.62475421425880928</v>
      </c>
      <c r="X237">
        <f t="shared" si="192"/>
        <v>-11.496621636311362</v>
      </c>
      <c r="Y237">
        <f t="shared" si="175"/>
        <v>-126.62220194270286</v>
      </c>
      <c r="Z237">
        <f t="shared" si="193"/>
        <v>53.377798057297142</v>
      </c>
      <c r="AC237">
        <v>1</v>
      </c>
      <c r="AD237">
        <f t="shared" si="176"/>
        <v>33.411466151280003</v>
      </c>
      <c r="AE237">
        <f t="shared" si="177"/>
        <v>-3.6212999687871847E-3</v>
      </c>
      <c r="AF237">
        <f t="shared" si="178"/>
        <v>5.0218358510250001E-3</v>
      </c>
      <c r="AG237">
        <f t="shared" si="194"/>
        <v>4282.6573121334068</v>
      </c>
      <c r="AH237">
        <f t="shared" si="195"/>
        <v>-3287.4007196761181</v>
      </c>
      <c r="AJ237">
        <f t="shared" si="179"/>
        <v>18000</v>
      </c>
      <c r="AK237">
        <f t="shared" si="180"/>
        <v>16023.630479472</v>
      </c>
      <c r="AL237">
        <v>1</v>
      </c>
      <c r="AM237">
        <f t="shared" si="181"/>
        <v>29.503827549503999</v>
      </c>
      <c r="AN237">
        <f t="shared" si="196"/>
        <v>563.13486595727989</v>
      </c>
      <c r="AO237">
        <f t="shared" si="197"/>
        <v>-591.003492844638</v>
      </c>
      <c r="AQ237">
        <f t="shared" si="182"/>
        <v>0.18903234343396155</v>
      </c>
      <c r="AR237">
        <f t="shared" si="183"/>
        <v>-43.477438989811155</v>
      </c>
      <c r="AT237">
        <f t="shared" si="209"/>
        <v>-142118.20347694252</v>
      </c>
      <c r="AU237">
        <f t="shared" si="210"/>
        <v>-186820.39706439571</v>
      </c>
      <c r="AV237">
        <f t="shared" si="198"/>
        <v>-2.2211236550616666</v>
      </c>
      <c r="AW237">
        <f t="shared" si="199"/>
        <v>-20603.07209659103</v>
      </c>
      <c r="AX237">
        <f t="shared" si="200"/>
        <v>-29782.392834411014</v>
      </c>
      <c r="AY237">
        <f t="shared" si="208"/>
        <v>-2.1759889144589515</v>
      </c>
      <c r="BA237">
        <f t="shared" si="184"/>
        <v>6.4817636024872902</v>
      </c>
      <c r="BB237">
        <f t="shared" si="201"/>
        <v>16.233863755128823</v>
      </c>
      <c r="BC237">
        <f t="shared" si="202"/>
        <v>-4.5134740602715162E-2</v>
      </c>
      <c r="BD237">
        <f t="shared" si="185"/>
        <v>-182.58603014890829</v>
      </c>
      <c r="BF237">
        <f t="shared" si="186"/>
        <v>-11.671479879831297</v>
      </c>
      <c r="BG237">
        <f t="shared" si="187"/>
        <v>-138.08134539206247</v>
      </c>
      <c r="BH237">
        <f t="shared" si="203"/>
        <v>41.918654607937526</v>
      </c>
      <c r="BI237">
        <f t="shared" si="204"/>
        <v>41.918654607937526</v>
      </c>
      <c r="BJ237">
        <f t="shared" si="188"/>
        <v>0</v>
      </c>
      <c r="BK237">
        <f t="shared" si="205"/>
        <v>0</v>
      </c>
      <c r="BM237">
        <f t="shared" si="206"/>
        <v>-27.905343634960118</v>
      </c>
      <c r="BN237">
        <f t="shared" si="189"/>
        <v>-135.49531524315418</v>
      </c>
      <c r="BQ237" s="56">
        <f t="shared" si="207"/>
        <v>33.135824555413961</v>
      </c>
      <c r="BR237" s="59"/>
      <c r="BS237" s="59"/>
      <c r="BT237" s="59">
        <v>18620.870999999999</v>
      </c>
      <c r="BU237" s="59">
        <v>-3.77474</v>
      </c>
      <c r="BV237" s="59">
        <v>-178.09100000000001</v>
      </c>
      <c r="BY237" s="59"/>
      <c r="BZ237" s="59"/>
      <c r="CA237" s="59"/>
      <c r="CC237" s="59"/>
    </row>
    <row r="238" spans="1:81" x14ac:dyDescent="0.25">
      <c r="A238">
        <f t="shared" si="211"/>
        <v>120000</v>
      </c>
      <c r="B238">
        <f t="shared" si="191"/>
        <v>120</v>
      </c>
      <c r="C238">
        <f t="shared" si="159"/>
        <v>1.4108634247663672</v>
      </c>
      <c r="D238">
        <f t="shared" si="160"/>
        <v>0.78302080518755224</v>
      </c>
      <c r="F238">
        <f t="shared" si="161"/>
        <v>1.7828949455840652E-3</v>
      </c>
      <c r="G238">
        <f t="shared" si="162"/>
        <v>1.4376122441603165E-2</v>
      </c>
      <c r="H238">
        <f t="shared" si="163"/>
        <v>-3.1272165275583972</v>
      </c>
      <c r="J238">
        <f t="shared" si="164"/>
        <v>15</v>
      </c>
      <c r="M238">
        <f t="shared" si="165"/>
        <v>1.060184807312526E-2</v>
      </c>
      <c r="N238">
        <f t="shared" si="166"/>
        <v>-1.5707963250000001</v>
      </c>
      <c r="O238">
        <f t="shared" si="167"/>
        <v>34.878477028201928</v>
      </c>
      <c r="P238">
        <f t="shared" si="168"/>
        <v>1.5421214206616469</v>
      </c>
      <c r="Q238">
        <f t="shared" si="169"/>
        <v>30.802839209501336</v>
      </c>
      <c r="R238">
        <f t="shared" si="170"/>
        <v>1.5383260816241766</v>
      </c>
      <c r="S238">
        <f t="shared" si="171"/>
        <v>0.73267120824235854</v>
      </c>
      <c r="T238">
        <f t="shared" si="172"/>
        <v>-0.7485577394279942</v>
      </c>
      <c r="U238">
        <f t="shared" si="173"/>
        <v>0.79905417210203533</v>
      </c>
      <c r="V238">
        <f t="shared" si="174"/>
        <v>-0.64507583609700547</v>
      </c>
      <c r="X238">
        <f t="shared" si="192"/>
        <v>-11.985656499081914</v>
      </c>
      <c r="Y238">
        <f t="shared" si="175"/>
        <v>-127.66520246022468</v>
      </c>
      <c r="Z238">
        <f t="shared" si="193"/>
        <v>52.334797539775323</v>
      </c>
      <c r="AC238">
        <v>1</v>
      </c>
      <c r="AD238">
        <f t="shared" si="176"/>
        <v>34.864138592640003</v>
      </c>
      <c r="AE238">
        <f t="shared" si="177"/>
        <v>-3.9430411758438902E-3</v>
      </c>
      <c r="AF238">
        <f t="shared" si="178"/>
        <v>5.2401765401999994E-3</v>
      </c>
      <c r="AG238">
        <f t="shared" si="194"/>
        <v>4156.3257304626504</v>
      </c>
      <c r="AH238">
        <f t="shared" si="195"/>
        <v>-3318.3163509926335</v>
      </c>
      <c r="AJ238">
        <f t="shared" si="179"/>
        <v>18000</v>
      </c>
      <c r="AK238">
        <f t="shared" si="180"/>
        <v>16720.310065535999</v>
      </c>
      <c r="AL238">
        <v>1</v>
      </c>
      <c r="AM238">
        <f t="shared" si="181"/>
        <v>30.786602660352003</v>
      </c>
      <c r="AN238">
        <f t="shared" si="196"/>
        <v>561.50208060107855</v>
      </c>
      <c r="AO238">
        <f t="shared" si="197"/>
        <v>-566.43138289035028</v>
      </c>
      <c r="AQ238">
        <f t="shared" si="182"/>
        <v>0.1736080970816479</v>
      </c>
      <c r="AR238">
        <f t="shared" si="183"/>
        <v>-41.66594329959549</v>
      </c>
      <c r="AT238">
        <f t="shared" si="209"/>
        <v>-137539.20912966254</v>
      </c>
      <c r="AU238">
        <f t="shared" si="210"/>
        <v>-173753.31880731735</v>
      </c>
      <c r="AV238">
        <f t="shared" si="198"/>
        <v>-2.240380426470888</v>
      </c>
      <c r="AW238">
        <f t="shared" si="199"/>
        <v>-18649.963471425021</v>
      </c>
      <c r="AX238">
        <f t="shared" si="200"/>
        <v>-28637.995461713734</v>
      </c>
      <c r="AY238">
        <f t="shared" si="208"/>
        <v>-2.148036758484591</v>
      </c>
      <c r="BA238">
        <f t="shared" si="184"/>
        <v>6.4842474521023359</v>
      </c>
      <c r="BB238">
        <f t="shared" si="201"/>
        <v>16.237191601111199</v>
      </c>
      <c r="BC238">
        <f t="shared" si="202"/>
        <v>-9.2343667986297007E-2</v>
      </c>
      <c r="BD238">
        <f t="shared" si="185"/>
        <v>-185.2909024464179</v>
      </c>
      <c r="BF238">
        <f t="shared" si="186"/>
        <v>-12.228768643067822</v>
      </c>
      <c r="BG238">
        <f t="shared" si="187"/>
        <v>-139.60342384436299</v>
      </c>
      <c r="BH238">
        <f t="shared" si="203"/>
        <v>40.396576155637007</v>
      </c>
      <c r="BI238">
        <f t="shared" si="204"/>
        <v>40.396576155637007</v>
      </c>
      <c r="BJ238">
        <f t="shared" si="188"/>
        <v>0</v>
      </c>
      <c r="BK238">
        <f t="shared" si="205"/>
        <v>0</v>
      </c>
      <c r="BM238">
        <f t="shared" si="206"/>
        <v>-28.465960244179023</v>
      </c>
      <c r="BN238">
        <f t="shared" si="189"/>
        <v>-134.31252139794509</v>
      </c>
      <c r="BQ238" s="56">
        <f t="shared" si="207"/>
        <v>33.139152401396338</v>
      </c>
      <c r="BR238" s="59"/>
      <c r="BS238" s="59"/>
      <c r="BT238" s="59">
        <v>19054.607</v>
      </c>
      <c r="BU238" s="59">
        <v>-3.7312500000000002</v>
      </c>
      <c r="BV238" s="59">
        <v>-176.916</v>
      </c>
      <c r="BY238" s="59"/>
      <c r="BZ238" s="59"/>
      <c r="CA238" s="59"/>
      <c r="CC238" s="59"/>
    </row>
    <row r="239" spans="1:81" x14ac:dyDescent="0.25">
      <c r="A239">
        <f t="shared" si="211"/>
        <v>125000</v>
      </c>
      <c r="B239">
        <f t="shared" si="191"/>
        <v>125</v>
      </c>
      <c r="C239">
        <f t="shared" si="159"/>
        <v>1.4404165775296935</v>
      </c>
      <c r="D239">
        <f t="shared" si="160"/>
        <v>0.80342788492801243</v>
      </c>
      <c r="F239">
        <f t="shared" si="161"/>
        <v>1.6428983195334508E-3</v>
      </c>
      <c r="G239">
        <f t="shared" si="162"/>
        <v>1.3799211941660311E-2</v>
      </c>
      <c r="H239">
        <f t="shared" si="163"/>
        <v>-3.1277934380583399</v>
      </c>
      <c r="J239">
        <f t="shared" si="164"/>
        <v>15</v>
      </c>
      <c r="M239">
        <f t="shared" si="165"/>
        <v>1.0177774150200249E-2</v>
      </c>
      <c r="N239">
        <f t="shared" si="166"/>
        <v>-1.5707963250000001</v>
      </c>
      <c r="O239">
        <f t="shared" si="167"/>
        <v>36.330576153967939</v>
      </c>
      <c r="P239">
        <f t="shared" si="168"/>
        <v>1.5432678254578018</v>
      </c>
      <c r="Q239">
        <f t="shared" si="169"/>
        <v>32.084965180469446</v>
      </c>
      <c r="R239">
        <f t="shared" si="170"/>
        <v>1.5396240327087856</v>
      </c>
      <c r="S239">
        <f t="shared" si="171"/>
        <v>0.71864932974500451</v>
      </c>
      <c r="T239">
        <f t="shared" si="172"/>
        <v>-0.76893833148391055</v>
      </c>
      <c r="U239">
        <f t="shared" si="173"/>
        <v>0.78704357932794333</v>
      </c>
      <c r="V239">
        <f t="shared" si="174"/>
        <v>-0.66479449162830362</v>
      </c>
      <c r="X239">
        <f t="shared" si="192"/>
        <v>-12.461349448561847</v>
      </c>
      <c r="Y239">
        <f t="shared" si="175"/>
        <v>-128.68648382968163</v>
      </c>
      <c r="Z239">
        <f t="shared" si="193"/>
        <v>51.313516170318366</v>
      </c>
      <c r="AC239">
        <v>1</v>
      </c>
      <c r="AD239">
        <f t="shared" si="176"/>
        <v>36.316811033999997</v>
      </c>
      <c r="AE239">
        <f t="shared" si="177"/>
        <v>-4.2784734980945002E-3</v>
      </c>
      <c r="AF239">
        <f t="shared" si="178"/>
        <v>5.4585172293750003E-3</v>
      </c>
      <c r="AG239">
        <f t="shared" si="194"/>
        <v>4032.3172115403936</v>
      </c>
      <c r="AH239">
        <f t="shared" si="195"/>
        <v>-3343.7949462286037</v>
      </c>
      <c r="AJ239">
        <f t="shared" si="179"/>
        <v>18000</v>
      </c>
      <c r="AK239">
        <f t="shared" si="180"/>
        <v>17416.989651599997</v>
      </c>
      <c r="AL239">
        <v>1</v>
      </c>
      <c r="AM239">
        <f t="shared" si="181"/>
        <v>32.069377771200003</v>
      </c>
      <c r="AN239">
        <f t="shared" si="196"/>
        <v>560.06102902139355</v>
      </c>
      <c r="AO239">
        <f t="shared" si="197"/>
        <v>-543.81906301408173</v>
      </c>
      <c r="AQ239">
        <f t="shared" si="182"/>
        <v>0.15999744004095934</v>
      </c>
      <c r="AR239">
        <f t="shared" si="183"/>
        <v>-39.999360010239833</v>
      </c>
      <c r="AT239">
        <f t="shared" si="209"/>
        <v>-133104.49742333891</v>
      </c>
      <c r="AU239">
        <f t="shared" si="210"/>
        <v>-161825.10645130908</v>
      </c>
      <c r="AV239">
        <f t="shared" si="198"/>
        <v>-2.2591193410934234</v>
      </c>
      <c r="AW239">
        <f t="shared" si="199"/>
        <v>-16939.061628741107</v>
      </c>
      <c r="AX239">
        <f t="shared" si="200"/>
        <v>-27590.7338173803</v>
      </c>
      <c r="AY239">
        <f t="shared" si="208"/>
        <v>-2.1214029938076231</v>
      </c>
      <c r="BA239">
        <f t="shared" si="184"/>
        <v>6.4719459184726027</v>
      </c>
      <c r="BB239">
        <f t="shared" si="201"/>
        <v>16.220697590480317</v>
      </c>
      <c r="BC239">
        <f t="shared" si="202"/>
        <v>-0.13771634728580029</v>
      </c>
      <c r="BD239">
        <f t="shared" si="185"/>
        <v>-187.89056547845058</v>
      </c>
      <c r="BF239">
        <f t="shared" si="186"/>
        <v>-12.775501301545704</v>
      </c>
      <c r="BG239">
        <f t="shared" si="187"/>
        <v>-141.06690187058558</v>
      </c>
      <c r="BH239">
        <f t="shared" si="203"/>
        <v>38.933098129414418</v>
      </c>
      <c r="BI239">
        <f t="shared" si="204"/>
        <v>38.933098129414418</v>
      </c>
      <c r="BJ239">
        <f t="shared" si="188"/>
        <v>0</v>
      </c>
      <c r="BK239">
        <f t="shared" si="205"/>
        <v>0</v>
      </c>
      <c r="BM239">
        <f t="shared" si="206"/>
        <v>-28.996198892026023</v>
      </c>
      <c r="BN239">
        <f t="shared" si="189"/>
        <v>-133.17633639213503</v>
      </c>
      <c r="BQ239" s="56">
        <f t="shared" si="207"/>
        <v>33.122658390765459</v>
      </c>
      <c r="BR239" s="59"/>
      <c r="BS239" s="59"/>
      <c r="BT239" s="59">
        <v>19498.446</v>
      </c>
      <c r="BU239" s="59">
        <v>-3.7243200000000001</v>
      </c>
      <c r="BV239" s="59">
        <v>-175.511</v>
      </c>
      <c r="BY239" s="59"/>
      <c r="BZ239" s="59"/>
      <c r="CA239" s="59"/>
      <c r="CC239" s="59"/>
    </row>
    <row r="240" spans="1:81" x14ac:dyDescent="0.25">
      <c r="A240">
        <f t="shared" si="211"/>
        <v>130000</v>
      </c>
      <c r="B240">
        <f t="shared" si="191"/>
        <v>130</v>
      </c>
      <c r="C240">
        <f t="shared" si="159"/>
        <v>1.4705453376333077</v>
      </c>
      <c r="D240">
        <f t="shared" si="160"/>
        <v>0.82300663760933779</v>
      </c>
      <c r="F240">
        <f t="shared" si="161"/>
        <v>1.5187734199650059E-3</v>
      </c>
      <c r="G240">
        <f t="shared" si="162"/>
        <v>1.326688253683574E-2</v>
      </c>
      <c r="H240">
        <f t="shared" si="163"/>
        <v>-3.1283257674631644</v>
      </c>
      <c r="J240">
        <f t="shared" si="164"/>
        <v>15</v>
      </c>
      <c r="M240">
        <f t="shared" si="165"/>
        <v>9.7863212982694688E-3</v>
      </c>
      <c r="N240">
        <f t="shared" si="166"/>
        <v>-1.5707963250000001</v>
      </c>
      <c r="O240">
        <f t="shared" si="167"/>
        <v>37.782719356810354</v>
      </c>
      <c r="P240">
        <f t="shared" si="168"/>
        <v>1.5443261095817</v>
      </c>
      <c r="Q240">
        <f t="shared" si="169"/>
        <v>33.367141050253359</v>
      </c>
      <c r="R240">
        <f t="shared" si="170"/>
        <v>1.5408222347615679</v>
      </c>
      <c r="S240">
        <f t="shared" si="171"/>
        <v>0.70487764232594763</v>
      </c>
      <c r="T240">
        <f t="shared" si="172"/>
        <v>-0.7885456935346945</v>
      </c>
      <c r="U240">
        <f t="shared" si="173"/>
        <v>0.77510064323179695</v>
      </c>
      <c r="V240">
        <f t="shared" si="174"/>
        <v>-0.68392196085152546</v>
      </c>
      <c r="X240">
        <f t="shared" si="192"/>
        <v>-12.924676435014868</v>
      </c>
      <c r="Y240">
        <f t="shared" si="175"/>
        <v>-129.68525937995818</v>
      </c>
      <c r="Z240">
        <f t="shared" si="193"/>
        <v>50.314740620041817</v>
      </c>
      <c r="AC240">
        <v>1</v>
      </c>
      <c r="AD240">
        <f t="shared" si="176"/>
        <v>37.769483475359998</v>
      </c>
      <c r="AE240">
        <f t="shared" si="177"/>
        <v>-4.6275969355390103E-3</v>
      </c>
      <c r="AF240">
        <f t="shared" si="178"/>
        <v>5.6768579185499995E-3</v>
      </c>
      <c r="AG240">
        <f t="shared" si="194"/>
        <v>3910.8694919833174</v>
      </c>
      <c r="AH240">
        <f t="shared" si="195"/>
        <v>-3364.1722147016599</v>
      </c>
      <c r="AJ240">
        <f t="shared" si="179"/>
        <v>18000</v>
      </c>
      <c r="AK240">
        <f t="shared" si="180"/>
        <v>18113.669237663999</v>
      </c>
      <c r="AL240">
        <v>1</v>
      </c>
      <c r="AM240">
        <f t="shared" si="181"/>
        <v>33.352152882048003</v>
      </c>
      <c r="AN240">
        <f t="shared" si="196"/>
        <v>558.78283398954841</v>
      </c>
      <c r="AO240">
        <f t="shared" si="197"/>
        <v>-522.94126941947104</v>
      </c>
      <c r="AQ240">
        <f t="shared" si="182"/>
        <v>0.14792680581648202</v>
      </c>
      <c r="AR240">
        <f t="shared" si="183"/>
        <v>-38.460969512285324</v>
      </c>
      <c r="AT240">
        <f t="shared" si="209"/>
        <v>-128810.80255180372</v>
      </c>
      <c r="AU240">
        <f t="shared" si="210"/>
        <v>-150913.48354763453</v>
      </c>
      <c r="AV240">
        <f t="shared" si="198"/>
        <v>-2.2773423699785518</v>
      </c>
      <c r="AW240">
        <f t="shared" si="199"/>
        <v>-15433.290012354901</v>
      </c>
      <c r="AX240">
        <f t="shared" si="200"/>
        <v>-26627.847695683573</v>
      </c>
      <c r="AY240">
        <f t="shared" si="208"/>
        <v>-2.0960748390510817</v>
      </c>
      <c r="BA240">
        <f t="shared" si="184"/>
        <v>6.446727268244322</v>
      </c>
      <c r="BB240">
        <f t="shared" si="201"/>
        <v>16.186785951447337</v>
      </c>
      <c r="BC240">
        <f t="shared" si="202"/>
        <v>-0.18126753092747006</v>
      </c>
      <c r="BD240">
        <f t="shared" si="185"/>
        <v>-190.38586449676873</v>
      </c>
      <c r="BF240">
        <f t="shared" si="186"/>
        <v>-13.311960737178286</v>
      </c>
      <c r="BG240">
        <f t="shared" si="187"/>
        <v>-142.47092121909355</v>
      </c>
      <c r="BH240">
        <f t="shared" si="203"/>
        <v>37.529078780906445</v>
      </c>
      <c r="BI240">
        <f t="shared" si="204"/>
        <v>37.529078780906445</v>
      </c>
      <c r="BJ240">
        <f t="shared" si="188"/>
        <v>0</v>
      </c>
      <c r="BK240">
        <f t="shared" si="205"/>
        <v>0</v>
      </c>
      <c r="BM240">
        <f t="shared" si="206"/>
        <v>-29.498746688625623</v>
      </c>
      <c r="BN240">
        <f t="shared" si="189"/>
        <v>-132.08505672232482</v>
      </c>
      <c r="BQ240" s="56">
        <f t="shared" si="207"/>
        <v>33.088746751732472</v>
      </c>
      <c r="BR240" s="59"/>
      <c r="BS240" s="59"/>
      <c r="BT240" s="59">
        <v>19952.623</v>
      </c>
      <c r="BU240" s="59">
        <v>-3.67421</v>
      </c>
      <c r="BV240" s="59">
        <v>-174.244</v>
      </c>
      <c r="BY240" s="59"/>
      <c r="BZ240" s="59"/>
      <c r="CA240" s="59"/>
      <c r="CC240" s="59"/>
    </row>
    <row r="241" spans="1:81" x14ac:dyDescent="0.25">
      <c r="A241">
        <f t="shared" si="211"/>
        <v>135000</v>
      </c>
      <c r="B241">
        <f t="shared" si="191"/>
        <v>135</v>
      </c>
      <c r="C241">
        <f t="shared" si="159"/>
        <v>1.5012150488792719</v>
      </c>
      <c r="D241">
        <f t="shared" si="160"/>
        <v>0.84179236517498457</v>
      </c>
      <c r="F241">
        <f t="shared" si="161"/>
        <v>1.4082076661445235E-3</v>
      </c>
      <c r="G241">
        <f t="shared" si="162"/>
        <v>1.2774152239833263E-2</v>
      </c>
      <c r="H241">
        <f t="shared" si="163"/>
        <v>-3.1288184977601667</v>
      </c>
      <c r="J241">
        <f t="shared" si="164"/>
        <v>15</v>
      </c>
      <c r="M241">
        <f t="shared" si="165"/>
        <v>9.4238649538891193E-3</v>
      </c>
      <c r="N241">
        <f t="shared" si="166"/>
        <v>-1.5707963250000001</v>
      </c>
      <c r="O241">
        <f t="shared" si="167"/>
        <v>39.234901742651196</v>
      </c>
      <c r="P241">
        <f t="shared" si="168"/>
        <v>1.5453060552225693</v>
      </c>
      <c r="Q241">
        <f t="shared" si="169"/>
        <v>34.64936127943907</v>
      </c>
      <c r="R241">
        <f t="shared" si="170"/>
        <v>1.541931757950795</v>
      </c>
      <c r="S241">
        <f t="shared" si="171"/>
        <v>0.6913729136361888</v>
      </c>
      <c r="T241">
        <f t="shared" si="172"/>
        <v>-0.80740876593374766</v>
      </c>
      <c r="U241">
        <f t="shared" si="173"/>
        <v>0.76324795377677379</v>
      </c>
      <c r="V241">
        <f t="shared" si="174"/>
        <v>-0.70247105915640373</v>
      </c>
      <c r="X241">
        <f t="shared" si="192"/>
        <v>-13.376485224424483</v>
      </c>
      <c r="Y241">
        <f t="shared" si="175"/>
        <v>-130.66098958130502</v>
      </c>
      <c r="Z241">
        <f t="shared" si="193"/>
        <v>49.339010418694983</v>
      </c>
      <c r="AC241">
        <v>1</v>
      </c>
      <c r="AD241">
        <f t="shared" si="176"/>
        <v>39.222155916720006</v>
      </c>
      <c r="AE241">
        <f t="shared" si="177"/>
        <v>-4.990411488177424E-3</v>
      </c>
      <c r="AF241">
        <f t="shared" si="178"/>
        <v>5.8951986077250005E-3</v>
      </c>
      <c r="AG241">
        <f t="shared" si="194"/>
        <v>3792.1754841297188</v>
      </c>
      <c r="AH241">
        <f t="shared" si="195"/>
        <v>-3379.7870821649462</v>
      </c>
      <c r="AJ241">
        <f t="shared" si="179"/>
        <v>18000</v>
      </c>
      <c r="AK241">
        <f t="shared" si="180"/>
        <v>18810.348823728</v>
      </c>
      <c r="AL241">
        <v>1</v>
      </c>
      <c r="AM241">
        <f t="shared" si="181"/>
        <v>34.634927992896003</v>
      </c>
      <c r="AN241">
        <f t="shared" si="196"/>
        <v>557.64385556683749</v>
      </c>
      <c r="AO241">
        <f t="shared" si="197"/>
        <v>-503.60595951031792</v>
      </c>
      <c r="AQ241">
        <f t="shared" si="182"/>
        <v>0.13717232959767356</v>
      </c>
      <c r="AR241">
        <f t="shared" si="183"/>
        <v>-37.03652899137186</v>
      </c>
      <c r="AT241">
        <f t="shared" si="209"/>
        <v>-124655.40070786489</v>
      </c>
      <c r="AU241">
        <f t="shared" si="210"/>
        <v>-140912.63052594464</v>
      </c>
      <c r="AV241">
        <f t="shared" si="198"/>
        <v>-2.2950539707548723</v>
      </c>
      <c r="AW241">
        <f t="shared" si="199"/>
        <v>-14102.296399677012</v>
      </c>
      <c r="AX241">
        <f t="shared" si="200"/>
        <v>-25738.740459088476</v>
      </c>
      <c r="AY241">
        <f t="shared" si="208"/>
        <v>-2.0720270343521205</v>
      </c>
      <c r="BA241">
        <f t="shared" si="184"/>
        <v>6.4103435944317066</v>
      </c>
      <c r="BB241">
        <f t="shared" si="201"/>
        <v>16.137626166558888</v>
      </c>
      <c r="BC241">
        <f t="shared" si="202"/>
        <v>-0.22302693640275173</v>
      </c>
      <c r="BD241">
        <f t="shared" si="185"/>
        <v>-192.77850218821186</v>
      </c>
      <c r="BF241">
        <f t="shared" si="186"/>
        <v>-13.838356380759123</v>
      </c>
      <c r="BG241">
        <f t="shared" si="187"/>
        <v>-143.81544737120134</v>
      </c>
      <c r="BH241">
        <f t="shared" si="203"/>
        <v>36.184552628798656</v>
      </c>
      <c r="BI241">
        <f t="shared" si="204"/>
        <v>36.184552628798656</v>
      </c>
      <c r="BJ241">
        <f t="shared" si="188"/>
        <v>0</v>
      </c>
      <c r="BK241">
        <f t="shared" si="205"/>
        <v>0</v>
      </c>
      <c r="BM241">
        <f t="shared" si="206"/>
        <v>-29.975982547318011</v>
      </c>
      <c r="BN241">
        <f t="shared" si="189"/>
        <v>-131.03694518298948</v>
      </c>
      <c r="BQ241" s="56">
        <f t="shared" si="207"/>
        <v>33.039586966844027</v>
      </c>
      <c r="BR241" s="59"/>
      <c r="BS241" s="59"/>
      <c r="BT241" s="59">
        <v>20417.379000000001</v>
      </c>
      <c r="BU241" s="59">
        <v>-3.6440899999999998</v>
      </c>
      <c r="BV241" s="59">
        <v>-173.369</v>
      </c>
      <c r="BY241" s="59"/>
      <c r="BZ241" s="59"/>
      <c r="CA241" s="59"/>
      <c r="CC241" s="59"/>
    </row>
    <row r="242" spans="1:81" x14ac:dyDescent="0.25">
      <c r="A242">
        <f t="shared" si="211"/>
        <v>140000</v>
      </c>
      <c r="B242">
        <f t="shared" si="191"/>
        <v>140</v>
      </c>
      <c r="C242">
        <f t="shared" si="159"/>
        <v>1.5323932314069919</v>
      </c>
      <c r="D242">
        <f t="shared" si="160"/>
        <v>0.85981981073624869</v>
      </c>
      <c r="F242">
        <f t="shared" si="161"/>
        <v>1.3092949848480422E-3</v>
      </c>
      <c r="G242">
        <f t="shared" si="162"/>
        <v>1.2316755611875056E-2</v>
      </c>
      <c r="H242">
        <f t="shared" si="163"/>
        <v>-3.1292758943881251</v>
      </c>
      <c r="J242">
        <f t="shared" si="164"/>
        <v>15</v>
      </c>
      <c r="M242">
        <f t="shared" si="165"/>
        <v>9.0872983483930789E-3</v>
      </c>
      <c r="N242">
        <f t="shared" si="166"/>
        <v>-1.5707963250000001</v>
      </c>
      <c r="O242">
        <f t="shared" si="167"/>
        <v>40.687119115996268</v>
      </c>
      <c r="P242">
        <f t="shared" si="168"/>
        <v>1.5462160486338135</v>
      </c>
      <c r="Q242">
        <f t="shared" si="169"/>
        <v>35.931621119129893</v>
      </c>
      <c r="R242">
        <f t="shared" si="170"/>
        <v>1.5429620931974335</v>
      </c>
      <c r="S242">
        <f t="shared" si="171"/>
        <v>0.67814811748575976</v>
      </c>
      <c r="T242">
        <f t="shared" si="172"/>
        <v>-0.82555645543280898</v>
      </c>
      <c r="U242">
        <f t="shared" si="173"/>
        <v>0.75150534659357549</v>
      </c>
      <c r="V242">
        <f t="shared" si="174"/>
        <v>-0.720455431558365</v>
      </c>
      <c r="X242">
        <f t="shared" si="192"/>
        <v>-13.817516751430656</v>
      </c>
      <c r="Y242">
        <f t="shared" si="175"/>
        <v>-131.61334194174555</v>
      </c>
      <c r="Z242">
        <f t="shared" si="193"/>
        <v>48.386658058254454</v>
      </c>
      <c r="AC242">
        <v>1</v>
      </c>
      <c r="AD242">
        <f t="shared" si="176"/>
        <v>40.674828358079999</v>
      </c>
      <c r="AE242">
        <f t="shared" si="177"/>
        <v>-5.3669171560097395E-3</v>
      </c>
      <c r="AF242">
        <f t="shared" si="178"/>
        <v>6.1135392968999997E-3</v>
      </c>
      <c r="AG242">
        <f t="shared" si="194"/>
        <v>3676.3874796247683</v>
      </c>
      <c r="AH242">
        <f t="shared" si="195"/>
        <v>-3390.9763280739203</v>
      </c>
      <c r="AJ242">
        <f t="shared" si="179"/>
        <v>18000</v>
      </c>
      <c r="AK242">
        <f t="shared" si="180"/>
        <v>19507.028409792001</v>
      </c>
      <c r="AL242">
        <v>1</v>
      </c>
      <c r="AM242">
        <f t="shared" si="181"/>
        <v>35.917703103744003</v>
      </c>
      <c r="AN242">
        <f t="shared" si="196"/>
        <v>556.62459156120872</v>
      </c>
      <c r="AO242">
        <f t="shared" si="197"/>
        <v>-485.64841014626359</v>
      </c>
      <c r="AQ242">
        <f t="shared" si="182"/>
        <v>0.12754939350263389</v>
      </c>
      <c r="AR242">
        <f t="shared" si="183"/>
        <v>-35.713830180737489</v>
      </c>
      <c r="AT242">
        <f t="shared" si="209"/>
        <v>-120635.83173442594</v>
      </c>
      <c r="AU242">
        <f t="shared" si="210"/>
        <v>-131730.39509993608</v>
      </c>
      <c r="AV242">
        <f t="shared" si="198"/>
        <v>-2.312260623127445</v>
      </c>
      <c r="AW242">
        <f t="shared" si="199"/>
        <v>-12921.046946442153</v>
      </c>
      <c r="AX242">
        <f t="shared" si="200"/>
        <v>-24914.543505074224</v>
      </c>
      <c r="AY242">
        <f t="shared" si="208"/>
        <v>-2.049224507285988</v>
      </c>
      <c r="BA242">
        <f t="shared" si="184"/>
        <v>6.3644138175074758</v>
      </c>
      <c r="BB242">
        <f t="shared" si="201"/>
        <v>16.075168198928921</v>
      </c>
      <c r="BC242">
        <f t="shared" si="202"/>
        <v>-0.26303611584145692</v>
      </c>
      <c r="BD242">
        <f t="shared" si="185"/>
        <v>-195.07085931445067</v>
      </c>
      <c r="BF242">
        <f t="shared" si="186"/>
        <v>-14.354852032298167</v>
      </c>
      <c r="BG242">
        <f t="shared" si="187"/>
        <v>-145.1011148465731</v>
      </c>
      <c r="BH242">
        <f t="shared" si="203"/>
        <v>34.898885153426903</v>
      </c>
      <c r="BI242">
        <f t="shared" si="204"/>
        <v>34.898885153426903</v>
      </c>
      <c r="BJ242">
        <f t="shared" si="188"/>
        <v>0</v>
      </c>
      <c r="BK242">
        <f t="shared" si="205"/>
        <v>0</v>
      </c>
      <c r="BM242">
        <f t="shared" si="206"/>
        <v>-30.430020231227086</v>
      </c>
      <c r="BN242">
        <f t="shared" si="189"/>
        <v>-130.03025553212245</v>
      </c>
      <c r="BQ242" s="56">
        <f t="shared" si="207"/>
        <v>32.977128999214059</v>
      </c>
      <c r="BR242" s="59"/>
      <c r="BS242" s="59"/>
      <c r="BT242" s="59">
        <v>20892.960999999999</v>
      </c>
      <c r="BU242" s="59">
        <v>-3.5620099999999999</v>
      </c>
      <c r="BV242" s="59">
        <v>-172.084</v>
      </c>
      <c r="BY242" s="59"/>
      <c r="BZ242" s="59"/>
      <c r="CA242" s="59"/>
      <c r="CC242" s="59"/>
    </row>
    <row r="243" spans="1:81" x14ac:dyDescent="0.25">
      <c r="A243">
        <f t="shared" si="211"/>
        <v>145000</v>
      </c>
      <c r="B243">
        <f t="shared" si="191"/>
        <v>145</v>
      </c>
      <c r="C243">
        <f t="shared" si="159"/>
        <v>1.5640494775026015</v>
      </c>
      <c r="D243">
        <f t="shared" si="160"/>
        <v>0.87712294438445804</v>
      </c>
      <c r="F243">
        <f t="shared" si="161"/>
        <v>1.2204529524645325E-3</v>
      </c>
      <c r="G243">
        <f t="shared" si="162"/>
        <v>1.1891019268175431E-2</v>
      </c>
      <c r="H243">
        <f t="shared" si="163"/>
        <v>-3.1297016307318248</v>
      </c>
      <c r="J243">
        <f t="shared" si="164"/>
        <v>15</v>
      </c>
      <c r="M243">
        <f t="shared" si="165"/>
        <v>8.7739432329312483E-3</v>
      </c>
      <c r="N243">
        <f t="shared" si="166"/>
        <v>-1.5707963250000001</v>
      </c>
      <c r="O243">
        <f t="shared" si="167"/>
        <v>42.139367859601521</v>
      </c>
      <c r="P243">
        <f t="shared" si="168"/>
        <v>1.5470633205136322</v>
      </c>
      <c r="Q243">
        <f t="shared" si="169"/>
        <v>37.213916474812677</v>
      </c>
      <c r="R243">
        <f t="shared" si="170"/>
        <v>1.5439214240268904</v>
      </c>
      <c r="S243">
        <f t="shared" si="171"/>
        <v>0.665212900425177</v>
      </c>
      <c r="T243">
        <f t="shared" si="172"/>
        <v>-0.84301740556142268</v>
      </c>
      <c r="U243">
        <f t="shared" si="173"/>
        <v>0.73989008707224557</v>
      </c>
      <c r="V243">
        <f t="shared" si="174"/>
        <v>-0.73788936709614594</v>
      </c>
      <c r="X243">
        <f t="shared" si="192"/>
        <v>-14.248422486342516</v>
      </c>
      <c r="Y243">
        <f t="shared" si="175"/>
        <v>-132.54215727287058</v>
      </c>
      <c r="Z243">
        <f t="shared" si="193"/>
        <v>47.457842727129417</v>
      </c>
      <c r="AC243">
        <v>1</v>
      </c>
      <c r="AD243">
        <f t="shared" si="176"/>
        <v>42.12750079944</v>
      </c>
      <c r="AE243">
        <f t="shared" si="177"/>
        <v>-5.7571139390359587E-3</v>
      </c>
      <c r="AF243">
        <f t="shared" si="178"/>
        <v>6.3318799860750006E-3</v>
      </c>
      <c r="AG243">
        <f t="shared" si="194"/>
        <v>3563.6213030151821</v>
      </c>
      <c r="AH243">
        <f t="shared" si="195"/>
        <v>-3398.0703873655721</v>
      </c>
      <c r="AJ243">
        <f t="shared" si="179"/>
        <v>18000</v>
      </c>
      <c r="AK243">
        <f t="shared" si="180"/>
        <v>20203.707995855999</v>
      </c>
      <c r="AL243">
        <v>1</v>
      </c>
      <c r="AM243">
        <f t="shared" si="181"/>
        <v>37.200478214592003</v>
      </c>
      <c r="AN243">
        <f t="shared" si="196"/>
        <v>555.70883811121382</v>
      </c>
      <c r="AO243">
        <f t="shared" si="197"/>
        <v>-468.92652995644045</v>
      </c>
      <c r="AQ243">
        <f t="shared" si="182"/>
        <v>0.11890465036087561</v>
      </c>
      <c r="AR243">
        <f t="shared" si="183"/>
        <v>-34.482348604653929</v>
      </c>
      <c r="AT243">
        <f t="shared" si="209"/>
        <v>-116749.71653523747</v>
      </c>
      <c r="AU243">
        <f t="shared" si="210"/>
        <v>-123286.07843685192</v>
      </c>
      <c r="AV243">
        <f t="shared" si="198"/>
        <v>-2.328970437977504</v>
      </c>
      <c r="AW243">
        <f t="shared" si="199"/>
        <v>-11868.7517680772</v>
      </c>
      <c r="AX243">
        <f t="shared" si="200"/>
        <v>-24147.781005397039</v>
      </c>
      <c r="AY243">
        <f t="shared" si="208"/>
        <v>-2.0276247587122702</v>
      </c>
      <c r="BA243">
        <f t="shared" si="184"/>
        <v>6.3104147994356756</v>
      </c>
      <c r="BB243">
        <f t="shared" si="201"/>
        <v>16.001158149019567</v>
      </c>
      <c r="BC243">
        <f t="shared" si="202"/>
        <v>-0.30134567926523381</v>
      </c>
      <c r="BD243">
        <f t="shared" si="185"/>
        <v>-197.26583561612995</v>
      </c>
      <c r="BF243">
        <f t="shared" si="186"/>
        <v>-14.861586072542583</v>
      </c>
      <c r="BG243">
        <f t="shared" si="187"/>
        <v>-146.32908751243355</v>
      </c>
      <c r="BH243">
        <f t="shared" si="203"/>
        <v>33.670912487566454</v>
      </c>
      <c r="BI243">
        <f t="shared" si="204"/>
        <v>33.670912487566454</v>
      </c>
      <c r="BJ243">
        <f t="shared" si="188"/>
        <v>0</v>
      </c>
      <c r="BK243">
        <f t="shared" si="205"/>
        <v>0</v>
      </c>
      <c r="BM243">
        <f t="shared" si="206"/>
        <v>-30.862744221562149</v>
      </c>
      <c r="BN243">
        <f t="shared" si="189"/>
        <v>-129.06325189630363</v>
      </c>
      <c r="BQ243" s="56">
        <f t="shared" si="207"/>
        <v>32.903118949304698</v>
      </c>
      <c r="BR243" s="59"/>
      <c r="BS243" s="59"/>
      <c r="BT243" s="59">
        <v>21379.620999999999</v>
      </c>
      <c r="BU243" s="59">
        <v>-3.5589</v>
      </c>
      <c r="BV243" s="59">
        <v>-170.62899999999999</v>
      </c>
      <c r="BY243" s="59"/>
      <c r="BZ243" s="59"/>
      <c r="CA243" s="59"/>
      <c r="CC243" s="59"/>
    </row>
    <row r="244" spans="1:81" x14ac:dyDescent="0.25">
      <c r="A244">
        <f t="shared" si="211"/>
        <v>150000</v>
      </c>
      <c r="B244">
        <f t="shared" si="191"/>
        <v>150</v>
      </c>
      <c r="C244">
        <f t="shared" si="159"/>
        <v>1.5961553433874134</v>
      </c>
      <c r="D244">
        <f t="shared" si="160"/>
        <v>0.89373479948105183</v>
      </c>
      <c r="F244">
        <f t="shared" si="161"/>
        <v>1.1403589981846885E-3</v>
      </c>
      <c r="G244">
        <f t="shared" si="162"/>
        <v>1.149376249393788E-2</v>
      </c>
      <c r="H244">
        <f t="shared" si="163"/>
        <v>-3.1300988875060622</v>
      </c>
      <c r="J244">
        <f t="shared" si="164"/>
        <v>15</v>
      </c>
      <c r="M244">
        <f t="shared" si="165"/>
        <v>8.4814784585002072E-3</v>
      </c>
      <c r="N244">
        <f t="shared" si="166"/>
        <v>-1.5707963250000001</v>
      </c>
      <c r="O244">
        <f t="shared" si="167"/>
        <v>43.591644838181324</v>
      </c>
      <c r="P244">
        <f t="shared" si="168"/>
        <v>1.5478541383755056</v>
      </c>
      <c r="Q244">
        <f t="shared" si="169"/>
        <v>38.496243797414692</v>
      </c>
      <c r="R244">
        <f t="shared" si="170"/>
        <v>1.5448168441461192</v>
      </c>
      <c r="S244">
        <f t="shared" si="171"/>
        <v>0.65257401266503479</v>
      </c>
      <c r="T244">
        <f t="shared" si="172"/>
        <v>-0.85981981073624869</v>
      </c>
      <c r="U244">
        <f t="shared" si="173"/>
        <v>0.72841705949456603</v>
      </c>
      <c r="V244">
        <f t="shared" si="174"/>
        <v>-0.75478763294642615</v>
      </c>
      <c r="X244">
        <f t="shared" si="192"/>
        <v>-14.66977863434421</v>
      </c>
      <c r="Y244">
        <f t="shared" si="175"/>
        <v>-133.44742112045964</v>
      </c>
      <c r="Z244">
        <f t="shared" si="193"/>
        <v>46.552578879540363</v>
      </c>
      <c r="AC244">
        <v>1</v>
      </c>
      <c r="AD244">
        <f t="shared" si="176"/>
        <v>43.580173240800001</v>
      </c>
      <c r="AE244">
        <f t="shared" si="177"/>
        <v>-6.1610018372560789E-3</v>
      </c>
      <c r="AF244">
        <f t="shared" si="178"/>
        <v>6.550220675249999E-3</v>
      </c>
      <c r="AG244">
        <f t="shared" si="194"/>
        <v>3453.9603340389854</v>
      </c>
      <c r="AH244">
        <f t="shared" si="195"/>
        <v>-3401.3901314818622</v>
      </c>
      <c r="AJ244">
        <f t="shared" si="179"/>
        <v>18000</v>
      </c>
      <c r="AK244">
        <f t="shared" si="180"/>
        <v>20900.38758192</v>
      </c>
      <c r="AL244">
        <v>1</v>
      </c>
      <c r="AM244">
        <f t="shared" si="181"/>
        <v>38.483253325440003</v>
      </c>
      <c r="AN244">
        <f t="shared" si="196"/>
        <v>554.88304238565968</v>
      </c>
      <c r="AO244">
        <f t="shared" si="197"/>
        <v>-453.31710419820331</v>
      </c>
      <c r="AQ244">
        <f t="shared" si="182"/>
        <v>0.11110987655692714</v>
      </c>
      <c r="AR244">
        <f t="shared" si="183"/>
        <v>-33.332962967078146</v>
      </c>
      <c r="AT244">
        <f t="shared" si="209"/>
        <v>-112994.64218292238</v>
      </c>
      <c r="AU244">
        <f t="shared" si="210"/>
        <v>-115508.65994190927</v>
      </c>
      <c r="AV244">
        <f t="shared" si="198"/>
        <v>-2.3451928271729772</v>
      </c>
      <c r="AW244">
        <f t="shared" si="199"/>
        <v>-10928.035503032868</v>
      </c>
      <c r="AX244">
        <f t="shared" si="200"/>
        <v>-23432.109056131929</v>
      </c>
      <c r="AY244">
        <f t="shared" si="208"/>
        <v>-2.007179944011547</v>
      </c>
      <c r="BA244">
        <f t="shared" si="184"/>
        <v>6.2496789355503148</v>
      </c>
      <c r="BB244">
        <f t="shared" si="201"/>
        <v>15.917154138560207</v>
      </c>
      <c r="BC244">
        <f t="shared" si="202"/>
        <v>-0.33801288316143019</v>
      </c>
      <c r="BD244">
        <f t="shared" si="185"/>
        <v>-199.36671164832825</v>
      </c>
      <c r="BF244">
        <f t="shared" si="186"/>
        <v>-15.358685682295389</v>
      </c>
      <c r="BG244">
        <f t="shared" si="187"/>
        <v>-147.50093549319936</v>
      </c>
      <c r="BH244">
        <f t="shared" si="203"/>
        <v>32.499064506800636</v>
      </c>
      <c r="BI244">
        <f t="shared" si="204"/>
        <v>32.499064506800636</v>
      </c>
      <c r="BJ244">
        <f t="shared" si="188"/>
        <v>0</v>
      </c>
      <c r="BK244">
        <f t="shared" si="205"/>
        <v>0</v>
      </c>
      <c r="BM244">
        <f t="shared" si="206"/>
        <v>-31.275839820855602</v>
      </c>
      <c r="BN244">
        <f t="shared" si="189"/>
        <v>-128.13422384487112</v>
      </c>
      <c r="BQ244" s="56">
        <f t="shared" si="207"/>
        <v>32.819114938845345</v>
      </c>
      <c r="BR244" s="59"/>
      <c r="BS244" s="59"/>
      <c r="BT244" s="59">
        <v>21877.616000000002</v>
      </c>
      <c r="BU244" s="59">
        <v>-3.49654</v>
      </c>
      <c r="BV244" s="59">
        <v>-169.465</v>
      </c>
      <c r="BY244" s="59"/>
      <c r="BZ244" s="59"/>
      <c r="CA244" s="59"/>
      <c r="CC244" s="59"/>
    </row>
    <row r="245" spans="1:81" x14ac:dyDescent="0.25">
      <c r="A245">
        <f t="shared" si="211"/>
        <v>155000</v>
      </c>
      <c r="B245">
        <f t="shared" si="191"/>
        <v>155</v>
      </c>
      <c r="C245">
        <f t="shared" si="159"/>
        <v>1.6286842395338801</v>
      </c>
      <c r="D245">
        <f t="shared" si="160"/>
        <v>0.9096873516587245</v>
      </c>
      <c r="F245">
        <f t="shared" si="161"/>
        <v>1.0679008152445254E-3</v>
      </c>
      <c r="G245">
        <f t="shared" si="162"/>
        <v>1.1122217248620078E-2</v>
      </c>
      <c r="H245">
        <f t="shared" si="163"/>
        <v>-3.1304704327513799</v>
      </c>
      <c r="J245">
        <f t="shared" si="164"/>
        <v>15</v>
      </c>
      <c r="M245">
        <f t="shared" si="165"/>
        <v>8.207882379193749E-3</v>
      </c>
      <c r="N245">
        <f t="shared" si="166"/>
        <v>-1.5707963250000001</v>
      </c>
      <c r="O245">
        <f t="shared" si="167"/>
        <v>45.04394732073596</v>
      </c>
      <c r="P245">
        <f t="shared" si="168"/>
        <v>1.5485939617333615</v>
      </c>
      <c r="Q245">
        <f t="shared" si="169"/>
        <v>39.778599995420478</v>
      </c>
      <c r="R245">
        <f t="shared" si="170"/>
        <v>1.5456545329781799</v>
      </c>
      <c r="S245">
        <f t="shared" si="171"/>
        <v>0.6402357016184359</v>
      </c>
      <c r="T245">
        <f t="shared" si="172"/>
        <v>-0.8759912685616672</v>
      </c>
      <c r="U245">
        <f t="shared" si="173"/>
        <v>0.71709895682044966</v>
      </c>
      <c r="V245">
        <f t="shared" si="174"/>
        <v>-0.77116532747096089</v>
      </c>
      <c r="X245">
        <f t="shared" si="192"/>
        <v>-15.082097798775475</v>
      </c>
      <c r="Y245">
        <f t="shared" si="175"/>
        <v>-134.32923944944721</v>
      </c>
      <c r="Z245">
        <f t="shared" si="193"/>
        <v>45.670760550552785</v>
      </c>
      <c r="AC245">
        <v>1</v>
      </c>
      <c r="AD245">
        <f t="shared" si="176"/>
        <v>45.032845682160001</v>
      </c>
      <c r="AE245">
        <f t="shared" si="177"/>
        <v>-6.5785808506701026E-3</v>
      </c>
      <c r="AF245">
        <f t="shared" si="178"/>
        <v>6.7685613644249999E-3</v>
      </c>
      <c r="AG245">
        <f t="shared" si="194"/>
        <v>3347.4593387693785</v>
      </c>
      <c r="AH245">
        <f t="shared" si="195"/>
        <v>-3401.2444690867856</v>
      </c>
      <c r="AJ245">
        <f t="shared" si="179"/>
        <v>18000</v>
      </c>
      <c r="AK245">
        <f t="shared" si="180"/>
        <v>21597.067167984002</v>
      </c>
      <c r="AL245">
        <v>1</v>
      </c>
      <c r="AM245">
        <f t="shared" si="181"/>
        <v>39.766028436287996</v>
      </c>
      <c r="AN245">
        <f t="shared" si="196"/>
        <v>554.13579875341691</v>
      </c>
      <c r="AO245">
        <f t="shared" si="197"/>
        <v>-438.71276280953862</v>
      </c>
      <c r="AQ245">
        <f t="shared" si="182"/>
        <v>0.10405718983153141</v>
      </c>
      <c r="AR245">
        <f t="shared" si="183"/>
        <v>-32.257728847774736</v>
      </c>
      <c r="AT245">
        <f t="shared" si="209"/>
        <v>-109368.09461692741</v>
      </c>
      <c r="AU245">
        <f t="shared" si="210"/>
        <v>-108335.35962035714</v>
      </c>
      <c r="AV245">
        <f t="shared" si="198"/>
        <v>-2.3609382240647712</v>
      </c>
      <c r="AW245">
        <f t="shared" si="199"/>
        <v>-10084.290942215883</v>
      </c>
      <c r="AX245">
        <f t="shared" si="200"/>
        <v>-22762.110731754314</v>
      </c>
      <c r="AY245">
        <f t="shared" si="208"/>
        <v>-1.987838646379845</v>
      </c>
      <c r="BA245">
        <f t="shared" si="184"/>
        <v>6.1833966629526786</v>
      </c>
      <c r="BB245">
        <f t="shared" si="201"/>
        <v>15.824542144940857</v>
      </c>
      <c r="BC245">
        <f t="shared" si="202"/>
        <v>-0.37309957768492619</v>
      </c>
      <c r="BD245">
        <f t="shared" si="185"/>
        <v>-201.37703116388647</v>
      </c>
      <c r="BF245">
        <f t="shared" si="186"/>
        <v>-15.846276436615216</v>
      </c>
      <c r="BG245">
        <f t="shared" si="187"/>
        <v>-148.61852906994949</v>
      </c>
      <c r="BH245">
        <f t="shared" si="203"/>
        <v>31.381470930050511</v>
      </c>
      <c r="BI245">
        <f t="shared" si="204"/>
        <v>31.381470930050511</v>
      </c>
      <c r="BJ245">
        <f t="shared" si="188"/>
        <v>0</v>
      </c>
      <c r="BK245">
        <f t="shared" si="205"/>
        <v>0</v>
      </c>
      <c r="BM245">
        <f t="shared" si="206"/>
        <v>-31.67081858155607</v>
      </c>
      <c r="BN245">
        <f t="shared" si="189"/>
        <v>-127.241497906063</v>
      </c>
      <c r="BQ245" s="56">
        <f t="shared" si="207"/>
        <v>32.726502945225995</v>
      </c>
      <c r="BR245" s="59"/>
      <c r="BS245" s="59"/>
      <c r="BT245" s="59">
        <v>22387.210999999999</v>
      </c>
      <c r="BU245" s="59">
        <v>-3.4356</v>
      </c>
      <c r="BV245" s="59">
        <v>-168.34299999999999</v>
      </c>
      <c r="BY245" s="59"/>
      <c r="BZ245" s="59"/>
      <c r="CA245" s="59"/>
      <c r="CC245" s="59"/>
    </row>
    <row r="246" spans="1:81" x14ac:dyDescent="0.25">
      <c r="A246">
        <f t="shared" si="211"/>
        <v>160000</v>
      </c>
      <c r="B246">
        <f t="shared" si="191"/>
        <v>160</v>
      </c>
      <c r="C246">
        <f t="shared" si="159"/>
        <v>1.6616113214954171</v>
      </c>
      <c r="D246">
        <f t="shared" si="160"/>
        <v>0.92501143356080262</v>
      </c>
      <c r="F246">
        <f t="shared" si="161"/>
        <v>1.0021374746677742E-3</v>
      </c>
      <c r="G246">
        <f t="shared" si="162"/>
        <v>1.0773963280798013E-2</v>
      </c>
      <c r="H246">
        <f t="shared" si="163"/>
        <v>-3.130818686719202</v>
      </c>
      <c r="J246">
        <f t="shared" si="164"/>
        <v>15</v>
      </c>
      <c r="M246">
        <f t="shared" si="165"/>
        <v>7.9513860548439431E-3</v>
      </c>
      <c r="N246">
        <f t="shared" si="166"/>
        <v>-1.5707963250000001</v>
      </c>
      <c r="O246">
        <f t="shared" si="167"/>
        <v>46.496272917429692</v>
      </c>
      <c r="P246">
        <f t="shared" si="168"/>
        <v>1.5492875682243556</v>
      </c>
      <c r="Q246">
        <f t="shared" si="169"/>
        <v>41.060982363447728</v>
      </c>
      <c r="R246">
        <f t="shared" si="170"/>
        <v>1.5464398983346026</v>
      </c>
      <c r="S246">
        <f t="shared" si="171"/>
        <v>0.62820006787394289</v>
      </c>
      <c r="T246">
        <f t="shared" si="172"/>
        <v>-0.8915586651242442</v>
      </c>
      <c r="U246">
        <f t="shared" si="173"/>
        <v>0.70594646763538438</v>
      </c>
      <c r="V246">
        <f t="shared" si="174"/>
        <v>-0.78703775116898234</v>
      </c>
      <c r="X246">
        <f t="shared" si="192"/>
        <v>-15.485838601501609</v>
      </c>
      <c r="Y246">
        <f t="shared" si="175"/>
        <v>-135.18781787978784</v>
      </c>
      <c r="Z246">
        <f t="shared" si="193"/>
        <v>44.812182120212157</v>
      </c>
      <c r="AC246">
        <v>1</v>
      </c>
      <c r="AD246">
        <f t="shared" si="176"/>
        <v>46.485518123520002</v>
      </c>
      <c r="AE246">
        <f t="shared" si="177"/>
        <v>-7.0098509792780274E-3</v>
      </c>
      <c r="AF246">
        <f t="shared" si="178"/>
        <v>6.9869020536E-3</v>
      </c>
      <c r="AG246">
        <f t="shared" si="194"/>
        <v>3244.1480681486755</v>
      </c>
      <c r="AH246">
        <f t="shared" si="195"/>
        <v>-3397.9286284974282</v>
      </c>
      <c r="AJ246">
        <f t="shared" si="179"/>
        <v>18000</v>
      </c>
      <c r="AK246">
        <f t="shared" si="180"/>
        <v>22293.746754047999</v>
      </c>
      <c r="AL246">
        <v>1</v>
      </c>
      <c r="AM246">
        <f t="shared" si="181"/>
        <v>41.048803547135996</v>
      </c>
      <c r="AN246">
        <f t="shared" si="196"/>
        <v>553.45745320627179</v>
      </c>
      <c r="AO246">
        <f t="shared" si="197"/>
        <v>-425.01951431446741</v>
      </c>
      <c r="AQ246">
        <f t="shared" si="182"/>
        <v>9.7655296334996727E-2</v>
      </c>
      <c r="AR246">
        <f t="shared" si="183"/>
        <v>-31.249694827198955</v>
      </c>
      <c r="AT246">
        <f t="shared" si="209"/>
        <v>-105867.42444419765</v>
      </c>
      <c r="AU246">
        <f t="shared" si="210"/>
        <v>-101710.46283103424</v>
      </c>
      <c r="AV246">
        <f t="shared" si="198"/>
        <v>-2.3762178467068864</v>
      </c>
      <c r="AW246">
        <f t="shared" si="199"/>
        <v>-9325.1708925631137</v>
      </c>
      <c r="AX246">
        <f t="shared" si="200"/>
        <v>-22133.133617043823</v>
      </c>
      <c r="AY246">
        <f t="shared" si="208"/>
        <v>-1.9695473544767734</v>
      </c>
      <c r="BA246">
        <f t="shared" si="184"/>
        <v>6.1126224942722853</v>
      </c>
      <c r="BB246">
        <f t="shared" si="201"/>
        <v>15.724551505794192</v>
      </c>
      <c r="BC246">
        <f t="shared" si="202"/>
        <v>-0.40667049223011298</v>
      </c>
      <c r="BD246">
        <f t="shared" si="185"/>
        <v>-203.30050288391791</v>
      </c>
      <c r="BF246">
        <f t="shared" si="186"/>
        <v>-16.324488405222656</v>
      </c>
      <c r="BG246">
        <f t="shared" si="187"/>
        <v>-149.68394905365344</v>
      </c>
      <c r="BH246">
        <f t="shared" si="203"/>
        <v>30.316050946346564</v>
      </c>
      <c r="BI246">
        <f t="shared" si="204"/>
        <v>30.316050946346564</v>
      </c>
      <c r="BJ246">
        <f t="shared" si="188"/>
        <v>0</v>
      </c>
      <c r="BK246">
        <f t="shared" si="205"/>
        <v>0</v>
      </c>
      <c r="BM246">
        <f t="shared" si="206"/>
        <v>-32.049039911016848</v>
      </c>
      <c r="BN246">
        <f t="shared" si="189"/>
        <v>-126.38344616973555</v>
      </c>
      <c r="BQ246" s="56">
        <f t="shared" si="207"/>
        <v>32.626512306079327</v>
      </c>
      <c r="BR246" s="59"/>
      <c r="BS246" s="59"/>
      <c r="BT246" s="59">
        <v>22908.677</v>
      </c>
      <c r="BU246" s="59">
        <v>-3.37297</v>
      </c>
      <c r="BV246" s="59">
        <v>-167.03899999999999</v>
      </c>
      <c r="BY246" s="59"/>
      <c r="BZ246" s="59"/>
      <c r="CA246" s="59"/>
      <c r="CC246" s="59"/>
    </row>
    <row r="247" spans="1:81" x14ac:dyDescent="0.25">
      <c r="A247">
        <f t="shared" si="211"/>
        <v>165000</v>
      </c>
      <c r="B247">
        <f t="shared" si="191"/>
        <v>165</v>
      </c>
      <c r="C247">
        <f t="shared" si="159"/>
        <v>1.694913382763636</v>
      </c>
      <c r="D247">
        <f t="shared" si="160"/>
        <v>0.93973667915748527</v>
      </c>
      <c r="F247">
        <f t="shared" si="161"/>
        <v>9.4226868007818844E-4</v>
      </c>
      <c r="G247">
        <f t="shared" si="162"/>
        <v>1.0446875122499148E-2</v>
      </c>
      <c r="H247">
        <f t="shared" si="163"/>
        <v>-3.1311457748775009</v>
      </c>
      <c r="J247">
        <f t="shared" si="164"/>
        <v>15</v>
      </c>
      <c r="M247">
        <f t="shared" si="165"/>
        <v>7.7104349622729145E-3</v>
      </c>
      <c r="N247">
        <f t="shared" si="166"/>
        <v>-1.5707963250000001</v>
      </c>
      <c r="O247">
        <f t="shared" si="167"/>
        <v>47.948619527935833</v>
      </c>
      <c r="P247">
        <f t="shared" si="168"/>
        <v>1.5499391568259657</v>
      </c>
      <c r="Q247">
        <f t="shared" si="169"/>
        <v>42.343388523795383</v>
      </c>
      <c r="R247">
        <f t="shared" si="170"/>
        <v>1.5471776931846435</v>
      </c>
      <c r="S247">
        <f t="shared" si="171"/>
        <v>0.61646738451282501</v>
      </c>
      <c r="T247">
        <f t="shared" si="172"/>
        <v>-0.90654808850340651</v>
      </c>
      <c r="U247">
        <f t="shared" si="173"/>
        <v>0.6949684575594467</v>
      </c>
      <c r="V247">
        <f t="shared" si="174"/>
        <v>-0.80242029434602868</v>
      </c>
      <c r="X247">
        <f t="shared" si="192"/>
        <v>-15.881413648490518</v>
      </c>
      <c r="Y247">
        <f t="shared" si="175"/>
        <v>-136.02344391803678</v>
      </c>
      <c r="Z247">
        <f t="shared" si="193"/>
        <v>43.976556081963224</v>
      </c>
      <c r="AC247">
        <v>1</v>
      </c>
      <c r="AD247">
        <f t="shared" si="176"/>
        <v>47.938190564880003</v>
      </c>
      <c r="AE247">
        <f t="shared" si="177"/>
        <v>-7.4548122230798557E-3</v>
      </c>
      <c r="AF247">
        <f t="shared" si="178"/>
        <v>7.2052427427750001E-3</v>
      </c>
      <c r="AG247">
        <f t="shared" si="194"/>
        <v>3144.0345977667384</v>
      </c>
      <c r="AH247">
        <f t="shared" si="195"/>
        <v>-3391.7230024932378</v>
      </c>
      <c r="AJ247">
        <f t="shared" si="179"/>
        <v>18000</v>
      </c>
      <c r="AK247">
        <f t="shared" si="180"/>
        <v>22990.426340111997</v>
      </c>
      <c r="AL247">
        <v>1</v>
      </c>
      <c r="AM247">
        <f t="shared" si="181"/>
        <v>42.331578657983997</v>
      </c>
      <c r="AN247">
        <f t="shared" si="196"/>
        <v>552.83979025098893</v>
      </c>
      <c r="AO247">
        <f t="shared" si="197"/>
        <v>-412.15472616111305</v>
      </c>
      <c r="AQ247">
        <f t="shared" si="182"/>
        <v>9.1826521335892239E-2</v>
      </c>
      <c r="AR247">
        <f t="shared" si="183"/>
        <v>-30.302752040844435</v>
      </c>
      <c r="AT247">
        <f t="shared" si="209"/>
        <v>-102489.83537570837</v>
      </c>
      <c r="AU247">
        <f t="shared" si="210"/>
        <v>-95584.350948615436</v>
      </c>
      <c r="AV247">
        <f t="shared" si="198"/>
        <v>-2.3910434973549934</v>
      </c>
      <c r="AW247">
        <f t="shared" si="199"/>
        <v>-8640.1854433336721</v>
      </c>
      <c r="AX247">
        <f t="shared" si="200"/>
        <v>-21541.159952189508</v>
      </c>
      <c r="AY247">
        <f t="shared" si="208"/>
        <v>-1.9522516671091228</v>
      </c>
      <c r="BA247">
        <f t="shared" si="184"/>
        <v>6.0382834021371465</v>
      </c>
      <c r="BB247">
        <f t="shared" si="201"/>
        <v>15.618269848786115</v>
      </c>
      <c r="BC247">
        <f t="shared" si="202"/>
        <v>-0.43879183024587065</v>
      </c>
      <c r="BD247">
        <f t="shared" si="185"/>
        <v>-205.14091998663693</v>
      </c>
      <c r="BF247">
        <f t="shared" si="186"/>
        <v>-16.7934596754131</v>
      </c>
      <c r="BG247">
        <f t="shared" si="187"/>
        <v>-150.69941250144558</v>
      </c>
      <c r="BH247">
        <f t="shared" si="203"/>
        <v>29.300587498554421</v>
      </c>
      <c r="BI247">
        <f t="shared" si="204"/>
        <v>29.300587498554421</v>
      </c>
      <c r="BJ247">
        <f t="shared" si="188"/>
        <v>0</v>
      </c>
      <c r="BK247">
        <f t="shared" si="205"/>
        <v>0</v>
      </c>
      <c r="BM247">
        <f t="shared" si="206"/>
        <v>-32.411729524199217</v>
      </c>
      <c r="BN247">
        <f t="shared" si="189"/>
        <v>-125.55849251480862</v>
      </c>
      <c r="BQ247" s="56">
        <f t="shared" si="207"/>
        <v>32.520230649071252</v>
      </c>
      <c r="BR247" s="59"/>
      <c r="BS247" s="59"/>
      <c r="BT247" s="59">
        <v>23442.288</v>
      </c>
      <c r="BU247" s="59">
        <v>-3.29522</v>
      </c>
      <c r="BV247" s="59">
        <v>-165.876</v>
      </c>
      <c r="BY247" s="59"/>
      <c r="BZ247" s="59"/>
      <c r="CA247" s="59"/>
      <c r="CC247" s="59"/>
    </row>
    <row r="248" spans="1:81" x14ac:dyDescent="0.25">
      <c r="A248">
        <f t="shared" si="211"/>
        <v>170000</v>
      </c>
      <c r="B248">
        <f t="shared" si="191"/>
        <v>170</v>
      </c>
      <c r="C248">
        <f t="shared" si="159"/>
        <v>1.7285687507746483</v>
      </c>
      <c r="D248">
        <f t="shared" si="160"/>
        <v>0.95389149226686709</v>
      </c>
      <c r="F248">
        <f t="shared" si="161"/>
        <v>8.8761027190727571E-4</v>
      </c>
      <c r="G248">
        <f t="shared" si="162"/>
        <v>1.0139078498700544E-2</v>
      </c>
      <c r="H248">
        <f t="shared" si="163"/>
        <v>-3.1314535715012997</v>
      </c>
      <c r="J248">
        <f t="shared" si="164"/>
        <v>15</v>
      </c>
      <c r="M248">
        <f t="shared" si="165"/>
        <v>7.4836574633825349E-3</v>
      </c>
      <c r="N248">
        <f t="shared" si="166"/>
        <v>-1.5707963250000001</v>
      </c>
      <c r="O248">
        <f t="shared" si="167"/>
        <v>49.400985298890205</v>
      </c>
      <c r="P248">
        <f t="shared" si="168"/>
        <v>1.5505524328774927</v>
      </c>
      <c r="Q248">
        <f t="shared" si="169"/>
        <v>43.625816378296356</v>
      </c>
      <c r="R248">
        <f t="shared" si="170"/>
        <v>1.547872111846039</v>
      </c>
      <c r="S248">
        <f t="shared" si="171"/>
        <v>0.60503638145108951</v>
      </c>
      <c r="T248">
        <f t="shared" si="172"/>
        <v>-0.92098476617930281</v>
      </c>
      <c r="U248">
        <f t="shared" si="173"/>
        <v>0.68417214310749697</v>
      </c>
      <c r="V248">
        <f t="shared" si="174"/>
        <v>-0.81732834021549328</v>
      </c>
      <c r="X248">
        <f t="shared" si="192"/>
        <v>-16.269196148538065</v>
      </c>
      <c r="Y248">
        <f t="shared" si="175"/>
        <v>-136.83647173767909</v>
      </c>
      <c r="Z248">
        <f t="shared" si="193"/>
        <v>43.163528262320909</v>
      </c>
      <c r="AC248">
        <v>1</v>
      </c>
      <c r="AD248">
        <f t="shared" si="176"/>
        <v>49.390863006239996</v>
      </c>
      <c r="AE248">
        <f t="shared" si="177"/>
        <v>-7.9134645820755876E-3</v>
      </c>
      <c r="AF248">
        <f t="shared" si="178"/>
        <v>7.4235834319499993E-3</v>
      </c>
      <c r="AG248">
        <f t="shared" si="194"/>
        <v>3047.1083951803421</v>
      </c>
      <c r="AH248">
        <f t="shared" si="195"/>
        <v>-3382.8924525750472</v>
      </c>
      <c r="AJ248">
        <f t="shared" si="179"/>
        <v>18000</v>
      </c>
      <c r="AK248">
        <f t="shared" si="180"/>
        <v>23687.105926175998</v>
      </c>
      <c r="AL248">
        <v>1</v>
      </c>
      <c r="AM248">
        <f t="shared" si="181"/>
        <v>43.614353768832004</v>
      </c>
      <c r="AN248">
        <f t="shared" si="196"/>
        <v>552.2757831942597</v>
      </c>
      <c r="AO248">
        <f t="shared" si="197"/>
        <v>-400.04546001721013</v>
      </c>
      <c r="AQ248">
        <f t="shared" si="182"/>
        <v>8.6504442003096857E-2</v>
      </c>
      <c r="AR248">
        <f t="shared" si="183"/>
        <v>-29.411510281052934</v>
      </c>
      <c r="AT248">
        <f t="shared" si="209"/>
        <v>-99232.387737159341</v>
      </c>
      <c r="AU248">
        <f t="shared" si="210"/>
        <v>-89912.695116295843</v>
      </c>
      <c r="AV248">
        <f t="shared" si="198"/>
        <v>-2.4054273929380625</v>
      </c>
      <c r="AW248">
        <f t="shared" si="199"/>
        <v>-8020.3803362279668</v>
      </c>
      <c r="AX248">
        <f t="shared" si="200"/>
        <v>-20982.702057769937</v>
      </c>
      <c r="AY248">
        <f t="shared" si="208"/>
        <v>-1.9358972535921513</v>
      </c>
      <c r="BA248">
        <f t="shared" si="184"/>
        <v>5.9611886066586095</v>
      </c>
      <c r="BB248">
        <f t="shared" si="201"/>
        <v>15.506657254691474</v>
      </c>
      <c r="BC248">
        <f t="shared" si="202"/>
        <v>-0.46953013934591126</v>
      </c>
      <c r="BD248">
        <f t="shared" si="185"/>
        <v>-206.90209536945028</v>
      </c>
      <c r="BF248">
        <f t="shared" si="186"/>
        <v>-17.253338024203757</v>
      </c>
      <c r="BG248">
        <f t="shared" si="187"/>
        <v>-151.66721227988035</v>
      </c>
      <c r="BH248">
        <f t="shared" si="203"/>
        <v>28.332787720119654</v>
      </c>
      <c r="BI248">
        <f t="shared" si="204"/>
        <v>28.332787720119654</v>
      </c>
      <c r="BJ248">
        <f t="shared" si="188"/>
        <v>0</v>
      </c>
      <c r="BK248">
        <f t="shared" si="205"/>
        <v>0</v>
      </c>
      <c r="BM248">
        <f t="shared" si="206"/>
        <v>-32.759995278895232</v>
      </c>
      <c r="BN248">
        <f t="shared" si="189"/>
        <v>-124.76511691043005</v>
      </c>
      <c r="BQ248" s="56">
        <f t="shared" si="207"/>
        <v>32.408618054976614</v>
      </c>
      <c r="BR248" s="59"/>
      <c r="BS248" s="59"/>
      <c r="BT248" s="59">
        <v>23988.329000000002</v>
      </c>
      <c r="BU248" s="59">
        <v>-3.2437399999999998</v>
      </c>
      <c r="BV248" s="59">
        <v>-164.703</v>
      </c>
      <c r="BY248" s="59"/>
      <c r="BZ248" s="59"/>
      <c r="CA248" s="59"/>
      <c r="CC248" s="59"/>
    </row>
    <row r="249" spans="1:81" x14ac:dyDescent="0.25">
      <c r="A249">
        <f t="shared" si="211"/>
        <v>175000</v>
      </c>
      <c r="B249">
        <f t="shared" si="191"/>
        <v>175</v>
      </c>
      <c r="C249">
        <f t="shared" si="159"/>
        <v>1.7625571868656678</v>
      </c>
      <c r="D249">
        <f t="shared" si="160"/>
        <v>0.96750303465043619</v>
      </c>
      <c r="F249">
        <f t="shared" si="161"/>
        <v>8.3757456995234162E-4</v>
      </c>
      <c r="G249">
        <f t="shared" si="162"/>
        <v>9.8489142555310584E-3</v>
      </c>
      <c r="H249">
        <f t="shared" si="163"/>
        <v>-3.1317437357444691</v>
      </c>
      <c r="J249">
        <f t="shared" si="164"/>
        <v>15</v>
      </c>
      <c r="M249">
        <f t="shared" si="165"/>
        <v>7.2698386787144638E-3</v>
      </c>
      <c r="N249">
        <f t="shared" si="166"/>
        <v>-1.5707963250000001</v>
      </c>
      <c r="O249">
        <f t="shared" si="167"/>
        <v>50.853368588632918</v>
      </c>
      <c r="P249">
        <f t="shared" si="168"/>
        <v>1.5511306785408936</v>
      </c>
      <c r="Q249">
        <f t="shared" si="169"/>
        <v>44.908264068416145</v>
      </c>
      <c r="R249">
        <f t="shared" si="170"/>
        <v>1.5485268697068777</v>
      </c>
      <c r="S249">
        <f t="shared" si="171"/>
        <v>0.59390449698416292</v>
      </c>
      <c r="T249">
        <f t="shared" si="172"/>
        <v>-0.93489302248723671</v>
      </c>
      <c r="U249">
        <f t="shared" si="173"/>
        <v>0.67356325657653038</v>
      </c>
      <c r="V249">
        <f t="shared" si="174"/>
        <v>-0.83177718210786478</v>
      </c>
      <c r="X249">
        <f t="shared" si="192"/>
        <v>-16.649525431147534</v>
      </c>
      <c r="Y249">
        <f t="shared" si="175"/>
        <v>-137.62730914189189</v>
      </c>
      <c r="Z249">
        <f t="shared" si="193"/>
        <v>42.372690858108115</v>
      </c>
      <c r="AC249">
        <v>1</v>
      </c>
      <c r="AD249">
        <f t="shared" si="176"/>
        <v>50.843535447599997</v>
      </c>
      <c r="AE249">
        <f t="shared" si="177"/>
        <v>-8.385808056265218E-3</v>
      </c>
      <c r="AF249">
        <f t="shared" si="178"/>
        <v>7.6419241211249994E-3</v>
      </c>
      <c r="AG249">
        <f t="shared" si="194"/>
        <v>2953.3431109055955</v>
      </c>
      <c r="AH249">
        <f t="shared" si="195"/>
        <v>-3371.6859843086722</v>
      </c>
      <c r="AJ249">
        <f t="shared" si="179"/>
        <v>18000</v>
      </c>
      <c r="AK249">
        <f t="shared" si="180"/>
        <v>24383.78551224</v>
      </c>
      <c r="AL249">
        <v>1</v>
      </c>
      <c r="AM249">
        <f t="shared" si="181"/>
        <v>44.897128879680004</v>
      </c>
      <c r="AN249">
        <f t="shared" si="196"/>
        <v>551.75939356783181</v>
      </c>
      <c r="AO249">
        <f t="shared" si="197"/>
        <v>-388.62709134902093</v>
      </c>
      <c r="AQ249">
        <f t="shared" si="182"/>
        <v>8.1631986677659779E-2</v>
      </c>
      <c r="AR249">
        <f t="shared" si="183"/>
        <v>-28.571195337180921</v>
      </c>
      <c r="AT249">
        <f t="shared" si="209"/>
        <v>-96092.011607834196</v>
      </c>
      <c r="AU249">
        <f t="shared" si="210"/>
        <v>-84655.780344753686</v>
      </c>
      <c r="AV249">
        <f t="shared" si="198"/>
        <v>-2.4193820220741218</v>
      </c>
      <c r="AW249">
        <f t="shared" si="199"/>
        <v>-7458.0782763259058</v>
      </c>
      <c r="AX249">
        <f t="shared" si="200"/>
        <v>-20454.717528486028</v>
      </c>
      <c r="AY249">
        <f t="shared" si="208"/>
        <v>-1.9204306009519174</v>
      </c>
      <c r="BA249">
        <f t="shared" si="184"/>
        <v>5.8820400326648663</v>
      </c>
      <c r="BB249">
        <f t="shared" si="201"/>
        <v>15.390559519049312</v>
      </c>
      <c r="BC249">
        <f t="shared" si="202"/>
        <v>-0.49895142112220436</v>
      </c>
      <c r="BD249">
        <f t="shared" si="185"/>
        <v>-208.58781064502324</v>
      </c>
      <c r="BF249">
        <f t="shared" si="186"/>
        <v>-17.70428130437147</v>
      </c>
      <c r="BG249">
        <f t="shared" si="187"/>
        <v>-152.58966880983846</v>
      </c>
      <c r="BH249">
        <f t="shared" si="203"/>
        <v>27.410331190161543</v>
      </c>
      <c r="BI249">
        <f t="shared" si="204"/>
        <v>27.410331190161543</v>
      </c>
      <c r="BJ249">
        <f t="shared" si="188"/>
        <v>0</v>
      </c>
      <c r="BK249">
        <f t="shared" si="205"/>
        <v>0</v>
      </c>
      <c r="BM249">
        <f t="shared" si="206"/>
        <v>-33.094840823420782</v>
      </c>
      <c r="BN249">
        <f t="shared" si="189"/>
        <v>-124.00185816481519</v>
      </c>
      <c r="BQ249" s="56">
        <f t="shared" si="207"/>
        <v>32.29252031933445</v>
      </c>
      <c r="BR249" s="59"/>
      <c r="BS249" s="59"/>
      <c r="BT249" s="59">
        <v>24547.089</v>
      </c>
      <c r="BU249" s="59">
        <v>-3.1709299999999998</v>
      </c>
      <c r="BV249" s="59">
        <v>-163.65100000000001</v>
      </c>
      <c r="BY249" s="59"/>
      <c r="BZ249" s="59"/>
      <c r="CA249" s="59"/>
      <c r="CC249" s="59"/>
    </row>
    <row r="250" spans="1:81" x14ac:dyDescent="0.25">
      <c r="A250">
        <f t="shared" si="211"/>
        <v>180000</v>
      </c>
      <c r="B250">
        <f t="shared" si="191"/>
        <v>180</v>
      </c>
      <c r="C250">
        <f t="shared" si="159"/>
        <v>1.7968597907245951</v>
      </c>
      <c r="D250">
        <f t="shared" si="160"/>
        <v>0.98059722973239993</v>
      </c>
      <c r="F250">
        <f t="shared" si="161"/>
        <v>7.9165449188631156E-4</v>
      </c>
      <c r="G250">
        <f t="shared" si="162"/>
        <v>9.5749083353778228E-3</v>
      </c>
      <c r="H250">
        <f t="shared" si="163"/>
        <v>-3.1320177416646224</v>
      </c>
      <c r="J250">
        <f t="shared" si="164"/>
        <v>15</v>
      </c>
      <c r="M250">
        <f t="shared" si="165"/>
        <v>7.067898715416839E-3</v>
      </c>
      <c r="N250">
        <f t="shared" si="166"/>
        <v>-1.5707963250000001</v>
      </c>
      <c r="O250">
        <f t="shared" si="167"/>
        <v>52.305767937822324</v>
      </c>
      <c r="P250">
        <f t="shared" si="168"/>
        <v>1.5516768115291113</v>
      </c>
      <c r="Q250">
        <f t="shared" si="169"/>
        <v>46.19072994199577</v>
      </c>
      <c r="R250">
        <f t="shared" si="170"/>
        <v>1.5491452696764103</v>
      </c>
      <c r="S250">
        <f t="shared" si="171"/>
        <v>0.58306809900093204</v>
      </c>
      <c r="T250">
        <f t="shared" si="172"/>
        <v>-0.94829625272590368</v>
      </c>
      <c r="U250">
        <f t="shared" si="173"/>
        <v>0.66314620102545474</v>
      </c>
      <c r="V250">
        <f t="shared" si="174"/>
        <v>-0.84578195346301532</v>
      </c>
      <c r="X250">
        <f t="shared" si="192"/>
        <v>-17.022711561267489</v>
      </c>
      <c r="Y250">
        <f t="shared" si="175"/>
        <v>-138.39640640387023</v>
      </c>
      <c r="Z250">
        <f t="shared" si="193"/>
        <v>41.60359359612977</v>
      </c>
      <c r="AC250">
        <v>1</v>
      </c>
      <c r="AD250">
        <f t="shared" si="176"/>
        <v>52.296207888960005</v>
      </c>
      <c r="AE250">
        <f t="shared" si="177"/>
        <v>-8.8718426456487545E-3</v>
      </c>
      <c r="AF250">
        <f t="shared" si="178"/>
        <v>7.8602648102999995E-3</v>
      </c>
      <c r="AG250">
        <f t="shared" si="194"/>
        <v>2862.6990967608394</v>
      </c>
      <c r="AH250">
        <f t="shared" si="195"/>
        <v>-3358.3367183395808</v>
      </c>
      <c r="AJ250">
        <f t="shared" si="179"/>
        <v>18000</v>
      </c>
      <c r="AK250">
        <f t="shared" si="180"/>
        <v>25080.465098303997</v>
      </c>
      <c r="AL250">
        <v>1</v>
      </c>
      <c r="AM250">
        <f t="shared" si="181"/>
        <v>46.179903990528004</v>
      </c>
      <c r="AN250">
        <f t="shared" si="196"/>
        <v>551.28540894681851</v>
      </c>
      <c r="AO250">
        <f t="shared" si="197"/>
        <v>-377.84215823904918</v>
      </c>
      <c r="AQ250">
        <f t="shared" si="182"/>
        <v>7.7159898457573636E-2</v>
      </c>
      <c r="AR250">
        <f t="shared" si="183"/>
        <v>-27.777563444726507</v>
      </c>
      <c r="AT250">
        <f t="shared" si="209"/>
        <v>-93065.525690811657</v>
      </c>
      <c r="AU250">
        <f t="shared" si="210"/>
        <v>-79777.934703608902</v>
      </c>
      <c r="AV250">
        <f t="shared" si="198"/>
        <v>-2.4329200248903762</v>
      </c>
      <c r="AW250">
        <f t="shared" si="199"/>
        <v>-6946.6694803788878</v>
      </c>
      <c r="AX250">
        <f t="shared" si="200"/>
        <v>-19954.540012030135</v>
      </c>
      <c r="AY250">
        <f t="shared" si="208"/>
        <v>-1.9057995791734286</v>
      </c>
      <c r="BA250">
        <f t="shared" si="184"/>
        <v>5.8014428926045074</v>
      </c>
      <c r="BB250">
        <f t="shared" si="201"/>
        <v>15.270720431130991</v>
      </c>
      <c r="BC250">
        <f t="shared" si="202"/>
        <v>-0.52712044571694761</v>
      </c>
      <c r="BD250">
        <f t="shared" si="185"/>
        <v>-210.20177686914647</v>
      </c>
      <c r="BF250">
        <f t="shared" si="186"/>
        <v>-18.146456974214086</v>
      </c>
      <c r="BG250">
        <f t="shared" si="187"/>
        <v>-153.46909230159125</v>
      </c>
      <c r="BH250">
        <f t="shared" si="203"/>
        <v>26.530907698408754</v>
      </c>
      <c r="BI250">
        <f t="shared" si="204"/>
        <v>26.530907698408754</v>
      </c>
      <c r="BJ250">
        <f t="shared" si="188"/>
        <v>0</v>
      </c>
      <c r="BK250">
        <f t="shared" si="205"/>
        <v>0</v>
      </c>
      <c r="BM250">
        <f t="shared" si="206"/>
        <v>-33.417177405345072</v>
      </c>
      <c r="BN250">
        <f t="shared" si="189"/>
        <v>-123.26731543244478</v>
      </c>
      <c r="BQ250" s="56">
        <f t="shared" si="207"/>
        <v>32.172681231416128</v>
      </c>
      <c r="BR250" s="59"/>
      <c r="BS250" s="59"/>
      <c r="BT250" s="59">
        <v>25118.864000000001</v>
      </c>
      <c r="BU250" s="59">
        <v>-3.1069800000000001</v>
      </c>
      <c r="BV250" s="59">
        <v>-162.52199999999999</v>
      </c>
      <c r="BY250" s="59"/>
      <c r="BZ250" s="59"/>
      <c r="CA250" s="59"/>
      <c r="CC250" s="59"/>
    </row>
    <row r="251" spans="1:81" x14ac:dyDescent="0.25">
      <c r="A251">
        <f t="shared" si="211"/>
        <v>185000</v>
      </c>
      <c r="B251">
        <f t="shared" si="191"/>
        <v>185</v>
      </c>
      <c r="C251">
        <f t="shared" si="159"/>
        <v>1.8314589096694709</v>
      </c>
      <c r="D251">
        <f t="shared" si="160"/>
        <v>0.99319877860283101</v>
      </c>
      <c r="F251">
        <f t="shared" si="161"/>
        <v>7.4941064079279984E-4</v>
      </c>
      <c r="G251">
        <f t="shared" si="162"/>
        <v>9.3157466476239577E-3</v>
      </c>
      <c r="H251">
        <f t="shared" si="163"/>
        <v>-3.1322769033523761</v>
      </c>
      <c r="J251">
        <f t="shared" si="164"/>
        <v>15</v>
      </c>
      <c r="M251">
        <f t="shared" si="165"/>
        <v>6.8768744258109783E-3</v>
      </c>
      <c r="N251">
        <f t="shared" si="166"/>
        <v>-1.5707963250000001</v>
      </c>
      <c r="O251">
        <f t="shared" si="167"/>
        <v>53.758182044811193</v>
      </c>
      <c r="P251">
        <f t="shared" si="168"/>
        <v>1.5521934343192929</v>
      </c>
      <c r="Q251">
        <f t="shared" si="169"/>
        <v>47.47321252538314</v>
      </c>
      <c r="R251">
        <f t="shared" si="170"/>
        <v>1.5497302578722421</v>
      </c>
      <c r="S251">
        <f t="shared" si="171"/>
        <v>0.5725226784653904</v>
      </c>
      <c r="T251">
        <f t="shared" si="172"/>
        <v>-0.96121691096052486</v>
      </c>
      <c r="U251">
        <f t="shared" si="173"/>
        <v>0.6529241948129727</v>
      </c>
      <c r="V251">
        <f t="shared" si="174"/>
        <v>-0.85935756931278173</v>
      </c>
      <c r="X251">
        <f t="shared" si="192"/>
        <v>-17.389039210604405</v>
      </c>
      <c r="Y251">
        <f t="shared" si="175"/>
        <v>-139.14424672773441</v>
      </c>
      <c r="Z251">
        <f t="shared" si="193"/>
        <v>40.855753272265588</v>
      </c>
      <c r="AC251">
        <v>1</v>
      </c>
      <c r="AD251">
        <f t="shared" si="176"/>
        <v>53.748880330319999</v>
      </c>
      <c r="AE251">
        <f t="shared" si="177"/>
        <v>-9.3715683502261903E-3</v>
      </c>
      <c r="AF251">
        <f t="shared" si="178"/>
        <v>8.0786054994749987E-3</v>
      </c>
      <c r="AG251">
        <f t="shared" si="194"/>
        <v>2775.1256608221797</v>
      </c>
      <c r="AH251">
        <f t="shared" si="195"/>
        <v>-3343.0620931566459</v>
      </c>
      <c r="AJ251">
        <f t="shared" si="179"/>
        <v>18000</v>
      </c>
      <c r="AK251">
        <f t="shared" si="180"/>
        <v>25777.144684367999</v>
      </c>
      <c r="AL251">
        <v>1</v>
      </c>
      <c r="AM251">
        <f t="shared" si="181"/>
        <v>47.462679101376004</v>
      </c>
      <c r="AN251">
        <f t="shared" si="196"/>
        <v>550.84931098748893</v>
      </c>
      <c r="AO251">
        <f t="shared" si="197"/>
        <v>-367.63939624526245</v>
      </c>
      <c r="AQ251">
        <f t="shared" si="182"/>
        <v>7.3045485423773385E-2</v>
      </c>
      <c r="AR251">
        <f t="shared" si="183"/>
        <v>-27.026829606796152</v>
      </c>
      <c r="AT251">
        <f t="shared" si="209"/>
        <v>-90149.659155677233</v>
      </c>
      <c r="AU251">
        <f t="shared" si="210"/>
        <v>-75247.043965885066</v>
      </c>
      <c r="AV251">
        <f t="shared" si="198"/>
        <v>-2.4460540924612726</v>
      </c>
      <c r="AW251">
        <f t="shared" si="199"/>
        <v>-6480.4410326966199</v>
      </c>
      <c r="AX251">
        <f t="shared" si="200"/>
        <v>-19479.822367428173</v>
      </c>
      <c r="AY251">
        <f t="shared" si="208"/>
        <v>-1.891953854091976</v>
      </c>
      <c r="BA251">
        <f t="shared" si="184"/>
        <v>5.7199160096913362</v>
      </c>
      <c r="BB251">
        <f t="shared" si="201"/>
        <v>15.147793034617854</v>
      </c>
      <c r="BC251">
        <f t="shared" si="202"/>
        <v>-0.55410023836929656</v>
      </c>
      <c r="BD251">
        <f t="shared" si="185"/>
        <v>-211.74760512203051</v>
      </c>
      <c r="BF251">
        <f t="shared" si="186"/>
        <v>-18.58004109140785</v>
      </c>
      <c r="BG251">
        <f t="shared" si="187"/>
        <v>-154.3077538589834</v>
      </c>
      <c r="BH251">
        <f t="shared" si="203"/>
        <v>25.692246141016597</v>
      </c>
      <c r="BI251">
        <f t="shared" si="204"/>
        <v>25.692246141016597</v>
      </c>
      <c r="BJ251">
        <f t="shared" si="188"/>
        <v>0</v>
      </c>
      <c r="BK251">
        <f t="shared" si="205"/>
        <v>0</v>
      </c>
      <c r="BM251">
        <f t="shared" si="206"/>
        <v>-33.727834126025698</v>
      </c>
      <c r="BN251">
        <f t="shared" si="189"/>
        <v>-122.56014873695293</v>
      </c>
      <c r="BQ251" s="56">
        <f t="shared" si="207"/>
        <v>32.049753834902987</v>
      </c>
      <c r="BR251" s="59"/>
      <c r="BS251" s="59"/>
      <c r="BT251" s="59">
        <v>25703.957999999999</v>
      </c>
      <c r="BU251" s="59">
        <v>-3.0172699999999999</v>
      </c>
      <c r="BV251" s="59">
        <v>-161.32599999999999</v>
      </c>
      <c r="BY251" s="59"/>
      <c r="BZ251" s="59"/>
      <c r="CA251" s="59"/>
      <c r="CC251" s="59"/>
    </row>
    <row r="252" spans="1:81" x14ac:dyDescent="0.25">
      <c r="A252">
        <f t="shared" si="211"/>
        <v>190000</v>
      </c>
      <c r="B252">
        <f t="shared" si="191"/>
        <v>190</v>
      </c>
      <c r="C252">
        <f t="shared" si="159"/>
        <v>1.8663380529331683</v>
      </c>
      <c r="D252">
        <f t="shared" si="160"/>
        <v>1.0053311855047589</v>
      </c>
      <c r="F252">
        <f t="shared" si="161"/>
        <v>7.1046074377918884E-4</v>
      </c>
      <c r="G252">
        <f t="shared" si="162"/>
        <v>9.0702539277740662E-3</v>
      </c>
      <c r="H252">
        <f t="shared" si="163"/>
        <v>-3.1325223960722259</v>
      </c>
      <c r="J252">
        <f t="shared" si="164"/>
        <v>15</v>
      </c>
      <c r="M252">
        <f t="shared" si="165"/>
        <v>6.695904046184374E-3</v>
      </c>
      <c r="N252">
        <f t="shared" si="166"/>
        <v>-1.5707963250000001</v>
      </c>
      <c r="O252">
        <f t="shared" si="167"/>
        <v>55.210609744908375</v>
      </c>
      <c r="P252">
        <f t="shared" si="168"/>
        <v>1.5526828756019797</v>
      </c>
      <c r="Q252">
        <f t="shared" si="169"/>
        <v>48.755710499961197</v>
      </c>
      <c r="R252">
        <f t="shared" si="170"/>
        <v>1.5502844705242156</v>
      </c>
      <c r="S252">
        <f t="shared" si="171"/>
        <v>0.56226301778040688</v>
      </c>
      <c r="T252">
        <f t="shared" si="172"/>
        <v>-0.97367650896362079</v>
      </c>
      <c r="U252">
        <f t="shared" si="173"/>
        <v>0.64289940548030944</v>
      </c>
      <c r="V252">
        <f t="shared" si="174"/>
        <v>-0.87251867801579008</v>
      </c>
      <c r="X252">
        <f t="shared" si="192"/>
        <v>-17.748770915126826</v>
      </c>
      <c r="Y252">
        <f t="shared" si="175"/>
        <v>-139.87133811117201</v>
      </c>
      <c r="Z252">
        <f t="shared" si="193"/>
        <v>40.128661888827992</v>
      </c>
      <c r="AC252">
        <v>1</v>
      </c>
      <c r="AD252">
        <f t="shared" si="176"/>
        <v>55.201552771679992</v>
      </c>
      <c r="AE252">
        <f t="shared" si="177"/>
        <v>-9.8849851699975323E-3</v>
      </c>
      <c r="AF252">
        <f t="shared" si="178"/>
        <v>8.2969461886499996E-3</v>
      </c>
      <c r="AG252">
        <f t="shared" si="194"/>
        <v>2690.5630721992161</v>
      </c>
      <c r="AH252">
        <f t="shared" si="195"/>
        <v>-3326.0642458285529</v>
      </c>
      <c r="AJ252">
        <f t="shared" si="179"/>
        <v>18000</v>
      </c>
      <c r="AK252">
        <f t="shared" si="180"/>
        <v>26473.824270432</v>
      </c>
      <c r="AL252">
        <v>1</v>
      </c>
      <c r="AM252">
        <f t="shared" si="181"/>
        <v>48.745454212224004</v>
      </c>
      <c r="AN252">
        <f t="shared" si="196"/>
        <v>550.44716741736545</v>
      </c>
      <c r="AO252">
        <f t="shared" si="197"/>
        <v>-357.97292515958895</v>
      </c>
      <c r="AQ252">
        <f t="shared" si="182"/>
        <v>6.92515979806234E-2</v>
      </c>
      <c r="AR252">
        <f t="shared" si="183"/>
        <v>-26.315607232636893</v>
      </c>
      <c r="AT252">
        <f t="shared" si="209"/>
        <v>-87341.07453152338</v>
      </c>
      <c r="AU252">
        <f t="shared" si="210"/>
        <v>-71034.136306641274</v>
      </c>
      <c r="AV252">
        <f t="shared" si="198"/>
        <v>-2.4587968831309532</v>
      </c>
      <c r="AW252">
        <f t="shared" si="199"/>
        <v>-6054.4370447733072</v>
      </c>
      <c r="AX252">
        <f t="shared" si="200"/>
        <v>-19028.489725175896</v>
      </c>
      <c r="AY252">
        <f t="shared" si="208"/>
        <v>-1.8788451749327484</v>
      </c>
      <c r="BA252">
        <f t="shared" si="184"/>
        <v>5.637901623543268</v>
      </c>
      <c r="BB252">
        <f t="shared" si="201"/>
        <v>15.022349870849816</v>
      </c>
      <c r="BC252">
        <f t="shared" si="202"/>
        <v>-0.57995170819820485</v>
      </c>
      <c r="BD252">
        <f t="shared" si="185"/>
        <v>-213.22878523912922</v>
      </c>
      <c r="BF252">
        <f t="shared" si="186"/>
        <v>-19.005217004392655</v>
      </c>
      <c r="BG252">
        <f t="shared" si="187"/>
        <v>-155.10786396123663</v>
      </c>
      <c r="BH252">
        <f t="shared" si="203"/>
        <v>24.892136038763368</v>
      </c>
      <c r="BI252">
        <f t="shared" si="204"/>
        <v>24.892136038763368</v>
      </c>
      <c r="BJ252">
        <f t="shared" si="188"/>
        <v>0</v>
      </c>
      <c r="BK252">
        <f t="shared" si="205"/>
        <v>0</v>
      </c>
      <c r="BM252">
        <f t="shared" si="206"/>
        <v>-34.027566875242471</v>
      </c>
      <c r="BN252">
        <f t="shared" si="189"/>
        <v>-121.87907872210744</v>
      </c>
      <c r="BQ252" s="56">
        <f t="shared" si="207"/>
        <v>31.924310671134954</v>
      </c>
      <c r="BR252" s="59"/>
      <c r="BS252" s="59"/>
      <c r="BT252" s="59">
        <v>26302.68</v>
      </c>
      <c r="BU252" s="59">
        <v>-2.9494799999999999</v>
      </c>
      <c r="BV252" s="59">
        <v>-160.22999999999999</v>
      </c>
      <c r="BY252" s="59"/>
      <c r="BZ252" s="59"/>
      <c r="CA252" s="59"/>
      <c r="CC252" s="59"/>
    </row>
    <row r="253" spans="1:81" x14ac:dyDescent="0.25">
      <c r="A253">
        <f t="shared" si="211"/>
        <v>195000</v>
      </c>
      <c r="B253">
        <f t="shared" si="191"/>
        <v>195</v>
      </c>
      <c r="C253">
        <f t="shared" si="159"/>
        <v>1.901481811003956</v>
      </c>
      <c r="D253">
        <f t="shared" si="160"/>
        <v>1.0170167904770018</v>
      </c>
      <c r="F253">
        <f t="shared" si="161"/>
        <v>6.7447096476391604E-4</v>
      </c>
      <c r="G253">
        <f t="shared" si="162"/>
        <v>8.837375865029912E-3</v>
      </c>
      <c r="H253">
        <f t="shared" si="163"/>
        <v>-3.1327552741349702</v>
      </c>
      <c r="J253">
        <f t="shared" si="164"/>
        <v>15</v>
      </c>
      <c r="M253">
        <f t="shared" si="165"/>
        <v>6.5242141988463131E-3</v>
      </c>
      <c r="N253">
        <f t="shared" si="166"/>
        <v>-1.5707963250000001</v>
      </c>
      <c r="O253">
        <f t="shared" si="167"/>
        <v>56.663049992829158</v>
      </c>
      <c r="P253">
        <f t="shared" si="168"/>
        <v>1.5531472253585372</v>
      </c>
      <c r="Q253">
        <f t="shared" si="169"/>
        <v>50.038222682284406</v>
      </c>
      <c r="R253">
        <f t="shared" si="170"/>
        <v>1.5508102736696212</v>
      </c>
      <c r="S253">
        <f t="shared" si="171"/>
        <v>0.55228333658284956</v>
      </c>
      <c r="T253">
        <f t="shared" si="172"/>
        <v>-0.98569562410133971</v>
      </c>
      <c r="U253">
        <f t="shared" si="173"/>
        <v>0.63307307301725768</v>
      </c>
      <c r="V253">
        <f t="shared" si="174"/>
        <v>-0.88527962207683852</v>
      </c>
      <c r="X253">
        <f t="shared" si="192"/>
        <v>-18.102149824370784</v>
      </c>
      <c r="Y253">
        <f t="shared" si="175"/>
        <v>-140.5782064219681</v>
      </c>
      <c r="Z253">
        <f t="shared" si="193"/>
        <v>39.421793578031895</v>
      </c>
      <c r="AC253">
        <v>1</v>
      </c>
      <c r="AD253">
        <f t="shared" si="176"/>
        <v>56.65422521304</v>
      </c>
      <c r="AE253">
        <f t="shared" si="177"/>
        <v>-1.0412093104962772E-2</v>
      </c>
      <c r="AF253">
        <f t="shared" si="178"/>
        <v>8.5152868778250006E-3</v>
      </c>
      <c r="AG253">
        <f t="shared" si="194"/>
        <v>2608.9443314442155</v>
      </c>
      <c r="AH253">
        <f t="shared" si="195"/>
        <v>-3307.5305258366002</v>
      </c>
      <c r="AJ253">
        <f t="shared" si="179"/>
        <v>18000</v>
      </c>
      <c r="AK253">
        <f t="shared" si="180"/>
        <v>27170.503856496001</v>
      </c>
      <c r="AL253">
        <v>1</v>
      </c>
      <c r="AM253">
        <f t="shared" si="181"/>
        <v>50.028229323071997</v>
      </c>
      <c r="AN253">
        <f t="shared" si="196"/>
        <v>550.07554313546666</v>
      </c>
      <c r="AO253">
        <f t="shared" si="197"/>
        <v>-348.8015604985041</v>
      </c>
      <c r="AQ253">
        <f t="shared" si="182"/>
        <v>6.5745787338676268E-2</v>
      </c>
      <c r="AR253">
        <f t="shared" si="183"/>
        <v>-25.640857062083747</v>
      </c>
      <c r="AT253">
        <f t="shared" si="209"/>
        <v>-84636.39034226138</v>
      </c>
      <c r="AU253">
        <f t="shared" si="210"/>
        <v>-67113.024884062601</v>
      </c>
      <c r="AV253">
        <f t="shared" si="198"/>
        <v>-2.4711609533633045</v>
      </c>
      <c r="AW253">
        <f t="shared" si="199"/>
        <v>-5664.3434284816331</v>
      </c>
      <c r="AX253">
        <f t="shared" si="200"/>
        <v>-18598.70051869949</v>
      </c>
      <c r="AY253">
        <f t="shared" si="208"/>
        <v>-1.8664275604233083</v>
      </c>
      <c r="BA253">
        <f t="shared" si="184"/>
        <v>5.5557745196994359</v>
      </c>
      <c r="BB253">
        <f t="shared" si="201"/>
        <v>14.894892232897526</v>
      </c>
      <c r="BC253">
        <f t="shared" si="202"/>
        <v>-0.60473339293999628</v>
      </c>
      <c r="BD253">
        <f t="shared" si="185"/>
        <v>-214.64867118568009</v>
      </c>
      <c r="BF253">
        <f t="shared" si="186"/>
        <v>-19.422173907041113</v>
      </c>
      <c r="BG253">
        <f t="shared" si="187"/>
        <v>-155.87155699120751</v>
      </c>
      <c r="BH253">
        <f t="shared" si="203"/>
        <v>24.128443008792487</v>
      </c>
      <c r="BI253">
        <f t="shared" si="204"/>
        <v>24.128443008792487</v>
      </c>
      <c r="BJ253">
        <f t="shared" si="188"/>
        <v>0</v>
      </c>
      <c r="BK253">
        <f t="shared" si="205"/>
        <v>0</v>
      </c>
      <c r="BM253">
        <f t="shared" si="206"/>
        <v>-34.317066139938639</v>
      </c>
      <c r="BN253">
        <f t="shared" si="189"/>
        <v>-121.22288580552741</v>
      </c>
      <c r="BQ253" s="56">
        <f t="shared" si="207"/>
        <v>31.796853033182661</v>
      </c>
      <c r="BR253" s="59"/>
      <c r="BS253" s="59"/>
      <c r="BT253" s="59">
        <v>26915.348000000002</v>
      </c>
      <c r="BU253" s="59">
        <v>-2.8411300000000002</v>
      </c>
      <c r="BV253" s="59">
        <v>-159.27600000000001</v>
      </c>
      <c r="BY253" s="59"/>
      <c r="BZ253" s="59"/>
      <c r="CA253" s="59"/>
      <c r="CC253" s="59"/>
    </row>
    <row r="254" spans="1:81" x14ac:dyDescent="0.25">
      <c r="A254">
        <f t="shared" si="211"/>
        <v>200000</v>
      </c>
      <c r="B254">
        <f t="shared" si="191"/>
        <v>200</v>
      </c>
      <c r="C254">
        <f t="shared" si="159"/>
        <v>1.9368757799779597</v>
      </c>
      <c r="D254">
        <f t="shared" si="160"/>
        <v>1.0282768072320181</v>
      </c>
      <c r="F254">
        <f t="shared" si="161"/>
        <v>6.411487206878485E-4</v>
      </c>
      <c r="G254">
        <f t="shared" si="162"/>
        <v>8.6161639232500281E-3</v>
      </c>
      <c r="H254">
        <f t="shared" si="163"/>
        <v>-3.1329764860767502</v>
      </c>
      <c r="J254">
        <f t="shared" si="164"/>
        <v>15</v>
      </c>
      <c r="M254">
        <f t="shared" si="165"/>
        <v>6.3611088438751545E-3</v>
      </c>
      <c r="N254">
        <f t="shared" si="166"/>
        <v>-1.5707963250000001</v>
      </c>
      <c r="O254">
        <f t="shared" si="167"/>
        <v>58.115501847776514</v>
      </c>
      <c r="P254">
        <f t="shared" si="168"/>
        <v>1.5535883646809128</v>
      </c>
      <c r="Q254">
        <f t="shared" si="169"/>
        <v>51.320748007192549</v>
      </c>
      <c r="R254">
        <f t="shared" si="170"/>
        <v>1.5513097968998486</v>
      </c>
      <c r="S254">
        <f t="shared" si="171"/>
        <v>0.54257741739894427</v>
      </c>
      <c r="T254">
        <f t="shared" si="172"/>
        <v>-0.99729391430044723</v>
      </c>
      <c r="U254">
        <f t="shared" si="173"/>
        <v>0.62344562274230675</v>
      </c>
      <c r="V254">
        <f t="shared" si="174"/>
        <v>-0.8976544069633976</v>
      </c>
      <c r="X254">
        <f t="shared" si="192"/>
        <v>-18.449402028899939</v>
      </c>
      <c r="Y254">
        <f t="shared" si="175"/>
        <v>-141.265389526235</v>
      </c>
      <c r="Z254">
        <f t="shared" si="193"/>
        <v>38.734610473765002</v>
      </c>
      <c r="AC254">
        <v>1</v>
      </c>
      <c r="AD254">
        <f t="shared" si="176"/>
        <v>58.106897654400001</v>
      </c>
      <c r="AE254">
        <f t="shared" si="177"/>
        <v>-1.0952892155121918E-2</v>
      </c>
      <c r="AF254">
        <f t="shared" si="178"/>
        <v>8.7336275669999998E-3</v>
      </c>
      <c r="AG254">
        <f t="shared" si="194"/>
        <v>2530.1967239423543</v>
      </c>
      <c r="AH254">
        <f t="shared" si="195"/>
        <v>-3287.6341048793188</v>
      </c>
      <c r="AJ254">
        <f t="shared" si="179"/>
        <v>18000</v>
      </c>
      <c r="AK254">
        <f t="shared" si="180"/>
        <v>27867.183442559999</v>
      </c>
      <c r="AL254">
        <v>1</v>
      </c>
      <c r="AM254">
        <f t="shared" si="181"/>
        <v>51.311004433919997</v>
      </c>
      <c r="AN254">
        <f t="shared" si="196"/>
        <v>549.731426654438</v>
      </c>
      <c r="AO254">
        <f t="shared" si="197"/>
        <v>-340.08822797103096</v>
      </c>
      <c r="AQ254">
        <f t="shared" si="182"/>
        <v>6.2499609377441388E-2</v>
      </c>
      <c r="AR254">
        <f t="shared" si="183"/>
        <v>-24.999843750976556</v>
      </c>
      <c r="AT254">
        <f t="shared" si="209"/>
        <v>-82032.202625470163</v>
      </c>
      <c r="AU254">
        <f t="shared" si="210"/>
        <v>-63459.998605122535</v>
      </c>
      <c r="AV254">
        <f t="shared" si="198"/>
        <v>-2.4831587010805918</v>
      </c>
      <c r="AW254">
        <f t="shared" si="199"/>
        <v>-5306.392460058054</v>
      </c>
      <c r="AX254">
        <f t="shared" si="200"/>
        <v>-18188.813971749787</v>
      </c>
      <c r="AY254">
        <f t="shared" si="208"/>
        <v>-1.8546574041843777</v>
      </c>
      <c r="BA254">
        <f t="shared" si="184"/>
        <v>5.4738503987999021</v>
      </c>
      <c r="BB254">
        <f t="shared" si="201"/>
        <v>14.765858477983688</v>
      </c>
      <c r="BC254">
        <f t="shared" si="202"/>
        <v>-0.62850129689621403</v>
      </c>
      <c r="BD254">
        <f t="shared" si="185"/>
        <v>-216.01047177179973</v>
      </c>
      <c r="BF254">
        <f t="shared" si="186"/>
        <v>-19.831105370684146</v>
      </c>
      <c r="BG254">
        <f t="shared" si="187"/>
        <v>-156.6008806499373</v>
      </c>
      <c r="BH254">
        <f t="shared" si="203"/>
        <v>23.399119350062705</v>
      </c>
      <c r="BI254">
        <f t="shared" si="204"/>
        <v>23.399119350062705</v>
      </c>
      <c r="BJ254">
        <f t="shared" si="188"/>
        <v>0</v>
      </c>
      <c r="BK254">
        <f t="shared" si="205"/>
        <v>0</v>
      </c>
      <c r="BM254">
        <f t="shared" si="206"/>
        <v>-34.596963848667833</v>
      </c>
      <c r="BN254">
        <f t="shared" si="189"/>
        <v>-120.59040887813758</v>
      </c>
      <c r="BQ254" s="56">
        <f t="shared" si="207"/>
        <v>31.667819278268826</v>
      </c>
      <c r="BR254" s="59"/>
      <c r="BS254" s="59"/>
      <c r="BT254" s="59">
        <v>27542.287</v>
      </c>
      <c r="BU254" s="59">
        <v>-2.7366600000000001</v>
      </c>
      <c r="BV254" s="59">
        <v>-158.108</v>
      </c>
      <c r="BY254" s="59"/>
      <c r="BZ254" s="59"/>
      <c r="CA254" s="59"/>
      <c r="CC254" s="59"/>
    </row>
    <row r="255" spans="1:81" x14ac:dyDescent="0.25">
      <c r="A255">
        <f t="shared" si="211"/>
        <v>205000</v>
      </c>
      <c r="B255">
        <f t="shared" si="191"/>
        <v>205</v>
      </c>
      <c r="C255">
        <f t="shared" si="159"/>
        <v>1.972506490809449</v>
      </c>
      <c r="D255">
        <f t="shared" si="160"/>
        <v>1.0391313646968685</v>
      </c>
      <c r="F255">
        <f t="shared" si="161"/>
        <v>6.1023671092939825E-4</v>
      </c>
      <c r="G255">
        <f t="shared" si="162"/>
        <v>8.4057623930894037E-3</v>
      </c>
      <c r="H255">
        <f t="shared" si="163"/>
        <v>-3.1331868876069109</v>
      </c>
      <c r="J255">
        <f t="shared" si="164"/>
        <v>15</v>
      </c>
      <c r="M255">
        <f t="shared" si="165"/>
        <v>6.2059598476830787E-3</v>
      </c>
      <c r="N255">
        <f t="shared" si="166"/>
        <v>-1.5707963250000001</v>
      </c>
      <c r="O255">
        <f t="shared" si="167"/>
        <v>59.567964460704452</v>
      </c>
      <c r="P255">
        <f t="shared" si="168"/>
        <v>1.5540079912306317</v>
      </c>
      <c r="Q255">
        <f t="shared" si="169"/>
        <v>52.603285513394098</v>
      </c>
      <c r="R255">
        <f t="shared" si="170"/>
        <v>1.5517849621730104</v>
      </c>
      <c r="S255">
        <f t="shared" si="171"/>
        <v>0.53313871343368646</v>
      </c>
      <c r="T255">
        <f t="shared" si="172"/>
        <v>-1.0084901385207528</v>
      </c>
      <c r="U255">
        <f t="shared" si="173"/>
        <v>0.61401676816986328</v>
      </c>
      <c r="V255">
        <f t="shared" si="174"/>
        <v>-0.90965667691730578</v>
      </c>
      <c r="X255">
        <f t="shared" si="192"/>
        <v>-18.790738536748467</v>
      </c>
      <c r="Y255">
        <f t="shared" si="175"/>
        <v>-141.93343232770883</v>
      </c>
      <c r="Z255">
        <f t="shared" si="193"/>
        <v>38.066567672291171</v>
      </c>
      <c r="AC255">
        <v>1</v>
      </c>
      <c r="AD255">
        <f t="shared" si="176"/>
        <v>59.559570095759995</v>
      </c>
      <c r="AE255">
        <f t="shared" si="177"/>
        <v>-1.1507382320474966E-2</v>
      </c>
      <c r="AF255">
        <f t="shared" si="178"/>
        <v>8.951968256174999E-3</v>
      </c>
      <c r="AG255">
        <f t="shared" si="194"/>
        <v>2454.2431743286643</v>
      </c>
      <c r="AH255">
        <f t="shared" si="195"/>
        <v>-3266.5346522252448</v>
      </c>
      <c r="AJ255">
        <f t="shared" si="179"/>
        <v>18000</v>
      </c>
      <c r="AK255">
        <f t="shared" si="180"/>
        <v>28563.863028624</v>
      </c>
      <c r="AL255">
        <v>1</v>
      </c>
      <c r="AM255">
        <f t="shared" si="181"/>
        <v>52.593779544767997</v>
      </c>
      <c r="AN255">
        <f t="shared" si="196"/>
        <v>549.41216893200647</v>
      </c>
      <c r="AO255">
        <f t="shared" si="197"/>
        <v>-331.79946339878455</v>
      </c>
      <c r="AQ255">
        <f t="shared" si="182"/>
        <v>5.9488045877180984E-2</v>
      </c>
      <c r="AR255">
        <f t="shared" si="183"/>
        <v>-24.390098809644201</v>
      </c>
      <c r="AT255">
        <f t="shared" si="209"/>
        <v>-79525.10480235226</v>
      </c>
      <c r="AU255">
        <f t="shared" si="210"/>
        <v>-60053.553288021933</v>
      </c>
      <c r="AV255">
        <f t="shared" si="198"/>
        <v>-2.4948023197226616</v>
      </c>
      <c r="AW255">
        <f t="shared" si="199"/>
        <v>-4977.2833512489069</v>
      </c>
      <c r="AX255">
        <f t="shared" si="200"/>
        <v>-17797.362843879993</v>
      </c>
      <c r="AY255">
        <f t="shared" si="208"/>
        <v>-1.8434935169763744</v>
      </c>
      <c r="BA255">
        <f t="shared" si="184"/>
        <v>5.3923934551446822</v>
      </c>
      <c r="BB255">
        <f t="shared" si="201"/>
        <v>14.635631458245978</v>
      </c>
      <c r="BC255">
        <f t="shared" si="202"/>
        <v>-0.65130880274628722</v>
      </c>
      <c r="BD255">
        <f t="shared" si="185"/>
        <v>-217.31724559972207</v>
      </c>
      <c r="BF255">
        <f t="shared" si="186"/>
        <v>-20.23220792882767</v>
      </c>
      <c r="BG255">
        <f t="shared" si="187"/>
        <v>-157.29778926562594</v>
      </c>
      <c r="BH255">
        <f t="shared" si="203"/>
        <v>22.702210734374063</v>
      </c>
      <c r="BI255">
        <f t="shared" si="204"/>
        <v>22.702210734374063</v>
      </c>
      <c r="BJ255">
        <f t="shared" si="188"/>
        <v>0</v>
      </c>
      <c r="BK255">
        <f t="shared" si="205"/>
        <v>0</v>
      </c>
      <c r="BM255">
        <f t="shared" si="206"/>
        <v>-34.867839387073651</v>
      </c>
      <c r="BN255">
        <f t="shared" si="189"/>
        <v>-119.98054366590385</v>
      </c>
      <c r="BQ255" s="56">
        <f t="shared" si="207"/>
        <v>31.537592258531117</v>
      </c>
      <c r="BR255" s="59"/>
      <c r="BS255" s="59"/>
      <c r="BT255" s="59">
        <v>28183.829000000002</v>
      </c>
      <c r="BU255" s="59">
        <v>-2.6523400000000001</v>
      </c>
      <c r="BV255" s="59">
        <v>-157.06299999999999</v>
      </c>
      <c r="BY255" s="59"/>
      <c r="BZ255" s="59"/>
      <c r="CA255" s="59"/>
      <c r="CC255" s="59"/>
    </row>
    <row r="256" spans="1:81" x14ac:dyDescent="0.25">
      <c r="A256">
        <f t="shared" si="211"/>
        <v>210000</v>
      </c>
      <c r="B256">
        <f t="shared" si="191"/>
        <v>210</v>
      </c>
      <c r="C256">
        <f t="shared" si="159"/>
        <v>2.0083613432944323</v>
      </c>
      <c r="D256">
        <f t="shared" si="160"/>
        <v>1.0495995509415679</v>
      </c>
      <c r="F256">
        <f t="shared" si="161"/>
        <v>5.8150793125310196E-4</v>
      </c>
      <c r="G256">
        <f t="shared" si="162"/>
        <v>8.2053973016422733E-3</v>
      </c>
      <c r="H256">
        <f t="shared" si="163"/>
        <v>-3.1333872526983577</v>
      </c>
      <c r="J256">
        <f t="shared" si="164"/>
        <v>15</v>
      </c>
      <c r="M256">
        <f t="shared" si="165"/>
        <v>6.0581988989287195E-3</v>
      </c>
      <c r="N256">
        <f t="shared" si="166"/>
        <v>-1.5707963250000001</v>
      </c>
      <c r="O256">
        <f t="shared" si="167"/>
        <v>61.020437063399953</v>
      </c>
      <c r="P256">
        <f t="shared" si="168"/>
        <v>1.5544076410632557</v>
      </c>
      <c r="Q256">
        <f t="shared" si="169"/>
        <v>53.885834331107638</v>
      </c>
      <c r="R256">
        <f t="shared" si="170"/>
        <v>1.5522375085140505</v>
      </c>
      <c r="S256">
        <f t="shared" si="171"/>
        <v>0.52396044059369706</v>
      </c>
      <c r="T256">
        <f t="shared" si="172"/>
        <v>-1.0193021814116128</v>
      </c>
      <c r="U256">
        <f t="shared" si="173"/>
        <v>0.60478560433829709</v>
      </c>
      <c r="V256">
        <f t="shared" si="174"/>
        <v>-0.9212996968470254</v>
      </c>
      <c r="X256">
        <f t="shared" si="192"/>
        <v>-19.1263569571041</v>
      </c>
      <c r="Y256">
        <f t="shared" si="175"/>
        <v>-142.58288259582662</v>
      </c>
      <c r="Z256">
        <f t="shared" si="193"/>
        <v>37.417117404173382</v>
      </c>
      <c r="AC256">
        <v>1</v>
      </c>
      <c r="AD256">
        <f t="shared" si="176"/>
        <v>61.012242537120002</v>
      </c>
      <c r="AE256">
        <f t="shared" si="177"/>
        <v>-1.2075563601021917E-2</v>
      </c>
      <c r="AF256">
        <f t="shared" si="178"/>
        <v>9.1703089453499999E-3</v>
      </c>
      <c r="AG256">
        <f t="shared" si="194"/>
        <v>2381.0034200386385</v>
      </c>
      <c r="AH256">
        <f t="shared" si="195"/>
        <v>-3244.3790509384794</v>
      </c>
      <c r="AJ256">
        <f t="shared" si="179"/>
        <v>18000</v>
      </c>
      <c r="AK256">
        <f t="shared" si="180"/>
        <v>29260.542614687998</v>
      </c>
      <c r="AL256">
        <v>1</v>
      </c>
      <c r="AM256">
        <f t="shared" si="181"/>
        <v>53.876554655615998</v>
      </c>
      <c r="AN256">
        <f t="shared" si="196"/>
        <v>549.1154322633256</v>
      </c>
      <c r="AO256">
        <f t="shared" si="197"/>
        <v>-323.90498388927</v>
      </c>
      <c r="AQ256">
        <f t="shared" si="182"/>
        <v>5.6689021037295707E-2</v>
      </c>
      <c r="AR256">
        <f t="shared" si="183"/>
        <v>-23.809388835664198</v>
      </c>
      <c r="AT256">
        <f t="shared" si="209"/>
        <v>-77111.705601108988</v>
      </c>
      <c r="AU256">
        <f t="shared" si="210"/>
        <v>-56874.156919017842</v>
      </c>
      <c r="AV256">
        <f t="shared" si="198"/>
        <v>-2.5061037614917492</v>
      </c>
      <c r="AW256">
        <f t="shared" si="199"/>
        <v>-4674.1158396525898</v>
      </c>
      <c r="AX256">
        <f t="shared" si="200"/>
        <v>-17423.030481012745</v>
      </c>
      <c r="AY256">
        <f t="shared" si="208"/>
        <v>-1.8328971204809061</v>
      </c>
      <c r="BA256">
        <f t="shared" si="184"/>
        <v>5.3116231719439044</v>
      </c>
      <c r="BB256">
        <f t="shared" si="201"/>
        <v>14.504545136873912</v>
      </c>
      <c r="BC256">
        <f t="shared" si="202"/>
        <v>-0.67320664101084304</v>
      </c>
      <c r="BD256">
        <f t="shared" si="185"/>
        <v>-218.57189931417486</v>
      </c>
      <c r="BF256">
        <f t="shared" si="186"/>
        <v>-20.625679761412684</v>
      </c>
      <c r="BG256">
        <f t="shared" si="187"/>
        <v>-157.96414016252993</v>
      </c>
      <c r="BH256">
        <f t="shared" si="203"/>
        <v>22.03585983747007</v>
      </c>
      <c r="BI256">
        <f t="shared" si="204"/>
        <v>22.03585983747007</v>
      </c>
      <c r="BJ256">
        <f t="shared" si="188"/>
        <v>0</v>
      </c>
      <c r="BK256">
        <f t="shared" si="205"/>
        <v>0</v>
      </c>
      <c r="BM256">
        <f t="shared" si="206"/>
        <v>-35.130224898286592</v>
      </c>
      <c r="BN256">
        <f t="shared" si="189"/>
        <v>-119.39224084835509</v>
      </c>
      <c r="BQ256" s="56">
        <f t="shared" si="207"/>
        <v>31.406505937159046</v>
      </c>
      <c r="BR256" s="59"/>
      <c r="BS256" s="59"/>
      <c r="BT256" s="59">
        <v>28840.314999999999</v>
      </c>
      <c r="BU256" s="59">
        <v>-2.5506799999999998</v>
      </c>
      <c r="BV256" s="59">
        <v>-156.01</v>
      </c>
      <c r="BY256" s="59"/>
      <c r="BZ256" s="59"/>
      <c r="CA256" s="59"/>
      <c r="CC256" s="59"/>
    </row>
    <row r="257" spans="1:81" x14ac:dyDescent="0.25">
      <c r="A257">
        <f t="shared" si="211"/>
        <v>215000</v>
      </c>
      <c r="B257">
        <f t="shared" si="191"/>
        <v>215</v>
      </c>
      <c r="C257">
        <f t="shared" si="159"/>
        <v>2.0444285445882562</v>
      </c>
      <c r="D257">
        <f t="shared" si="160"/>
        <v>1.0596994584688166</v>
      </c>
      <c r="F257">
        <f t="shared" si="161"/>
        <v>5.5476149099964542E-4</v>
      </c>
      <c r="G257">
        <f t="shared" si="162"/>
        <v>8.0143668757993464E-3</v>
      </c>
      <c r="H257">
        <f t="shared" si="163"/>
        <v>-3.1335782831242009</v>
      </c>
      <c r="J257">
        <f t="shared" si="164"/>
        <v>15</v>
      </c>
      <c r="M257">
        <f t="shared" si="165"/>
        <v>5.9173105524420047E-3</v>
      </c>
      <c r="N257">
        <f t="shared" si="166"/>
        <v>-1.5707963250000001</v>
      </c>
      <c r="O257">
        <f t="shared" si="167"/>
        <v>62.472918959087664</v>
      </c>
      <c r="P257">
        <f t="shared" si="168"/>
        <v>1.5547887074095315</v>
      </c>
      <c r="Q257">
        <f t="shared" si="169"/>
        <v>55.168393671426777</v>
      </c>
      <c r="R257">
        <f t="shared" si="170"/>
        <v>1.5526690132711718</v>
      </c>
      <c r="S257">
        <f t="shared" si="171"/>
        <v>0.51503565566037524</v>
      </c>
      <c r="T257">
        <f t="shared" si="172"/>
        <v>-1.0297470810517328</v>
      </c>
      <c r="U257">
        <f t="shared" si="173"/>
        <v>0.59575069213945675</v>
      </c>
      <c r="V257">
        <f t="shared" si="174"/>
        <v>-0.93259633947220555</v>
      </c>
      <c r="X257">
        <f t="shared" si="192"/>
        <v>-19.456442939269451</v>
      </c>
      <c r="Y257">
        <f t="shared" si="175"/>
        <v>-143.21428747605182</v>
      </c>
      <c r="Z257">
        <f t="shared" si="193"/>
        <v>36.785712523948177</v>
      </c>
      <c r="AC257">
        <v>1</v>
      </c>
      <c r="AD257">
        <f t="shared" si="176"/>
        <v>62.464914978480003</v>
      </c>
      <c r="AE257">
        <f t="shared" si="177"/>
        <v>-1.2657435996762764E-2</v>
      </c>
      <c r="AF257">
        <f t="shared" si="178"/>
        <v>9.3886496345250009E-3</v>
      </c>
      <c r="AG257">
        <f t="shared" si="194"/>
        <v>2310.3950216912444</v>
      </c>
      <c r="AH257">
        <f t="shared" si="195"/>
        <v>-3221.3021351953303</v>
      </c>
      <c r="AJ257">
        <f t="shared" si="179"/>
        <v>18000</v>
      </c>
      <c r="AK257">
        <f t="shared" si="180"/>
        <v>29957.222200751996</v>
      </c>
      <c r="AL257">
        <v>1</v>
      </c>
      <c r="AM257">
        <f t="shared" si="181"/>
        <v>55.159329766463998</v>
      </c>
      <c r="AN257">
        <f t="shared" si="196"/>
        <v>548.83914738671149</v>
      </c>
      <c r="AO257">
        <f t="shared" si="197"/>
        <v>-316.37731869656108</v>
      </c>
      <c r="AQ257">
        <f t="shared" si="182"/>
        <v>5.4082995765301428E-2</v>
      </c>
      <c r="AR257">
        <f t="shared" si="183"/>
        <v>-23.255688179079616</v>
      </c>
      <c r="AT257">
        <f t="shared" si="209"/>
        <v>-74788.644902531669</v>
      </c>
      <c r="AU257">
        <f t="shared" si="210"/>
        <v>-53904.043864685998</v>
      </c>
      <c r="AV257">
        <f t="shared" si="198"/>
        <v>-2.5170747084496075</v>
      </c>
      <c r="AW257">
        <f t="shared" si="199"/>
        <v>-4394.3344238991895</v>
      </c>
      <c r="AX257">
        <f t="shared" si="200"/>
        <v>-17064.631408317247</v>
      </c>
      <c r="AY257">
        <f t="shared" si="208"/>
        <v>-1.8228318047003773</v>
      </c>
      <c r="BA257">
        <f t="shared" si="184"/>
        <v>5.2317203655225875</v>
      </c>
      <c r="BB257">
        <f t="shared" si="201"/>
        <v>14.372890459550501</v>
      </c>
      <c r="BC257">
        <f t="shared" si="202"/>
        <v>-0.69424290374923014</v>
      </c>
      <c r="BD257">
        <f t="shared" si="185"/>
        <v>-219.77718838718999</v>
      </c>
      <c r="BF257">
        <f t="shared" si="186"/>
        <v>-21.011719504960318</v>
      </c>
      <c r="BG257">
        <f t="shared" si="187"/>
        <v>-158.60169239727199</v>
      </c>
      <c r="BH257">
        <f t="shared" si="203"/>
        <v>21.398307602728011</v>
      </c>
      <c r="BI257">
        <f t="shared" si="204"/>
        <v>21.398307602728011</v>
      </c>
      <c r="BJ257">
        <f t="shared" si="188"/>
        <v>0</v>
      </c>
      <c r="BK257">
        <f t="shared" si="205"/>
        <v>0</v>
      </c>
      <c r="BM257">
        <f t="shared" si="206"/>
        <v>-35.384609964510815</v>
      </c>
      <c r="BN257">
        <f t="shared" si="189"/>
        <v>-118.82450401008201</v>
      </c>
      <c r="BQ257" s="56">
        <f t="shared" si="207"/>
        <v>31.274851259835636</v>
      </c>
      <c r="BR257" s="59"/>
      <c r="BS257" s="59"/>
      <c r="BT257" s="59">
        <v>29512.092000000001</v>
      </c>
      <c r="BU257" s="59">
        <v>-2.44991</v>
      </c>
      <c r="BV257" s="59">
        <v>-155.03200000000001</v>
      </c>
      <c r="BY257" s="59"/>
      <c r="BZ257" s="59"/>
      <c r="CA257" s="59"/>
      <c r="CC257" s="59"/>
    </row>
    <row r="258" spans="1:81" x14ac:dyDescent="0.25">
      <c r="A258">
        <f t="shared" si="211"/>
        <v>220000</v>
      </c>
      <c r="B258">
        <f t="shared" si="191"/>
        <v>220</v>
      </c>
      <c r="C258">
        <f t="shared" si="159"/>
        <v>2.08069705203543</v>
      </c>
      <c r="D258">
        <f t="shared" si="160"/>
        <v>1.0694482300482455</v>
      </c>
      <c r="F258">
        <f t="shared" si="161"/>
        <v>5.2981908894072258E-4</v>
      </c>
      <c r="G258">
        <f t="shared" si="162"/>
        <v>7.8320333110431378E-3</v>
      </c>
      <c r="H258">
        <f t="shared" si="163"/>
        <v>-3.1337606166889569</v>
      </c>
      <c r="J258">
        <f t="shared" si="164"/>
        <v>15</v>
      </c>
      <c r="M258">
        <f t="shared" si="165"/>
        <v>5.7828262217046863E-3</v>
      </c>
      <c r="N258">
        <f t="shared" si="166"/>
        <v>-1.5707963250000001</v>
      </c>
      <c r="O258">
        <f t="shared" si="167"/>
        <v>63.925409514315106</v>
      </c>
      <c r="P258">
        <f t="shared" si="168"/>
        <v>1.5551524568970447</v>
      </c>
      <c r="Q258">
        <f t="shared" si="169"/>
        <v>56.450962817134375</v>
      </c>
      <c r="R258">
        <f t="shared" si="170"/>
        <v>1.5530809104759467</v>
      </c>
      <c r="S258">
        <f t="shared" si="171"/>
        <v>0.50635732234761666</v>
      </c>
      <c r="T258">
        <f t="shared" si="172"/>
        <v>-1.0398410588616966</v>
      </c>
      <c r="U258">
        <f t="shared" si="173"/>
        <v>0.58691013423007365</v>
      </c>
      <c r="V258">
        <f t="shared" si="174"/>
        <v>-0.94355907697586683</v>
      </c>
      <c r="X258">
        <f t="shared" si="192"/>
        <v>-19.781171406605022</v>
      </c>
      <c r="Y258">
        <f t="shared" si="175"/>
        <v>-143.82819058955687</v>
      </c>
      <c r="Z258">
        <f t="shared" si="193"/>
        <v>36.171809410443132</v>
      </c>
      <c r="AC258">
        <v>1</v>
      </c>
      <c r="AD258">
        <f t="shared" si="176"/>
        <v>63.917587419839997</v>
      </c>
      <c r="AE258">
        <f t="shared" si="177"/>
        <v>-1.3252999507697521E-2</v>
      </c>
      <c r="AF258">
        <f t="shared" si="178"/>
        <v>9.6069903236999984E-3</v>
      </c>
      <c r="AG258">
        <f t="shared" si="194"/>
        <v>2242.3342272615782</v>
      </c>
      <c r="AH258">
        <f t="shared" si="195"/>
        <v>-3197.4274330444546</v>
      </c>
      <c r="AJ258">
        <f t="shared" si="179"/>
        <v>18000</v>
      </c>
      <c r="AK258">
        <f t="shared" si="180"/>
        <v>30653.901786815997</v>
      </c>
      <c r="AL258">
        <v>1</v>
      </c>
      <c r="AM258">
        <f t="shared" si="181"/>
        <v>56.442104877311998</v>
      </c>
      <c r="AN258">
        <f t="shared" si="196"/>
        <v>548.58147732831947</v>
      </c>
      <c r="AO258">
        <f t="shared" si="197"/>
        <v>-309.1914902997641</v>
      </c>
      <c r="AQ258">
        <f t="shared" si="182"/>
        <v>5.1652625761230572E-2</v>
      </c>
      <c r="AR258">
        <f t="shared" si="183"/>
        <v>-22.72715533494145</v>
      </c>
      <c r="AT258">
        <f t="shared" si="209"/>
        <v>-72552.607492332085</v>
      </c>
      <c r="AU258">
        <f t="shared" si="210"/>
        <v>-51127.033818427524</v>
      </c>
      <c r="AV258">
        <f t="shared" si="198"/>
        <v>-2.5277265503089739</v>
      </c>
      <c r="AW258">
        <f t="shared" si="199"/>
        <v>-4135.6813457386652</v>
      </c>
      <c r="AX258">
        <f t="shared" si="200"/>
        <v>-16721.094851411057</v>
      </c>
      <c r="AY258">
        <f t="shared" si="208"/>
        <v>-1.8132634587919623</v>
      </c>
      <c r="BA258">
        <f t="shared" si="184"/>
        <v>5.1528325261821832</v>
      </c>
      <c r="BB258">
        <f t="shared" si="201"/>
        <v>14.24092055099954</v>
      </c>
      <c r="BC258">
        <f t="shared" si="202"/>
        <v>-0.71446309151701159</v>
      </c>
      <c r="BD258">
        <f t="shared" si="185"/>
        <v>-220.93571980856973</v>
      </c>
      <c r="BF258">
        <f t="shared" si="186"/>
        <v>-21.390525200521662</v>
      </c>
      <c r="BG258">
        <f t="shared" si="187"/>
        <v>-159.21210729481115</v>
      </c>
      <c r="BH258">
        <f t="shared" si="203"/>
        <v>20.787892705188852</v>
      </c>
      <c r="BI258">
        <f t="shared" si="204"/>
        <v>20.787892705188852</v>
      </c>
      <c r="BJ258">
        <f t="shared" si="188"/>
        <v>0</v>
      </c>
      <c r="BK258">
        <f t="shared" si="205"/>
        <v>0</v>
      </c>
      <c r="BM258">
        <f t="shared" si="206"/>
        <v>-35.631445751521206</v>
      </c>
      <c r="BN258">
        <f t="shared" si="189"/>
        <v>-118.27638748624143</v>
      </c>
      <c r="BQ258" s="56">
        <f t="shared" si="207"/>
        <v>31.142881351284679</v>
      </c>
      <c r="BR258" s="59"/>
      <c r="BS258" s="59"/>
      <c r="BT258" s="59">
        <v>30199.517</v>
      </c>
      <c r="BU258" s="59">
        <v>-2.3553299999999999</v>
      </c>
      <c r="BV258" s="59">
        <v>-154.00200000000001</v>
      </c>
      <c r="BY258" s="59"/>
      <c r="BZ258" s="59"/>
      <c r="CA258" s="59"/>
      <c r="CC258" s="59"/>
    </row>
    <row r="259" spans="1:81" x14ac:dyDescent="0.25">
      <c r="A259">
        <f t="shared" si="211"/>
        <v>225000</v>
      </c>
      <c r="B259">
        <f t="shared" si="191"/>
        <v>225</v>
      </c>
      <c r="C259">
        <f t="shared" si="159"/>
        <v>2.1171565200769713</v>
      </c>
      <c r="D259">
        <f t="shared" si="160"/>
        <v>1.0788621044524151</v>
      </c>
      <c r="F259">
        <f t="shared" si="161"/>
        <v>5.0652203185660289E-4</v>
      </c>
      <c r="G259">
        <f t="shared" si="162"/>
        <v>7.6578156417548898E-3</v>
      </c>
      <c r="H259">
        <f t="shared" si="163"/>
        <v>-3.1339348343582452</v>
      </c>
      <c r="J259">
        <f t="shared" si="164"/>
        <v>15</v>
      </c>
      <c r="M259">
        <f t="shared" si="165"/>
        <v>5.6543189723334709E-3</v>
      </c>
      <c r="N259">
        <f t="shared" si="166"/>
        <v>-1.5707963250000001</v>
      </c>
      <c r="O259">
        <f t="shared" si="167"/>
        <v>65.377908151919456</v>
      </c>
      <c r="P259">
        <f t="shared" si="168"/>
        <v>1.555500043610258</v>
      </c>
      <c r="Q259">
        <f t="shared" si="169"/>
        <v>57.733541114740881</v>
      </c>
      <c r="R259">
        <f t="shared" si="170"/>
        <v>1.5534745067572522</v>
      </c>
      <c r="S259">
        <f t="shared" si="171"/>
        <v>0.49791836680128571</v>
      </c>
      <c r="T259">
        <f t="shared" si="172"/>
        <v>-1.0495995509415679</v>
      </c>
      <c r="U259">
        <f t="shared" si="173"/>
        <v>0.57826164312387696</v>
      </c>
      <c r="V259">
        <f t="shared" si="174"/>
        <v>-0.9541999764989425</v>
      </c>
      <c r="X259">
        <f t="shared" si="192"/>
        <v>-20.100707618338504</v>
      </c>
      <c r="Y259">
        <f t="shared" si="175"/>
        <v>-144.42512964123128</v>
      </c>
      <c r="Z259">
        <f t="shared" si="193"/>
        <v>35.57487035876872</v>
      </c>
      <c r="AC259">
        <v>1</v>
      </c>
      <c r="AD259">
        <f t="shared" si="176"/>
        <v>65.370259861199997</v>
      </c>
      <c r="AE259">
        <f t="shared" si="177"/>
        <v>-1.3862254133826179E-2</v>
      </c>
      <c r="AF259">
        <f t="shared" si="178"/>
        <v>9.8253310128749993E-3</v>
      </c>
      <c r="AG259">
        <f t="shared" si="194"/>
        <v>2176.736706035314</v>
      </c>
      <c r="AH259">
        <f t="shared" si="195"/>
        <v>-3172.8679024287871</v>
      </c>
      <c r="AJ259">
        <f t="shared" si="179"/>
        <v>18000</v>
      </c>
      <c r="AK259">
        <f t="shared" si="180"/>
        <v>31350.581372879999</v>
      </c>
      <c r="AL259">
        <v>1</v>
      </c>
      <c r="AM259">
        <f t="shared" si="181"/>
        <v>57.724879988159998</v>
      </c>
      <c r="AN259">
        <f t="shared" si="196"/>
        <v>548.3407868025098</v>
      </c>
      <c r="AO259">
        <f t="shared" si="197"/>
        <v>-302.32473790810849</v>
      </c>
      <c r="AQ259">
        <f t="shared" si="182"/>
        <v>4.9382472185322539E-2</v>
      </c>
      <c r="AR259">
        <f t="shared" si="183"/>
        <v>-22.222112483395144</v>
      </c>
      <c r="AT259">
        <f t="shared" si="209"/>
        <v>-70400.334782885955</v>
      </c>
      <c r="AU259">
        <f t="shared" si="210"/>
        <v>-48528.371989191168</v>
      </c>
      <c r="AV259">
        <f t="shared" si="198"/>
        <v>-2.5380703679142234</v>
      </c>
      <c r="AW259">
        <f t="shared" si="199"/>
        <v>-3896.1567934257223</v>
      </c>
      <c r="AX259">
        <f t="shared" si="200"/>
        <v>-16391.450689050573</v>
      </c>
      <c r="AY259">
        <f t="shared" si="208"/>
        <v>-1.8041601832119611</v>
      </c>
      <c r="BA259">
        <f t="shared" si="184"/>
        <v>5.0750785118978632</v>
      </c>
      <c r="BB259">
        <f t="shared" si="201"/>
        <v>14.108855304198649</v>
      </c>
      <c r="BC259">
        <f t="shared" si="202"/>
        <v>-0.73391018470226221</v>
      </c>
      <c r="BD259">
        <f t="shared" si="185"/>
        <v>-222.04995617315541</v>
      </c>
      <c r="BF259">
        <f t="shared" si="186"/>
        <v>-21.762293381505401</v>
      </c>
      <c r="BG259">
        <f t="shared" si="187"/>
        <v>-159.79695032373357</v>
      </c>
      <c r="BH259">
        <f t="shared" si="203"/>
        <v>20.203049676266431</v>
      </c>
      <c r="BI259">
        <f t="shared" si="204"/>
        <v>20.203049676266431</v>
      </c>
      <c r="BJ259">
        <f t="shared" si="188"/>
        <v>0</v>
      </c>
      <c r="BK259">
        <f t="shared" si="205"/>
        <v>0</v>
      </c>
      <c r="BM259">
        <f t="shared" si="206"/>
        <v>-35.87114868570405</v>
      </c>
      <c r="BN259">
        <f t="shared" si="189"/>
        <v>-117.74699415057817</v>
      </c>
      <c r="BQ259" s="56">
        <f t="shared" si="207"/>
        <v>31.010816104483784</v>
      </c>
      <c r="BR259" s="59"/>
      <c r="BS259" s="59"/>
      <c r="BT259" s="59">
        <v>30902.954000000002</v>
      </c>
      <c r="BU259" s="59">
        <v>-2.2543500000000001</v>
      </c>
      <c r="BV259" s="59">
        <v>-152.994</v>
      </c>
      <c r="BY259" s="59"/>
      <c r="BZ259" s="59"/>
      <c r="CA259" s="59"/>
      <c r="CC259" s="59"/>
    </row>
    <row r="260" spans="1:81" x14ac:dyDescent="0.25">
      <c r="A260">
        <f t="shared" si="211"/>
        <v>230000</v>
      </c>
      <c r="B260">
        <f t="shared" si="191"/>
        <v>230</v>
      </c>
      <c r="C260">
        <f t="shared" si="159"/>
        <v>2.1537972509950345</v>
      </c>
      <c r="D260">
        <f t="shared" si="160"/>
        <v>1.0879564615958981</v>
      </c>
      <c r="F260">
        <f t="shared" si="161"/>
        <v>4.8472870236236903E-4</v>
      </c>
      <c r="G260">
        <f t="shared" si="162"/>
        <v>7.4911835447349605E-3</v>
      </c>
      <c r="H260">
        <f t="shared" si="163"/>
        <v>-3.1341014664552653</v>
      </c>
      <c r="J260">
        <f t="shared" si="164"/>
        <v>15</v>
      </c>
      <c r="M260">
        <f t="shared" si="165"/>
        <v>5.5313989946740479E-3</v>
      </c>
      <c r="N260">
        <f t="shared" si="166"/>
        <v>-1.5707963250000001</v>
      </c>
      <c r="O260">
        <f t="shared" si="167"/>
        <v>66.830414344911219</v>
      </c>
      <c r="P260">
        <f t="shared" si="168"/>
        <v>1.5558325213176558</v>
      </c>
      <c r="Q260">
        <f t="shared" si="169"/>
        <v>59.016127967560571</v>
      </c>
      <c r="R260">
        <f t="shared" si="170"/>
        <v>1.5538509951809651</v>
      </c>
      <c r="S260">
        <f t="shared" si="171"/>
        <v>0.48971172392969842</v>
      </c>
      <c r="T260">
        <f t="shared" si="172"/>
        <v>-1.059037240224628</v>
      </c>
      <c r="U260">
        <f t="shared" si="173"/>
        <v>0.56980260206514977</v>
      </c>
      <c r="V260">
        <f t="shared" si="174"/>
        <v>-0.96453069888631826</v>
      </c>
      <c r="X260">
        <f t="shared" si="192"/>
        <v>-20.415208086531095</v>
      </c>
      <c r="Y260">
        <f t="shared" si="175"/>
        <v>-145.00563446534181</v>
      </c>
      <c r="Z260">
        <f t="shared" si="193"/>
        <v>34.994365534658186</v>
      </c>
      <c r="AC260">
        <v>1</v>
      </c>
      <c r="AD260">
        <f t="shared" si="176"/>
        <v>66.822932302560005</v>
      </c>
      <c r="AE260">
        <f t="shared" si="177"/>
        <v>-1.4485199875148739E-2</v>
      </c>
      <c r="AF260">
        <f t="shared" si="178"/>
        <v>1.004367170205E-2</v>
      </c>
      <c r="AG260">
        <f t="shared" si="194"/>
        <v>2113.5181672345316</v>
      </c>
      <c r="AH260">
        <f t="shared" si="195"/>
        <v>-3147.7266511705466</v>
      </c>
      <c r="AJ260">
        <f t="shared" si="179"/>
        <v>18000</v>
      </c>
      <c r="AK260">
        <f t="shared" si="180"/>
        <v>32047.260958944</v>
      </c>
      <c r="AL260">
        <v>1</v>
      </c>
      <c r="AM260">
        <f t="shared" si="181"/>
        <v>59.007655099007998</v>
      </c>
      <c r="AN260">
        <f t="shared" si="196"/>
        <v>548.11561621333351</v>
      </c>
      <c r="AO260">
        <f t="shared" si="197"/>
        <v>-295.75627695261625</v>
      </c>
      <c r="AQ260">
        <f t="shared" si="182"/>
        <v>4.7258755865993068E-2</v>
      </c>
      <c r="AR260">
        <f t="shared" si="183"/>
        <v>-21.739027698356814</v>
      </c>
      <c r="AT260">
        <f t="shared" si="209"/>
        <v>-68328.63461756878</v>
      </c>
      <c r="AU260">
        <f t="shared" si="210"/>
        <v>-46094.587623832362</v>
      </c>
      <c r="AV260">
        <f t="shared" si="198"/>
        <v>-2.5481169215395316</v>
      </c>
      <c r="AW260">
        <f t="shared" si="199"/>
        <v>-3673.9850935389054</v>
      </c>
      <c r="AX260">
        <f t="shared" si="200"/>
        <v>-16074.817433270146</v>
      </c>
      <c r="AY260">
        <f t="shared" si="208"/>
        <v>-1.7954921894127029</v>
      </c>
      <c r="BA260">
        <f t="shared" si="184"/>
        <v>4.9985526545602408</v>
      </c>
      <c r="BB260">
        <f t="shared" si="201"/>
        <v>13.97688542619299</v>
      </c>
      <c r="BC260">
        <f t="shared" si="202"/>
        <v>-0.75262473212682868</v>
      </c>
      <c r="BD260">
        <f t="shared" si="185"/>
        <v>-223.12222075730574</v>
      </c>
      <c r="BF260">
        <f t="shared" si="186"/>
        <v>-22.127218296991003</v>
      </c>
      <c r="BG260">
        <f t="shared" si="187"/>
        <v>-160.35769394148383</v>
      </c>
      <c r="BH260">
        <f t="shared" si="203"/>
        <v>19.642306058516169</v>
      </c>
      <c r="BI260">
        <f t="shared" si="204"/>
        <v>19.642306058516169</v>
      </c>
      <c r="BJ260">
        <f t="shared" si="188"/>
        <v>0</v>
      </c>
      <c r="BK260">
        <f t="shared" si="205"/>
        <v>0</v>
      </c>
      <c r="BM260">
        <f t="shared" si="206"/>
        <v>-36.104103723183989</v>
      </c>
      <c r="BN260">
        <f t="shared" si="189"/>
        <v>-117.23547318417812</v>
      </c>
      <c r="BQ260" s="56">
        <f t="shared" si="207"/>
        <v>30.878846226478124</v>
      </c>
      <c r="BR260" s="59"/>
      <c r="BS260" s="59"/>
      <c r="BT260" s="59">
        <v>31622.776999999998</v>
      </c>
      <c r="BU260" s="59">
        <v>-2.1282199999999998</v>
      </c>
      <c r="BV260" s="59">
        <v>-152.041</v>
      </c>
      <c r="BY260" s="59"/>
      <c r="BZ260" s="59"/>
      <c r="CA260" s="59"/>
      <c r="CC260" s="59"/>
    </row>
    <row r="261" spans="1:81" x14ac:dyDescent="0.25">
      <c r="A261">
        <f t="shared" si="211"/>
        <v>235000</v>
      </c>
      <c r="B261">
        <f t="shared" si="191"/>
        <v>235</v>
      </c>
      <c r="C261">
        <f t="shared" si="159"/>
        <v>2.1906101492545251</v>
      </c>
      <c r="D261">
        <f t="shared" si="160"/>
        <v>1.0967458666973253</v>
      </c>
      <c r="F261">
        <f t="shared" si="161"/>
        <v>4.6431240024052929E-4</v>
      </c>
      <c r="G261">
        <f t="shared" si="162"/>
        <v>7.3316519364105028E-3</v>
      </c>
      <c r="H261">
        <f t="shared" si="163"/>
        <v>-3.1342609980635898</v>
      </c>
      <c r="J261">
        <f t="shared" si="164"/>
        <v>15</v>
      </c>
      <c r="M261">
        <f t="shared" si="165"/>
        <v>5.4137096543618347E-3</v>
      </c>
      <c r="N261">
        <f t="shared" si="166"/>
        <v>-1.5707963250000001</v>
      </c>
      <c r="O261">
        <f t="shared" si="167"/>
        <v>68.282927611138575</v>
      </c>
      <c r="P261">
        <f t="shared" si="168"/>
        <v>1.5561508541388149</v>
      </c>
      <c r="Q261">
        <f t="shared" si="169"/>
        <v>60.298722829671256</v>
      </c>
      <c r="R261">
        <f t="shared" si="170"/>
        <v>1.5542114673241032</v>
      </c>
      <c r="S261">
        <f t="shared" si="171"/>
        <v>0.48173037579779387</v>
      </c>
      <c r="T261">
        <f t="shared" si="172"/>
        <v>-1.068168088955733</v>
      </c>
      <c r="U261">
        <f t="shared" si="173"/>
        <v>0.56153011927393326</v>
      </c>
      <c r="V261">
        <f t="shared" si="174"/>
        <v>-0.97456250016241808</v>
      </c>
      <c r="X261">
        <f t="shared" si="192"/>
        <v>-20.724821370892755</v>
      </c>
      <c r="Y261">
        <f t="shared" si="175"/>
        <v>-145.57022544723279</v>
      </c>
      <c r="Z261">
        <f t="shared" si="193"/>
        <v>34.429774552767213</v>
      </c>
      <c r="AC261">
        <v>1</v>
      </c>
      <c r="AD261">
        <f t="shared" si="176"/>
        <v>68.275604743919999</v>
      </c>
      <c r="AE261">
        <f t="shared" si="177"/>
        <v>-1.5121836731665195E-2</v>
      </c>
      <c r="AF261">
        <f t="shared" si="178"/>
        <v>1.0262012391224999E-2</v>
      </c>
      <c r="AG261">
        <f t="shared" si="194"/>
        <v>2052.5948770312193</v>
      </c>
      <c r="AH261">
        <f t="shared" si="195"/>
        <v>-3122.0976339996337</v>
      </c>
      <c r="AJ261">
        <f t="shared" si="179"/>
        <v>18000</v>
      </c>
      <c r="AK261">
        <f t="shared" si="180"/>
        <v>32743.940545008001</v>
      </c>
      <c r="AL261">
        <v>1</v>
      </c>
      <c r="AM261">
        <f t="shared" si="181"/>
        <v>60.290430209855998</v>
      </c>
      <c r="AN261">
        <f t="shared" si="196"/>
        <v>547.90465948317842</v>
      </c>
      <c r="AO261">
        <f t="shared" si="197"/>
        <v>-289.46708921748308</v>
      </c>
      <c r="AQ261">
        <f t="shared" si="182"/>
        <v>4.526914771775592E-2</v>
      </c>
      <c r="AR261">
        <f t="shared" si="183"/>
        <v>-21.276499427345282</v>
      </c>
      <c r="AT261">
        <f t="shared" si="209"/>
        <v>-66334.38930121623</v>
      </c>
      <c r="AU261">
        <f t="shared" si="210"/>
        <v>-43813.368424709384</v>
      </c>
      <c r="AV261">
        <f t="shared" si="198"/>
        <v>-2.5578766432495117</v>
      </c>
      <c r="AW261">
        <f t="shared" si="199"/>
        <v>-3467.5858899081582</v>
      </c>
      <c r="AX261">
        <f t="shared" si="200"/>
        <v>-15770.391906853587</v>
      </c>
      <c r="AY261">
        <f t="shared" si="208"/>
        <v>-1.787231691976958</v>
      </c>
      <c r="BA261">
        <f t="shared" si="184"/>
        <v>4.9233283386032838</v>
      </c>
      <c r="BB261">
        <f t="shared" si="201"/>
        <v>13.845175999991444</v>
      </c>
      <c r="BC261">
        <f t="shared" si="202"/>
        <v>-0.77064495127255372</v>
      </c>
      <c r="BD261">
        <f t="shared" si="185"/>
        <v>-224.1547032614364</v>
      </c>
      <c r="BF261">
        <f t="shared" si="186"/>
        <v>-22.485491262126565</v>
      </c>
      <c r="BG261">
        <f t="shared" si="187"/>
        <v>-160.89572111616292</v>
      </c>
      <c r="BH261">
        <f t="shared" si="203"/>
        <v>19.104278883837083</v>
      </c>
      <c r="BI261">
        <f t="shared" si="204"/>
        <v>19.104278883837083</v>
      </c>
      <c r="BJ261">
        <f t="shared" si="188"/>
        <v>0</v>
      </c>
      <c r="BK261">
        <f t="shared" si="205"/>
        <v>0</v>
      </c>
      <c r="BM261">
        <f t="shared" si="206"/>
        <v>-36.330667262118006</v>
      </c>
      <c r="BN261">
        <f t="shared" si="189"/>
        <v>-116.74101785472652</v>
      </c>
      <c r="BQ261" s="56">
        <f t="shared" si="207"/>
        <v>30.747136800276582</v>
      </c>
      <c r="BR261" s="59"/>
      <c r="BS261" s="59"/>
      <c r="BT261" s="59">
        <v>32359.366000000002</v>
      </c>
      <c r="BU261" s="59">
        <v>-2.03586</v>
      </c>
      <c r="BV261" s="59">
        <v>-151.05000000000001</v>
      </c>
      <c r="BY261" s="59"/>
      <c r="BZ261" s="59"/>
      <c r="CA261" s="59"/>
      <c r="CC261" s="59"/>
    </row>
    <row r="262" spans="1:81" x14ac:dyDescent="0.25">
      <c r="A262">
        <f t="shared" si="211"/>
        <v>240000</v>
      </c>
      <c r="B262">
        <f t="shared" si="191"/>
        <v>240</v>
      </c>
      <c r="C262">
        <f t="shared" si="159"/>
        <v>2.2275866792055323</v>
      </c>
      <c r="D262">
        <f t="shared" si="160"/>
        <v>1.1052441131812663</v>
      </c>
      <c r="F262">
        <f t="shared" si="161"/>
        <v>4.4515949560884664E-4</v>
      </c>
      <c r="G262">
        <f t="shared" si="162"/>
        <v>7.1787762475564332E-3</v>
      </c>
      <c r="H262">
        <f t="shared" si="163"/>
        <v>-3.1344138737524436</v>
      </c>
      <c r="J262">
        <f t="shared" si="164"/>
        <v>15</v>
      </c>
      <c r="M262">
        <f t="shared" si="165"/>
        <v>5.3009240365626299E-3</v>
      </c>
      <c r="N262">
        <f t="shared" si="166"/>
        <v>-1.5707963250000001</v>
      </c>
      <c r="O262">
        <f t="shared" si="167"/>
        <v>69.735447508618151</v>
      </c>
      <c r="P262">
        <f t="shared" si="168"/>
        <v>1.5564559258787749</v>
      </c>
      <c r="Q262">
        <f t="shared" si="169"/>
        <v>61.581325200628577</v>
      </c>
      <c r="R262">
        <f t="shared" si="170"/>
        <v>1.5545569238406898</v>
      </c>
      <c r="S262">
        <f t="shared" si="171"/>
        <v>0.47396738317361614</v>
      </c>
      <c r="T262">
        <f t="shared" si="172"/>
        <v>-1.0770053711016692</v>
      </c>
      <c r="U262">
        <f t="shared" si="173"/>
        <v>0.55344107613345772</v>
      </c>
      <c r="V262">
        <f t="shared" si="174"/>
        <v>-0.98430623527757055</v>
      </c>
      <c r="X262">
        <f t="shared" si="192"/>
        <v>-21.029688770347626</v>
      </c>
      <c r="Y262">
        <f t="shared" si="175"/>
        <v>-146.11941226739606</v>
      </c>
      <c r="Z262">
        <f t="shared" si="193"/>
        <v>33.880587732603942</v>
      </c>
      <c r="AC262">
        <v>1</v>
      </c>
      <c r="AD262">
        <f t="shared" si="176"/>
        <v>69.728277185280007</v>
      </c>
      <c r="AE262">
        <f t="shared" si="177"/>
        <v>-1.5772164703375561E-2</v>
      </c>
      <c r="AF262">
        <f t="shared" si="178"/>
        <v>1.0480353080399999E-2</v>
      </c>
      <c r="AG262">
        <f t="shared" si="194"/>
        <v>1993.8840864705835</v>
      </c>
      <c r="AH262">
        <f t="shared" si="195"/>
        <v>-3096.066321652509</v>
      </c>
      <c r="AJ262">
        <f t="shared" si="179"/>
        <v>18000</v>
      </c>
      <c r="AK262">
        <f t="shared" si="180"/>
        <v>33440.620131071999</v>
      </c>
      <c r="AL262">
        <v>1</v>
      </c>
      <c r="AM262">
        <f t="shared" si="181"/>
        <v>61.573205320704005</v>
      </c>
      <c r="AN262">
        <f t="shared" si="196"/>
        <v>547.70674507804779</v>
      </c>
      <c r="AO262">
        <f t="shared" si="197"/>
        <v>-283.43973915312176</v>
      </c>
      <c r="AQ262">
        <f t="shared" si="182"/>
        <v>4.3402589398483515E-2</v>
      </c>
      <c r="AR262">
        <f t="shared" si="183"/>
        <v>-20.833242911272087</v>
      </c>
      <c r="AT262">
        <f t="shared" si="209"/>
        <v>-64414.562016082127</v>
      </c>
      <c r="AU262">
        <f t="shared" si="210"/>
        <v>-41673.448805670661</v>
      </c>
      <c r="AV262">
        <f t="shared" si="198"/>
        <v>-2.5673596326693291</v>
      </c>
      <c r="AW262">
        <f t="shared" si="199"/>
        <v>-3275.5494924719387</v>
      </c>
      <c r="AX262">
        <f t="shared" si="200"/>
        <v>-15477.440347226457</v>
      </c>
      <c r="AY262">
        <f t="shared" si="208"/>
        <v>-1.7793527969606628</v>
      </c>
      <c r="BA262">
        <f t="shared" si="184"/>
        <v>4.8494611097609113</v>
      </c>
      <c r="BB262">
        <f t="shared" si="201"/>
        <v>13.713869617157677</v>
      </c>
      <c r="BC262">
        <f t="shared" si="202"/>
        <v>-0.78800683570866625</v>
      </c>
      <c r="BD262">
        <f t="shared" si="185"/>
        <v>-225.14946596515622</v>
      </c>
      <c r="BF262">
        <f t="shared" si="186"/>
        <v>-22.837300124953806</v>
      </c>
      <c r="BG262">
        <f t="shared" si="187"/>
        <v>-161.41232929430609</v>
      </c>
      <c r="BH262">
        <f t="shared" si="203"/>
        <v>18.58767070569391</v>
      </c>
      <c r="BI262">
        <f t="shared" si="204"/>
        <v>18.58767070569391</v>
      </c>
      <c r="BJ262">
        <f t="shared" si="188"/>
        <v>0</v>
      </c>
      <c r="BK262">
        <f t="shared" si="205"/>
        <v>0</v>
      </c>
      <c r="BM262">
        <f t="shared" si="206"/>
        <v>-36.551169742111483</v>
      </c>
      <c r="BN262">
        <f t="shared" si="189"/>
        <v>-116.26286332914989</v>
      </c>
      <c r="BQ262" s="56">
        <f t="shared" si="207"/>
        <v>30.615830417442815</v>
      </c>
      <c r="BR262" s="59"/>
      <c r="BS262" s="59"/>
      <c r="BT262" s="59">
        <v>33113.112000000001</v>
      </c>
      <c r="BU262" s="59">
        <v>-1.91717</v>
      </c>
      <c r="BV262" s="59">
        <v>-150.17400000000001</v>
      </c>
      <c r="BY262" s="59"/>
      <c r="BZ262" s="59"/>
      <c r="CA262" s="59"/>
      <c r="CC262" s="59"/>
    </row>
    <row r="263" spans="1:81" x14ac:dyDescent="0.25">
      <c r="A263">
        <f t="shared" si="211"/>
        <v>245000</v>
      </c>
      <c r="B263">
        <f t="shared" si="191"/>
        <v>245</v>
      </c>
      <c r="C263">
        <f t="shared" si="159"/>
        <v>2.2647188259174165</v>
      </c>
      <c r="D263">
        <f t="shared" si="160"/>
        <v>1.1134642641156554</v>
      </c>
      <c r="F263">
        <f t="shared" si="161"/>
        <v>4.2716784347728281E-4</v>
      </c>
      <c r="G263">
        <f t="shared" si="162"/>
        <v>7.0321482783990835E-3</v>
      </c>
      <c r="H263">
        <f t="shared" si="163"/>
        <v>-3.1345605017216012</v>
      </c>
      <c r="J263">
        <f t="shared" si="164"/>
        <v>15</v>
      </c>
      <c r="M263">
        <f t="shared" si="165"/>
        <v>5.1927419133674735E-3</v>
      </c>
      <c r="N263">
        <f t="shared" si="166"/>
        <v>-1.5707963250000001</v>
      </c>
      <c r="O263">
        <f t="shared" si="167"/>
        <v>71.187973631437643</v>
      </c>
      <c r="P263">
        <f t="shared" si="168"/>
        <v>1.5567485482199854</v>
      </c>
      <c r="Q263">
        <f t="shared" si="169"/>
        <v>62.863934620827294</v>
      </c>
      <c r="R263">
        <f t="shared" si="170"/>
        <v>1.5548882837346556</v>
      </c>
      <c r="S263">
        <f t="shared" si="171"/>
        <v>0.46641591118457126</v>
      </c>
      <c r="T263">
        <f t="shared" si="172"/>
        <v>-1.085561704383744</v>
      </c>
      <c r="U263">
        <f t="shared" si="173"/>
        <v>0.54553216986437336</v>
      </c>
      <c r="V263">
        <f t="shared" si="174"/>
        <v>-0.99377236372385236</v>
      </c>
      <c r="X263">
        <f t="shared" si="192"/>
        <v>-21.32994492712168</v>
      </c>
      <c r="Y263">
        <f t="shared" si="175"/>
        <v>-146.65369292120099</v>
      </c>
      <c r="Z263">
        <f t="shared" si="193"/>
        <v>33.346307078799015</v>
      </c>
      <c r="AC263">
        <v>1</v>
      </c>
      <c r="AD263">
        <f t="shared" si="176"/>
        <v>71.18094962664</v>
      </c>
      <c r="AE263">
        <f t="shared" si="177"/>
        <v>-1.6436183790279828E-2</v>
      </c>
      <c r="AF263">
        <f t="shared" si="178"/>
        <v>1.0698693769575E-2</v>
      </c>
      <c r="AG263">
        <f t="shared" si="194"/>
        <v>1937.3043816482934</v>
      </c>
      <c r="AH263">
        <f t="shared" si="195"/>
        <v>-3069.7103386472936</v>
      </c>
      <c r="AJ263">
        <f t="shared" si="179"/>
        <v>18000</v>
      </c>
      <c r="AK263">
        <f t="shared" si="180"/>
        <v>34137.299717136004</v>
      </c>
      <c r="AL263">
        <v>1</v>
      </c>
      <c r="AM263">
        <f t="shared" si="181"/>
        <v>62.855980431552005</v>
      </c>
      <c r="AN263">
        <f t="shared" si="196"/>
        <v>547.52081971343273</v>
      </c>
      <c r="AO263">
        <f t="shared" si="197"/>
        <v>-277.65821263883896</v>
      </c>
      <c r="AQ263">
        <f t="shared" si="182"/>
        <v>4.164913932053594E-2</v>
      </c>
      <c r="AR263">
        <f t="shared" si="183"/>
        <v>-20.40807826706261</v>
      </c>
      <c r="AT263">
        <f t="shared" si="209"/>
        <v>-62566.201788227685</v>
      </c>
      <c r="AU263">
        <f t="shared" si="210"/>
        <v>-39664.510241369717</v>
      </c>
      <c r="AV263">
        <f t="shared" si="198"/>
        <v>-2.5765756556004087</v>
      </c>
      <c r="AW263">
        <f t="shared" si="199"/>
        <v>-3096.6157261212652</v>
      </c>
      <c r="AX263">
        <f t="shared" si="200"/>
        <v>-15195.290713511438</v>
      </c>
      <c r="AY263">
        <f t="shared" si="208"/>
        <v>-1.7718313893096769</v>
      </c>
      <c r="BA263">
        <f t="shared" si="184"/>
        <v>4.776991368219015</v>
      </c>
      <c r="BB263">
        <f t="shared" si="201"/>
        <v>13.583089130719461</v>
      </c>
      <c r="BC263">
        <f t="shared" si="202"/>
        <v>-0.80474426629073181</v>
      </c>
      <c r="BD263">
        <f t="shared" si="185"/>
        <v>-226.10845009849757</v>
      </c>
      <c r="BF263">
        <f t="shared" si="186"/>
        <v>-23.182828837967591</v>
      </c>
      <c r="BG263">
        <f t="shared" si="187"/>
        <v>-161.90873463540919</v>
      </c>
      <c r="BH263">
        <f t="shared" si="203"/>
        <v>18.091265364590811</v>
      </c>
      <c r="BI263">
        <f t="shared" si="204"/>
        <v>18.091265364590811</v>
      </c>
      <c r="BJ263">
        <f t="shared" si="188"/>
        <v>0</v>
      </c>
      <c r="BK263">
        <f t="shared" si="205"/>
        <v>0</v>
      </c>
      <c r="BM263">
        <f t="shared" si="206"/>
        <v>-36.765917968687056</v>
      </c>
      <c r="BN263">
        <f t="shared" si="189"/>
        <v>-115.80028453691162</v>
      </c>
      <c r="BQ263" s="56">
        <f t="shared" si="207"/>
        <v>30.4850499310046</v>
      </c>
      <c r="BR263" s="59"/>
      <c r="BS263" s="59"/>
      <c r="BT263" s="59">
        <v>33884.415999999997</v>
      </c>
      <c r="BU263" s="59">
        <v>-1.81593</v>
      </c>
      <c r="BV263" s="59">
        <v>-149.483</v>
      </c>
      <c r="BY263" s="59"/>
      <c r="BZ263" s="59"/>
      <c r="CA263" s="59"/>
      <c r="CC263" s="59"/>
    </row>
    <row r="264" spans="1:81" x14ac:dyDescent="0.25">
      <c r="A264">
        <f t="shared" si="211"/>
        <v>250000</v>
      </c>
      <c r="B264">
        <f t="shared" si="191"/>
        <v>250</v>
      </c>
      <c r="C264">
        <f t="shared" si="159"/>
        <v>2.3019990589245301</v>
      </c>
      <c r="D264">
        <f t="shared" si="160"/>
        <v>1.1214186920441729</v>
      </c>
      <c r="F264">
        <f t="shared" si="161"/>
        <v>4.1024541824766729E-4</v>
      </c>
      <c r="G264">
        <f t="shared" si="162"/>
        <v>6.8913925525728465E-3</v>
      </c>
      <c r="H264">
        <f t="shared" si="163"/>
        <v>-3.1347012574474276</v>
      </c>
      <c r="J264">
        <f t="shared" si="164"/>
        <v>15</v>
      </c>
      <c r="M264">
        <f t="shared" si="165"/>
        <v>5.0888870751001243E-3</v>
      </c>
      <c r="N264">
        <f t="shared" si="166"/>
        <v>-1.5707963250000001</v>
      </c>
      <c r="O264">
        <f t="shared" si="167"/>
        <v>72.640505606149631</v>
      </c>
      <c r="P264">
        <f t="shared" si="168"/>
        <v>1.5570294679316836</v>
      </c>
      <c r="Q264">
        <f t="shared" si="169"/>
        <v>64.146550667418964</v>
      </c>
      <c r="R264">
        <f t="shared" si="170"/>
        <v>1.5552063925206647</v>
      </c>
      <c r="S264">
        <f t="shared" si="171"/>
        <v>0.45906924992255371</v>
      </c>
      <c r="T264">
        <f t="shared" si="172"/>
        <v>-1.0938490816919293</v>
      </c>
      <c r="U264">
        <f t="shared" si="173"/>
        <v>0.53779995120012147</v>
      </c>
      <c r="V264">
        <f t="shared" si="174"/>
        <v>-1.0029709566709848</v>
      </c>
      <c r="X264">
        <f t="shared" si="192"/>
        <v>-21.625718356535593</v>
      </c>
      <c r="Y264">
        <f t="shared" si="175"/>
        <v>-147.17355297367649</v>
      </c>
      <c r="Z264">
        <f t="shared" si="193"/>
        <v>32.826447026323507</v>
      </c>
      <c r="AC264">
        <v>1</v>
      </c>
      <c r="AD264">
        <f t="shared" si="176"/>
        <v>72.633622067999994</v>
      </c>
      <c r="AE264">
        <f t="shared" si="177"/>
        <v>-1.7113893992378001E-2</v>
      </c>
      <c r="AF264">
        <f t="shared" si="178"/>
        <v>1.0917034458750001E-2</v>
      </c>
      <c r="AG264">
        <f t="shared" si="194"/>
        <v>1882.7759663498271</v>
      </c>
      <c r="AH264">
        <f t="shared" si="195"/>
        <v>-3043.1000676086405</v>
      </c>
      <c r="AJ264">
        <f t="shared" si="179"/>
        <v>18000</v>
      </c>
      <c r="AK264">
        <f t="shared" si="180"/>
        <v>34833.979303199994</v>
      </c>
      <c r="AL264">
        <v>1</v>
      </c>
      <c r="AM264">
        <f t="shared" si="181"/>
        <v>64.138755542400006</v>
      </c>
      <c r="AN264">
        <f t="shared" si="196"/>
        <v>547.34593431659789</v>
      </c>
      <c r="AO264">
        <f t="shared" si="197"/>
        <v>-272.10777505881032</v>
      </c>
      <c r="AQ264">
        <f t="shared" si="182"/>
        <v>3.9999840000639997E-2</v>
      </c>
      <c r="AR264">
        <f t="shared" si="183"/>
        <v>-19.99992000032</v>
      </c>
      <c r="AT264">
        <f t="shared" si="209"/>
        <v>-60786.447167730155</v>
      </c>
      <c r="AU264">
        <f t="shared" si="210"/>
        <v>-37777.092221332008</v>
      </c>
      <c r="AV264">
        <f t="shared" si="198"/>
        <v>-2.5855341449957545</v>
      </c>
      <c r="AW264">
        <f t="shared" si="199"/>
        <v>-2929.6557279099084</v>
      </c>
      <c r="AX264">
        <f t="shared" si="200"/>
        <v>-14923.326012027996</v>
      </c>
      <c r="AY264">
        <f t="shared" si="208"/>
        <v>-1.7646450214881302</v>
      </c>
      <c r="BA264">
        <f t="shared" si="184"/>
        <v>4.7059466961911749</v>
      </c>
      <c r="BB264">
        <f t="shared" si="201"/>
        <v>13.452940073114783</v>
      </c>
      <c r="BC264">
        <f t="shared" si="202"/>
        <v>-0.82088912350762433</v>
      </c>
      <c r="BD264">
        <f t="shared" si="185"/>
        <v>-227.03348227892383</v>
      </c>
      <c r="BF264">
        <f t="shared" si="186"/>
        <v>-23.522257122511341</v>
      </c>
      <c r="BG264">
        <f t="shared" si="187"/>
        <v>-162.386076375611</v>
      </c>
      <c r="BH264">
        <f t="shared" si="203"/>
        <v>17.613923624389002</v>
      </c>
      <c r="BI264">
        <f t="shared" si="204"/>
        <v>17.613923624389002</v>
      </c>
      <c r="BJ264">
        <f t="shared" si="188"/>
        <v>0</v>
      </c>
      <c r="BK264">
        <f t="shared" si="205"/>
        <v>0</v>
      </c>
      <c r="BM264">
        <f t="shared" si="206"/>
        <v>-36.975197195626123</v>
      </c>
      <c r="BN264">
        <f t="shared" si="189"/>
        <v>-115.35259409668717</v>
      </c>
      <c r="BQ264" s="56">
        <f t="shared" si="207"/>
        <v>30.35490087339992</v>
      </c>
      <c r="BR264" s="59"/>
      <c r="BS264" s="59"/>
      <c r="BT264" s="59">
        <v>34673.684999999998</v>
      </c>
      <c r="BU264" s="59">
        <v>-1.6807799999999999</v>
      </c>
      <c r="BV264" s="59">
        <v>-148.328</v>
      </c>
      <c r="BY264" s="59"/>
      <c r="BZ264" s="59"/>
      <c r="CA264" s="59"/>
      <c r="CC264" s="59"/>
    </row>
    <row r="265" spans="1:81" x14ac:dyDescent="0.25">
      <c r="A265">
        <f t="shared" si="211"/>
        <v>255000</v>
      </c>
      <c r="B265">
        <f t="shared" si="191"/>
        <v>255</v>
      </c>
      <c r="C265">
        <f t="shared" ref="C265:C328" si="212">SQRT((A265/Fesr)^2+1)</f>
        <v>2.3394202986739927</v>
      </c>
      <c r="D265">
        <f t="shared" ref="D265:D328" si="213">ATAN(A265/Fesr)</f>
        <v>1.1291191171240582</v>
      </c>
      <c r="F265">
        <f t="shared" ref="F265:F328" si="214">(Ro/(Ro+Rdcr))/SQRT((A265/(Q*Fo))^2+(1-(A265^2/Fo^2))^2)</f>
        <v>3.943091339599683E-4</v>
      </c>
      <c r="G265">
        <f t="shared" ref="G265:G328" si="215">-ATAN(A265*Fo/(Q*(Fo^2-A265^2)))</f>
        <v>6.7561631012364115E-3</v>
      </c>
      <c r="H265">
        <f t="shared" ref="H265:H328" si="216">IF(G265&gt;0,G265-Pi,G265)</f>
        <v>-3.1348364868987639</v>
      </c>
      <c r="J265">
        <f t="shared" ref="J265:J328" si="217">Vin/Vramp</f>
        <v>15</v>
      </c>
      <c r="M265">
        <f t="shared" ref="M265:M328" si="218">1/(2*Pi*_Rfb1*(Cc1ea_u+Cc2ea_u)*A265)</f>
        <v>4.9891049755883569E-3</v>
      </c>
      <c r="N265">
        <f t="shared" ref="N265:N328" si="219">-Pi/2</f>
        <v>-1.5707963250000001</v>
      </c>
      <c r="O265">
        <f t="shared" ref="O265:O328" si="220">SQRT(1+(A265/Fz1_u)^2)</f>
        <v>74.093043088589809</v>
      </c>
      <c r="P265">
        <f t="shared" ref="P265:P328" si="221">ATAN2(Fz1_u,A265)</f>
        <v>1.5572993732314944</v>
      </c>
      <c r="Q265">
        <f t="shared" ref="Q265:Q328" si="222">SQRT(1+(A265/Fz2_u)^2)</f>
        <v>65.429172950709599</v>
      </c>
      <c r="R265">
        <f t="shared" ref="R265:R328" si="223">ATAN2(Fz2_u,A265)</f>
        <v>1.5555120294254001</v>
      </c>
      <c r="S265">
        <f t="shared" ref="S265:S328" si="224">1/SQRT(1+(A265/Fp1_u)^2)</f>
        <v>0.45192083073095829</v>
      </c>
      <c r="T265">
        <f t="shared" ref="T265:T328" si="225">-ATAN2(Fp1_u,A265)</f>
        <v>-1.1018789016971582</v>
      </c>
      <c r="U265">
        <f t="shared" ref="U265:U328" si="226">1/SQRT(1+(A265/Fp2_u)^2)</f>
        <v>0.53024085754504613</v>
      </c>
      <c r="V265">
        <f t="shared" ref="V265:V328" si="227">-ATAN2(Fp2_u,A265)</f>
        <v>-1.0119117053194073</v>
      </c>
      <c r="X265">
        <f t="shared" si="192"/>
        <v>-21.917131913540814</v>
      </c>
      <c r="Y265">
        <f t="shared" ref="Y265:Y328" si="228">(180/Pi)*(D265+H265+N265+P265+R265+T265+V265)</f>
        <v>-147.67946501408699</v>
      </c>
      <c r="Z265">
        <f t="shared" si="193"/>
        <v>32.320534985913014</v>
      </c>
      <c r="AC265">
        <v>1</v>
      </c>
      <c r="AD265">
        <f t="shared" ref="AD265:AD328" si="229">Rcea1_u*Cc1ea_u*A265*2*Pi</f>
        <v>74.086294509360002</v>
      </c>
      <c r="AE265">
        <f t="shared" ref="AE265:AE328" si="230">-Rcea1_u*Cc1ea_u*Cc2ea_u*(A265*2*Pi)^2</f>
        <v>-1.7805295309670066E-2</v>
      </c>
      <c r="AF265">
        <f t="shared" ref="AF265:AF328" si="231">(Cc2ea_u+Cc1ea_u)*A265*2*Pi</f>
        <v>1.1135375147925E-2</v>
      </c>
      <c r="AG265">
        <f t="shared" si="194"/>
        <v>1830.2208862837665</v>
      </c>
      <c r="AH265">
        <f t="shared" si="195"/>
        <v>-3016.2992190224822</v>
      </c>
      <c r="AJ265">
        <f t="shared" ref="AJ265:AJ328" si="232">_Rfb1</f>
        <v>18000</v>
      </c>
      <c r="AK265">
        <f t="shared" ref="AK265:AK328" si="233">_Rfb1*Rcea2_u*Cc3ea_u*A265*2*Pi</f>
        <v>35530.658889263999</v>
      </c>
      <c r="AL265">
        <v>1</v>
      </c>
      <c r="AM265">
        <f t="shared" ref="AM265:AM328" si="234">(_Rfb1+Rcea2_u)*Cc3ea_u*A265*2*Pi</f>
        <v>65.421530653247999</v>
      </c>
      <c r="AN265">
        <f t="shared" si="196"/>
        <v>547.18123189513938</v>
      </c>
      <c r="AO265">
        <f t="shared" si="197"/>
        <v>-266.77484604586175</v>
      </c>
      <c r="AQ265">
        <f t="shared" ref="AQ265:AQ328" si="235">Eadcg/(1+(Eadcg*A265/GBP)^2)</f>
        <v>3.8446603434819551E-2</v>
      </c>
      <c r="AR265">
        <f t="shared" ref="AR265:AR328" si="236">-(A265*Eadcg*Eadcg/GBP)/(1+(Eadcg*A265/GBP)^2)</f>
        <v>-19.607767751757972</v>
      </c>
      <c r="AT265">
        <f t="shared" si="209"/>
        <v>-59072.528779788707</v>
      </c>
      <c r="AU265">
        <f t="shared" si="210"/>
        <v>-36002.512532583241</v>
      </c>
      <c r="AV265">
        <f t="shared" si="198"/>
        <v>-2.5942442038768343</v>
      </c>
      <c r="AW265">
        <f t="shared" si="199"/>
        <v>-2773.6562365557916</v>
      </c>
      <c r="AX265">
        <f t="shared" si="200"/>
        <v>-14660.978486822798</v>
      </c>
      <c r="AY265">
        <f t="shared" si="208"/>
        <v>-1.7577728048755239</v>
      </c>
      <c r="BA265">
        <f t="shared" ref="BA265:BA328" si="237">SQRT(AT265^2+AU265^2)/SQRT(AW265^2+AX265^2)</f>
        <v>4.6363438653741218</v>
      </c>
      <c r="BB265">
        <f t="shared" si="201"/>
        <v>13.323512779206181</v>
      </c>
      <c r="BC265">
        <f t="shared" si="202"/>
        <v>-0.8364713990013104</v>
      </c>
      <c r="BD265">
        <f t="shared" ref="BD265:BD328" si="238">BC265*180/Pi-180</f>
        <v>-227.92628090094234</v>
      </c>
      <c r="BF265">
        <f t="shared" ref="BF265:BF328" si="239">20*LOG(BA265*J265*F265*C265)</f>
        <v>-23.855760214445549</v>
      </c>
      <c r="BG265">
        <f t="shared" ref="BG265:BG328" si="240">(180/Pi)*(D265+H265+BC265)</f>
        <v>-162.84542121642755</v>
      </c>
      <c r="BH265">
        <f t="shared" si="203"/>
        <v>17.154578783572447</v>
      </c>
      <c r="BI265">
        <f t="shared" si="204"/>
        <v>17.154578783572447</v>
      </c>
      <c r="BJ265">
        <f t="shared" ref="BJ265:BJ328" si="241">SUM((BF266&lt;0)*(BF265&gt;0))*A265</f>
        <v>0</v>
      </c>
      <c r="BK265">
        <f t="shared" si="205"/>
        <v>0</v>
      </c>
      <c r="BM265">
        <f t="shared" si="206"/>
        <v>-37.179272993651729</v>
      </c>
      <c r="BN265">
        <f t="shared" ref="BN265:BN328" si="242">(H265+D265)*180/Pi</f>
        <v>-114.91914031548521</v>
      </c>
      <c r="BQ265" s="56">
        <f t="shared" si="207"/>
        <v>30.225473579491322</v>
      </c>
      <c r="BR265" s="59"/>
      <c r="BS265" s="59"/>
      <c r="BT265" s="59">
        <v>35481.339</v>
      </c>
      <c r="BU265" s="59">
        <v>-1.5620799999999999</v>
      </c>
      <c r="BV265" s="59">
        <v>-147.47</v>
      </c>
      <c r="BY265" s="59"/>
      <c r="BZ265" s="59"/>
      <c r="CA265" s="59"/>
      <c r="CC265" s="59"/>
    </row>
    <row r="266" spans="1:81" x14ac:dyDescent="0.25">
      <c r="A266">
        <f t="shared" si="211"/>
        <v>260000</v>
      </c>
      <c r="B266">
        <f t="shared" ref="B266:B329" si="243">A266/1000</f>
        <v>260</v>
      </c>
      <c r="C266">
        <f t="shared" si="212"/>
        <v>2.3769758854772247</v>
      </c>
      <c r="D266">
        <f t="shared" si="213"/>
        <v>1.1365766435204558</v>
      </c>
      <c r="F266">
        <f t="shared" si="214"/>
        <v>3.7928382195683312E-4</v>
      </c>
      <c r="G266">
        <f t="shared" si="215"/>
        <v>6.6261406192610322E-3</v>
      </c>
      <c r="H266">
        <f t="shared" si="216"/>
        <v>-3.1349665093807393</v>
      </c>
      <c r="J266">
        <f t="shared" si="217"/>
        <v>15</v>
      </c>
      <c r="M266">
        <f t="shared" si="218"/>
        <v>4.8931606491347344E-3</v>
      </c>
      <c r="N266">
        <f t="shared" si="219"/>
        <v>-1.5707963250000001</v>
      </c>
      <c r="O266">
        <f t="shared" si="220"/>
        <v>75.545585761061957</v>
      </c>
      <c r="P266">
        <f t="shared" si="221"/>
        <v>1.5575588994133163</v>
      </c>
      <c r="Q266">
        <f t="shared" si="222"/>
        <v>66.711801110972957</v>
      </c>
      <c r="R266">
        <f t="shared" si="223"/>
        <v>1.5558059137583957</v>
      </c>
      <c r="S266">
        <f t="shared" si="224"/>
        <v>0.44496423881208852</v>
      </c>
      <c r="T266">
        <f t="shared" si="225"/>
        <v>-1.1096619985256617</v>
      </c>
      <c r="U266">
        <f t="shared" si="226"/>
        <v>0.52285124206291633</v>
      </c>
      <c r="V266">
        <f t="shared" si="227"/>
        <v>-1.0206039302091836</v>
      </c>
      <c r="X266">
        <f t="shared" ref="X266:X329" si="244">20*LOG(C266*J266*O266*Q266*F266*M266*S266*U266)</f>
        <v>-22.204303205256135</v>
      </c>
      <c r="Y266">
        <f t="shared" si="228"/>
        <v>-148.17188827972808</v>
      </c>
      <c r="Z266">
        <f t="shared" ref="Z266:Z329" si="245">Y266+180</f>
        <v>31.82811172027192</v>
      </c>
      <c r="AC266">
        <v>1</v>
      </c>
      <c r="AD266">
        <f t="shared" si="229"/>
        <v>75.538966950719995</v>
      </c>
      <c r="AE266">
        <f t="shared" si="230"/>
        <v>-1.8510387742156041E-2</v>
      </c>
      <c r="AF266">
        <f t="shared" si="231"/>
        <v>1.1353715837099999E-2</v>
      </c>
      <c r="AG266">
        <f t="shared" ref="AG266:AG329" si="246">AC266*AE266/(AE266^2+AF266^2)+AD266*AF266/(AE266^2+AF266^2)</f>
        <v>1779.5632030351996</v>
      </c>
      <c r="AH266">
        <f t="shared" ref="AH266:AH329" si="247">AD266*AE266/(AE266^2+AF266^2)-AC266*AF266/(AE266^2+AF266^2)</f>
        <v>-2989.3653660900382</v>
      </c>
      <c r="AJ266">
        <f t="shared" si="232"/>
        <v>18000</v>
      </c>
      <c r="AK266">
        <f t="shared" si="233"/>
        <v>36227.338475327997</v>
      </c>
      <c r="AL266">
        <v>1</v>
      </c>
      <c r="AM266">
        <f t="shared" si="234"/>
        <v>66.704305764096006</v>
      </c>
      <c r="AN266">
        <f t="shared" ref="AN266:AN329" si="248">AJ266*AL266/(AL266^2+AM266^2)+AK266*AM266/(AL266^2+AM266^2)</f>
        <v>547.02593702162585</v>
      </c>
      <c r="AO266">
        <f t="shared" ref="AO266:AO329" si="249">AK266*AL266/(AL266^2+AM266^2)-AJ266*AM266/(AL266^2+AM266^2)</f>
        <v>-261.64688865366378</v>
      </c>
      <c r="AQ266">
        <f t="shared" si="235"/>
        <v>3.6982111752545295E-2</v>
      </c>
      <c r="AR266">
        <f t="shared" si="236"/>
        <v>-19.230698111323552</v>
      </c>
      <c r="AT266">
        <f t="shared" si="209"/>
        <v>-57421.770894478366</v>
      </c>
      <c r="AU266">
        <f t="shared" si="210"/>
        <v>-34332.795771627832</v>
      </c>
      <c r="AV266">
        <f t="shared" ref="AV266:AV329" si="250">ATAN2(AT266,AU266)</f>
        <v>-2.6027146098332352</v>
      </c>
      <c r="AW266">
        <f t="shared" ref="AW266:AW329" si="251">AG266-AH266*AO266/_Rfb2+AG266*AN266/_Rfb2+AN266-AO266*AR266+AQ266*AN266</f>
        <v>-2627.7059956691769</v>
      </c>
      <c r="AX266">
        <f t="shared" ref="AX266:AX329" si="252">AH266+AH266*AN266/_Rfb2+AG266*AO266/_Rfb2+AO266+AO266*AQ266+AN266*AR266</f>
        <v>-14407.724547355057</v>
      </c>
      <c r="AY266">
        <f t="shared" si="208"/>
        <v>-1.7511953050313269</v>
      </c>
      <c r="BA266">
        <f t="shared" si="237"/>
        <v>4.5681905651246959</v>
      </c>
      <c r="BB266">
        <f t="shared" ref="BB266:BB329" si="253">20*LOG(BA266)</f>
        <v>13.194884250009123</v>
      </c>
      <c r="BC266">
        <f t="shared" ref="BC266:BC329" si="254">AV266-AY266</f>
        <v>-0.85151930480190829</v>
      </c>
      <c r="BD266">
        <f t="shared" si="238"/>
        <v>-228.78846239481223</v>
      </c>
      <c r="BF266">
        <f t="shared" si="239"/>
        <v>-24.183508680197395</v>
      </c>
      <c r="BG266">
        <f t="shared" si="240"/>
        <v>-163.2877676611557</v>
      </c>
      <c r="BH266">
        <f t="shared" ref="BH266:BH329" si="255">IF(BG266&gt;180,BG266-180,BG266+180)</f>
        <v>16.712232338844302</v>
      </c>
      <c r="BI266">
        <f t="shared" ref="BI266:BI329" si="256">IF(BH266&gt;180,BH266-360,BH266)</f>
        <v>16.712232338844302</v>
      </c>
      <c r="BJ266">
        <f t="shared" si="241"/>
        <v>0</v>
      </c>
      <c r="BK266">
        <f t="shared" ref="BK266:BK329" si="257">IF(BJ266&gt;0,BI266,0)</f>
        <v>0</v>
      </c>
      <c r="BM266">
        <f t="shared" ref="BM266:BM329" si="258">20*LOG(J266*F266*C266)</f>
        <v>-37.378392930206516</v>
      </c>
      <c r="BN266">
        <f t="shared" si="242"/>
        <v>-114.49930526634348</v>
      </c>
      <c r="BQ266" s="56">
        <f t="shared" ref="BQ266:BQ329" si="259">20*LOG(BA266*7)</f>
        <v>30.096845050294259</v>
      </c>
      <c r="BR266" s="59"/>
      <c r="BS266" s="59"/>
      <c r="BT266" s="59">
        <v>36307.805</v>
      </c>
      <c r="BU266" s="59">
        <v>-1.4274800000000001</v>
      </c>
      <c r="BV266" s="59">
        <v>-146.52500000000001</v>
      </c>
      <c r="BY266" s="59"/>
      <c r="BZ266" s="59"/>
      <c r="CA266" s="59"/>
      <c r="CC266" s="59"/>
    </row>
    <row r="267" spans="1:81" x14ac:dyDescent="0.25">
      <c r="A267">
        <f t="shared" si="211"/>
        <v>265000</v>
      </c>
      <c r="B267">
        <f t="shared" si="243"/>
        <v>265</v>
      </c>
      <c r="C267">
        <f t="shared" si="212"/>
        <v>2.4146595507786173</v>
      </c>
      <c r="D267">
        <f t="shared" si="213"/>
        <v>1.1438017940403873</v>
      </c>
      <c r="F267">
        <f t="shared" si="214"/>
        <v>3.6510134240795681E-4</v>
      </c>
      <c r="G267">
        <f t="shared" si="215"/>
        <v>6.5010299442011272E-3</v>
      </c>
      <c r="H267">
        <f t="shared" si="216"/>
        <v>-3.1350916200557992</v>
      </c>
      <c r="J267">
        <f t="shared" si="217"/>
        <v>15</v>
      </c>
      <c r="M267">
        <f t="shared" si="218"/>
        <v>4.8008368633020038E-3</v>
      </c>
      <c r="N267">
        <f t="shared" si="219"/>
        <v>-1.5707963250000001</v>
      </c>
      <c r="O267">
        <f t="shared" si="220"/>
        <v>76.998133329841721</v>
      </c>
      <c r="P267">
        <f t="shared" si="221"/>
        <v>1.5578086338383574</v>
      </c>
      <c r="Q267">
        <f t="shared" si="222"/>
        <v>67.994434815624274</v>
      </c>
      <c r="R267">
        <f t="shared" si="223"/>
        <v>1.5560887105620271</v>
      </c>
      <c r="S267">
        <f t="shared" si="224"/>
        <v>0.43819322270971389</v>
      </c>
      <c r="T267">
        <f t="shared" si="225"/>
        <v>-1.1172086703979993</v>
      </c>
      <c r="U267">
        <f t="shared" si="226"/>
        <v>0.51562739910942268</v>
      </c>
      <c r="V267">
        <f t="shared" si="227"/>
        <v>-1.0290565912602612</v>
      </c>
      <c r="X267">
        <f t="shared" si="244"/>
        <v>-22.487344957282261</v>
      </c>
      <c r="Y267">
        <f t="shared" si="228"/>
        <v>-148.65126842246457</v>
      </c>
      <c r="Z267">
        <f t="shared" si="245"/>
        <v>31.348731577535432</v>
      </c>
      <c r="AC267">
        <v>1</v>
      </c>
      <c r="AD267">
        <f t="shared" si="229"/>
        <v>76.991639392080003</v>
      </c>
      <c r="AE267">
        <f t="shared" si="230"/>
        <v>-1.9229171289835919E-2</v>
      </c>
      <c r="AF267">
        <f t="shared" si="231"/>
        <v>1.1572056526275E-2</v>
      </c>
      <c r="AG267">
        <f t="shared" si="246"/>
        <v>1730.7291249362449</v>
      </c>
      <c r="AH267">
        <f t="shared" si="247"/>
        <v>-2962.3504449594702</v>
      </c>
      <c r="AJ267">
        <f t="shared" si="232"/>
        <v>18000</v>
      </c>
      <c r="AK267">
        <f t="shared" si="233"/>
        <v>36924.018061392002</v>
      </c>
      <c r="AL267">
        <v>1</v>
      </c>
      <c r="AM267">
        <f t="shared" si="234"/>
        <v>67.987080874943999</v>
      </c>
      <c r="AN267">
        <f t="shared" si="248"/>
        <v>546.87934669290769</v>
      </c>
      <c r="AO267">
        <f t="shared" si="249"/>
        <v>-256.71231105525044</v>
      </c>
      <c r="AQ267">
        <f t="shared" si="235"/>
        <v>3.559973086603465E-2</v>
      </c>
      <c r="AR267">
        <f t="shared" si="236"/>
        <v>-18.867857358998364</v>
      </c>
      <c r="AT267">
        <f t="shared" si="209"/>
        <v>-55831.592151810881</v>
      </c>
      <c r="AU267">
        <f t="shared" si="210"/>
        <v>-32760.609134932565</v>
      </c>
      <c r="AV267">
        <f t="shared" si="250"/>
        <v>-2.6109538207978469</v>
      </c>
      <c r="AW267">
        <f t="shared" si="251"/>
        <v>-2490.983955299891</v>
      </c>
      <c r="AX267">
        <f t="shared" si="252"/>
        <v>-14163.080326376583</v>
      </c>
      <c r="AY267">
        <f t="shared" ref="AY267:AY330" si="260">ATAN2(AW267,AX267)</f>
        <v>-1.7448944415671885</v>
      </c>
      <c r="BA267">
        <f t="shared" si="237"/>
        <v>4.5014868877318586</v>
      </c>
      <c r="BB267">
        <f t="shared" si="253"/>
        <v>13.067119788737667</v>
      </c>
      <c r="BC267">
        <f t="shared" si="254"/>
        <v>-0.86605937923065834</v>
      </c>
      <c r="BD267">
        <f t="shared" si="238"/>
        <v>-229.62154729433763</v>
      </c>
      <c r="BF267">
        <f t="shared" si="239"/>
        <v>-24.505668293160021</v>
      </c>
      <c r="BG267">
        <f t="shared" si="240"/>
        <v>-163.71405024273039</v>
      </c>
      <c r="BH267">
        <f t="shared" si="255"/>
        <v>16.285949757269606</v>
      </c>
      <c r="BI267">
        <f t="shared" si="256"/>
        <v>16.285949757269606</v>
      </c>
      <c r="BJ267">
        <f t="shared" si="241"/>
        <v>0</v>
      </c>
      <c r="BK267">
        <f t="shared" si="257"/>
        <v>0</v>
      </c>
      <c r="BM267">
        <f t="shared" si="258"/>
        <v>-37.572788081897684</v>
      </c>
      <c r="BN267">
        <f t="shared" si="242"/>
        <v>-114.09250294839279</v>
      </c>
      <c r="BQ267" s="56">
        <f t="shared" si="259"/>
        <v>29.969080589022802</v>
      </c>
      <c r="BR267" s="59"/>
      <c r="BS267" s="59"/>
      <c r="BT267" s="59">
        <v>37153.523000000001</v>
      </c>
      <c r="BU267" s="59">
        <v>-1.30297</v>
      </c>
      <c r="BV267" s="59">
        <v>-145.744</v>
      </c>
      <c r="BY267" s="59"/>
      <c r="BZ267" s="59"/>
      <c r="CA267" s="59"/>
      <c r="CC267" s="59"/>
    </row>
    <row r="268" spans="1:81" x14ac:dyDescent="0.25">
      <c r="A268">
        <f t="shared" si="211"/>
        <v>270000</v>
      </c>
      <c r="B268">
        <f t="shared" si="243"/>
        <v>270</v>
      </c>
      <c r="C268">
        <f t="shared" si="212"/>
        <v>2.4524653905664766</v>
      </c>
      <c r="D268">
        <f t="shared" si="213"/>
        <v>1.1508045430143572</v>
      </c>
      <c r="F268">
        <f t="shared" si="214"/>
        <v>3.5169981002966202E-4</v>
      </c>
      <c r="G268">
        <f t="shared" si="215"/>
        <v>6.3805578160837763E-3</v>
      </c>
      <c r="H268">
        <f t="shared" si="216"/>
        <v>-3.1352120921839166</v>
      </c>
      <c r="J268">
        <f t="shared" si="217"/>
        <v>15</v>
      </c>
      <c r="M268">
        <f t="shared" si="218"/>
        <v>4.7119324769445596E-3</v>
      </c>
      <c r="N268">
        <f t="shared" si="219"/>
        <v>-1.5707963250000001</v>
      </c>
      <c r="O268">
        <f t="shared" si="220"/>
        <v>78.4506855229575</v>
      </c>
      <c r="P268">
        <f t="shared" si="221"/>
        <v>1.5580491203718327</v>
      </c>
      <c r="Q268">
        <f t="shared" si="222"/>
        <v>69.277073756708035</v>
      </c>
      <c r="R268">
        <f t="shared" si="223"/>
        <v>1.5563610356340509</v>
      </c>
      <c r="S268">
        <f t="shared" si="224"/>
        <v>0.431601701147595</v>
      </c>
      <c r="T268">
        <f t="shared" si="225"/>
        <v>-1.1245287071670822</v>
      </c>
      <c r="U268">
        <f t="shared" si="226"/>
        <v>0.50856558638867233</v>
      </c>
      <c r="V268">
        <f t="shared" si="227"/>
        <v>-1.0372782983521971</v>
      </c>
      <c r="X268">
        <f t="shared" si="244"/>
        <v>-22.766365340339654</v>
      </c>
      <c r="Y268">
        <f t="shared" si="228"/>
        <v>-149.11803739511927</v>
      </c>
      <c r="Z268">
        <f t="shared" si="245"/>
        <v>30.881962604880727</v>
      </c>
      <c r="AC268">
        <v>1</v>
      </c>
      <c r="AD268">
        <f t="shared" si="229"/>
        <v>78.444311833440011</v>
      </c>
      <c r="AE268">
        <f t="shared" si="230"/>
        <v>-1.9961645952709696E-2</v>
      </c>
      <c r="AF268">
        <f t="shared" si="231"/>
        <v>1.1790397215450001E-2</v>
      </c>
      <c r="AG268">
        <f t="shared" si="246"/>
        <v>1683.6471012002446</v>
      </c>
      <c r="AH268">
        <f t="shared" si="247"/>
        <v>-2935.3012210746278</v>
      </c>
      <c r="AJ268">
        <f t="shared" si="232"/>
        <v>18000</v>
      </c>
      <c r="AK268">
        <f t="shared" si="233"/>
        <v>37620.697647456</v>
      </c>
      <c r="AL268">
        <v>1</v>
      </c>
      <c r="AM268">
        <f t="shared" si="234"/>
        <v>69.269855985792006</v>
      </c>
      <c r="AN268">
        <f t="shared" si="248"/>
        <v>546.74082236248728</v>
      </c>
      <c r="AO268">
        <f t="shared" si="249"/>
        <v>-251.96037914698942</v>
      </c>
      <c r="AQ268">
        <f t="shared" si="235"/>
        <v>3.4293435207698189E-2</v>
      </c>
      <c r="AR268">
        <f t="shared" si="236"/>
        <v>-18.518455012157023</v>
      </c>
      <c r="AT268">
        <f t="shared" si="209"/>
        <v>-54299.505566822438</v>
      </c>
      <c r="AU268">
        <f t="shared" si="210"/>
        <v>-31279.20466216531</v>
      </c>
      <c r="AV268">
        <f t="shared" si="250"/>
        <v>-2.6189699818351873</v>
      </c>
      <c r="AW268">
        <f t="shared" si="251"/>
        <v>-2362.7490080736725</v>
      </c>
      <c r="AX268">
        <f t="shared" si="252"/>
        <v>-13926.597778240925</v>
      </c>
      <c r="AY268">
        <f t="shared" si="260"/>
        <v>-1.7388533930891885</v>
      </c>
      <c r="BA268">
        <f t="shared" si="237"/>
        <v>4.4362266029522779</v>
      </c>
      <c r="BB268">
        <f t="shared" si="253"/>
        <v>12.940274437090943</v>
      </c>
      <c r="BC268">
        <f t="shared" si="254"/>
        <v>-0.88011658874599874</v>
      </c>
      <c r="BD268">
        <f t="shared" si="238"/>
        <v>-230.42696607221811</v>
      </c>
      <c r="BF268">
        <f t="shared" si="239"/>
        <v>-24.82239996135764</v>
      </c>
      <c r="BG268">
        <f t="shared" si="240"/>
        <v>-164.12514360345236</v>
      </c>
      <c r="BH268">
        <f t="shared" si="255"/>
        <v>15.874856396547642</v>
      </c>
      <c r="BI268">
        <f t="shared" si="256"/>
        <v>15.874856396547642</v>
      </c>
      <c r="BJ268">
        <f t="shared" si="241"/>
        <v>0</v>
      </c>
      <c r="BK268">
        <f t="shared" si="257"/>
        <v>0</v>
      </c>
      <c r="BM268">
        <f t="shared" si="258"/>
        <v>-37.762674398448581</v>
      </c>
      <c r="BN268">
        <f t="shared" si="242"/>
        <v>-113.69817753123424</v>
      </c>
      <c r="BQ268" s="56">
        <f t="shared" si="259"/>
        <v>29.84223523737608</v>
      </c>
      <c r="BR268" s="59"/>
      <c r="BS268" s="59"/>
      <c r="BT268" s="59">
        <v>38018.94</v>
      </c>
      <c r="BU268" s="59">
        <v>-1.18652</v>
      </c>
      <c r="BV268" s="59">
        <v>-144.86799999999999</v>
      </c>
      <c r="BY268" s="59"/>
      <c r="BZ268" s="59"/>
      <c r="CA268" s="59"/>
      <c r="CC268" s="59"/>
    </row>
    <row r="269" spans="1:81" x14ac:dyDescent="0.25">
      <c r="A269">
        <f t="shared" si="211"/>
        <v>275000</v>
      </c>
      <c r="B269">
        <f t="shared" si="243"/>
        <v>275</v>
      </c>
      <c r="C269">
        <f t="shared" si="212"/>
        <v>2.4903878407630002</v>
      </c>
      <c r="D269">
        <f t="shared" si="213"/>
        <v>1.1575943474527211</v>
      </c>
      <c r="F269">
        <f t="shared" si="214"/>
        <v>3.3902291752663867E-4</v>
      </c>
      <c r="G269">
        <f t="shared" si="215"/>
        <v>6.2644708821767339E-3</v>
      </c>
      <c r="H269">
        <f t="shared" si="216"/>
        <v>-3.1353281791178236</v>
      </c>
      <c r="J269">
        <f t="shared" si="217"/>
        <v>15</v>
      </c>
      <c r="M269">
        <f t="shared" si="218"/>
        <v>4.6262609773637491E-3</v>
      </c>
      <c r="N269">
        <f t="shared" si="219"/>
        <v>-1.5707963250000001</v>
      </c>
      <c r="O269">
        <f t="shared" si="220"/>
        <v>79.903242088213403</v>
      </c>
      <c r="P269">
        <f t="shared" si="221"/>
        <v>1.5582808633358465</v>
      </c>
      <c r="Q269">
        <f t="shared" si="222"/>
        <v>70.559717648659671</v>
      </c>
      <c r="R269">
        <f t="shared" si="223"/>
        <v>1.556623460002502</v>
      </c>
      <c r="S269">
        <f t="shared" si="224"/>
        <v>0.42518376763979421</v>
      </c>
      <c r="T269">
        <f t="shared" si="225"/>
        <v>-1.1316314167150825</v>
      </c>
      <c r="U269">
        <f t="shared" si="226"/>
        <v>0.50166204418128502</v>
      </c>
      <c r="V269">
        <f t="shared" si="227"/>
        <v>-1.045277322280127</v>
      </c>
      <c r="X269">
        <f t="shared" si="244"/>
        <v>-23.041468262747692</v>
      </c>
      <c r="Y269">
        <f t="shared" si="228"/>
        <v>-149.57261343794949</v>
      </c>
      <c r="Z269">
        <f t="shared" si="245"/>
        <v>30.427386562050515</v>
      </c>
      <c r="AC269">
        <v>1</v>
      </c>
      <c r="AD269">
        <f t="shared" si="229"/>
        <v>79.896984274800005</v>
      </c>
      <c r="AE269">
        <f t="shared" si="230"/>
        <v>-2.0707811730777376E-2</v>
      </c>
      <c r="AF269">
        <f t="shared" si="231"/>
        <v>1.2008737904624998E-2</v>
      </c>
      <c r="AG269">
        <f t="shared" si="246"/>
        <v>1638.2478848940095</v>
      </c>
      <c r="AH269">
        <f t="shared" si="247"/>
        <v>-2908.2597227206288</v>
      </c>
      <c r="AJ269">
        <f t="shared" si="232"/>
        <v>18000</v>
      </c>
      <c r="AK269">
        <f t="shared" si="233"/>
        <v>38317.377233519997</v>
      </c>
      <c r="AL269">
        <v>1</v>
      </c>
      <c r="AM269">
        <f t="shared" si="234"/>
        <v>70.552631096639999</v>
      </c>
      <c r="AN269">
        <f t="shared" si="248"/>
        <v>546.609782977024</v>
      </c>
      <c r="AO269">
        <f t="shared" si="249"/>
        <v>-247.38113867243391</v>
      </c>
      <c r="AQ269">
        <f t="shared" si="235"/>
        <v>3.3057741957877827E-2</v>
      </c>
      <c r="AR269">
        <f t="shared" si="236"/>
        <v>-18.181758076832804</v>
      </c>
      <c r="AT269">
        <f t="shared" si="209"/>
        <v>-52823.117927261454</v>
      </c>
      <c r="AU269">
        <f t="shared" si="210"/>
        <v>-29882.3672124861</v>
      </c>
      <c r="AV269">
        <f t="shared" si="250"/>
        <v>-2.6267709327193942</v>
      </c>
      <c r="AW269">
        <f t="shared" si="251"/>
        <v>-2242.3310386429539</v>
      </c>
      <c r="AX269">
        <f t="shared" si="252"/>
        <v>-13697.861242064479</v>
      </c>
      <c r="AY269">
        <f t="shared" si="260"/>
        <v>-1.7330565074599866</v>
      </c>
      <c r="BA269">
        <f t="shared" si="237"/>
        <v>4.3723982500992209</v>
      </c>
      <c r="BB269">
        <f t="shared" si="253"/>
        <v>12.814394236383734</v>
      </c>
      <c r="BC269">
        <f t="shared" si="254"/>
        <v>-0.89371442525940759</v>
      </c>
      <c r="BD269">
        <f t="shared" si="238"/>
        <v>-231.20606471583557</v>
      </c>
      <c r="BF269">
        <f t="shared" si="239"/>
        <v>-25.133859698260636</v>
      </c>
      <c r="BG269">
        <f t="shared" si="240"/>
        <v>-164.52186639996492</v>
      </c>
      <c r="BH269">
        <f t="shared" si="255"/>
        <v>15.478133600035079</v>
      </c>
      <c r="BI269">
        <f t="shared" si="256"/>
        <v>15.478133600035079</v>
      </c>
      <c r="BJ269">
        <f t="shared" si="241"/>
        <v>0</v>
      </c>
      <c r="BK269">
        <f t="shared" si="257"/>
        <v>0</v>
      </c>
      <c r="BM269">
        <f t="shared" si="258"/>
        <v>-37.948253934644363</v>
      </c>
      <c r="BN269">
        <f t="shared" si="242"/>
        <v>-113.31580168412937</v>
      </c>
      <c r="BQ269" s="56">
        <f t="shared" si="259"/>
        <v>29.716355036668869</v>
      </c>
      <c r="BR269" s="59"/>
      <c r="BS269" s="59"/>
      <c r="BT269" s="59">
        <v>38904.514000000003</v>
      </c>
      <c r="BU269" s="59">
        <v>-1.0515600000000001</v>
      </c>
      <c r="BV269" s="59">
        <v>-144.06</v>
      </c>
      <c r="BY269" s="59"/>
      <c r="BZ269" s="59"/>
      <c r="CA269" s="59"/>
      <c r="CC269" s="59"/>
    </row>
    <row r="270" spans="1:81" x14ac:dyDescent="0.25">
      <c r="A270">
        <f t="shared" si="211"/>
        <v>280000</v>
      </c>
      <c r="B270">
        <f t="shared" si="243"/>
        <v>280</v>
      </c>
      <c r="C270">
        <f t="shared" si="212"/>
        <v>2.5284216544413338</v>
      </c>
      <c r="D270">
        <f t="shared" si="213"/>
        <v>1.1641801765183353</v>
      </c>
      <c r="F270">
        <f t="shared" si="214"/>
        <v>3.2701934290897233E-4</v>
      </c>
      <c r="G270">
        <f t="shared" si="215"/>
        <v>6.1525339160302716E-3</v>
      </c>
      <c r="H270">
        <f t="shared" si="216"/>
        <v>-3.13544011608397</v>
      </c>
      <c r="J270">
        <f t="shared" si="217"/>
        <v>15</v>
      </c>
      <c r="M270">
        <f t="shared" si="218"/>
        <v>4.5436491741965394E-3</v>
      </c>
      <c r="N270">
        <f t="shared" si="219"/>
        <v>-1.5707963250000001</v>
      </c>
      <c r="O270">
        <f t="shared" si="220"/>
        <v>81.355802791424011</v>
      </c>
      <c r="P270">
        <f t="shared" si="221"/>
        <v>1.5585043310389086</v>
      </c>
      <c r="Q270">
        <f t="shared" si="222"/>
        <v>71.842366226306922</v>
      </c>
      <c r="R270">
        <f t="shared" si="223"/>
        <v>1.5568765139213672</v>
      </c>
      <c r="S270">
        <f t="shared" si="224"/>
        <v>0.41893369323159962</v>
      </c>
      <c r="T270">
        <f t="shared" si="225"/>
        <v>-1.1385256501897167</v>
      </c>
      <c r="U270">
        <f t="shared" si="226"/>
        <v>0.49491301196075682</v>
      </c>
      <c r="V270">
        <f t="shared" si="227"/>
        <v>-1.0530616059489086</v>
      </c>
      <c r="X270">
        <f t="shared" si="244"/>
        <v>-23.312753633405876</v>
      </c>
      <c r="Y270">
        <f t="shared" si="228"/>
        <v>-150.01540114817786</v>
      </c>
      <c r="Z270">
        <f t="shared" si="245"/>
        <v>29.984598851822142</v>
      </c>
      <c r="AC270">
        <v>1</v>
      </c>
      <c r="AD270">
        <f t="shared" si="229"/>
        <v>81.349656716159998</v>
      </c>
      <c r="AE270">
        <f t="shared" si="230"/>
        <v>-2.1467668624038958E-2</v>
      </c>
      <c r="AF270">
        <f t="shared" si="231"/>
        <v>1.2227078593799999E-2</v>
      </c>
      <c r="AG270">
        <f t="shared" si="246"/>
        <v>1594.4645696259554</v>
      </c>
      <c r="AH270">
        <f t="shared" si="247"/>
        <v>-2881.2636430884427</v>
      </c>
      <c r="AJ270">
        <f t="shared" si="232"/>
        <v>18000</v>
      </c>
      <c r="AK270">
        <f t="shared" si="233"/>
        <v>39014.056819584002</v>
      </c>
      <c r="AL270">
        <v>1</v>
      </c>
      <c r="AM270">
        <f t="shared" si="234"/>
        <v>71.835406207488006</v>
      </c>
      <c r="AN270">
        <f t="shared" si="248"/>
        <v>546.48569887490885</v>
      </c>
      <c r="AO270">
        <f t="shared" si="249"/>
        <v>-242.96534567804486</v>
      </c>
      <c r="AQ270">
        <f t="shared" si="235"/>
        <v>3.1887653419472514E-2</v>
      </c>
      <c r="AR270">
        <f t="shared" si="236"/>
        <v>-17.857085914904609</v>
      </c>
      <c r="AT270">
        <f t="shared" si="209"/>
        <v>-51400.128684535506</v>
      </c>
      <c r="AU270">
        <f t="shared" si="210"/>
        <v>-28564.367544543016</v>
      </c>
      <c r="AV270">
        <f t="shared" si="250"/>
        <v>-2.6343642161121559</v>
      </c>
      <c r="AW270">
        <f t="shared" si="251"/>
        <v>-2129.1231001900974</v>
      </c>
      <c r="AX270">
        <f t="shared" si="252"/>
        <v>-13476.484405908657</v>
      </c>
      <c r="AY270">
        <f t="shared" si="260"/>
        <v>-1.7274892174702052</v>
      </c>
      <c r="BA270">
        <f t="shared" si="237"/>
        <v>4.3099860724509664</v>
      </c>
      <c r="BB270">
        <f t="shared" si="253"/>
        <v>12.689517335152152</v>
      </c>
      <c r="BC270">
        <f t="shared" si="254"/>
        <v>-0.90687499864195065</v>
      </c>
      <c r="BD270">
        <f t="shared" si="238"/>
        <v>-231.96011002748912</v>
      </c>
      <c r="BF270">
        <f t="shared" si="239"/>
        <v>-25.440198629576859</v>
      </c>
      <c r="BG270">
        <f t="shared" si="240"/>
        <v>-164.90498501687205</v>
      </c>
      <c r="BH270">
        <f t="shared" si="255"/>
        <v>15.095014983127953</v>
      </c>
      <c r="BI270">
        <f t="shared" si="256"/>
        <v>15.095014983127953</v>
      </c>
      <c r="BJ270">
        <f t="shared" si="241"/>
        <v>0</v>
      </c>
      <c r="BK270">
        <f t="shared" si="257"/>
        <v>0</v>
      </c>
      <c r="BM270">
        <f t="shared" si="258"/>
        <v>-38.129715964729009</v>
      </c>
      <c r="BN270">
        <f t="shared" si="242"/>
        <v>-112.94487498938294</v>
      </c>
      <c r="BQ270" s="56">
        <f t="shared" si="259"/>
        <v>29.591478135437285</v>
      </c>
      <c r="BR270" s="59"/>
      <c r="BS270" s="59"/>
      <c r="BT270" s="59">
        <v>39810.716999999997</v>
      </c>
      <c r="BU270" s="59">
        <v>-0.92721699999999996</v>
      </c>
      <c r="BV270" s="59">
        <v>-143.22999999999999</v>
      </c>
      <c r="BY270" s="59"/>
      <c r="BZ270" s="59"/>
      <c r="CA270" s="59"/>
      <c r="CC270" s="59"/>
    </row>
    <row r="271" spans="1:81" x14ac:dyDescent="0.25">
      <c r="A271">
        <f t="shared" si="211"/>
        <v>285000</v>
      </c>
      <c r="B271">
        <f t="shared" si="243"/>
        <v>285</v>
      </c>
      <c r="C271">
        <f t="shared" si="212"/>
        <v>2.5665618807286399</v>
      </c>
      <c r="D271">
        <f t="shared" si="213"/>
        <v>1.1705705393676007</v>
      </c>
      <c r="F271">
        <f t="shared" si="214"/>
        <v>3.156422290066346E-4</v>
      </c>
      <c r="G271">
        <f t="shared" si="215"/>
        <v>6.0445282244102764E-3</v>
      </c>
      <c r="H271">
        <f t="shared" si="216"/>
        <v>-3.1355481217755901</v>
      </c>
      <c r="J271">
        <f t="shared" si="217"/>
        <v>15</v>
      </c>
      <c r="M271">
        <f t="shared" si="218"/>
        <v>4.4639360307895826E-3</v>
      </c>
      <c r="N271">
        <f t="shared" si="219"/>
        <v>-1.5707963250000001</v>
      </c>
      <c r="O271">
        <f t="shared" si="220"/>
        <v>82.808367414834876</v>
      </c>
      <c r="P271">
        <f t="shared" si="221"/>
        <v>1.5587199589340581</v>
      </c>
      <c r="Q271">
        <f t="shared" si="222"/>
        <v>73.125019243081653</v>
      </c>
      <c r="R271">
        <f t="shared" si="223"/>
        <v>1.557120690445855</v>
      </c>
      <c r="S271">
        <f t="shared" si="224"/>
        <v>0.41284592768008338</v>
      </c>
      <c r="T271">
        <f t="shared" si="225"/>
        <v>-1.145219826076769</v>
      </c>
      <c r="U271">
        <f t="shared" si="226"/>
        <v>0.48831474268554936</v>
      </c>
      <c r="V271">
        <f t="shared" si="227"/>
        <v>-1.0606387756893214</v>
      </c>
      <c r="X271">
        <f t="shared" si="244"/>
        <v>-23.580317599220649</v>
      </c>
      <c r="Y271">
        <f t="shared" si="228"/>
        <v>-150.44679161792348</v>
      </c>
      <c r="Z271">
        <f t="shared" si="245"/>
        <v>29.553208382076519</v>
      </c>
      <c r="AC271">
        <v>1</v>
      </c>
      <c r="AD271">
        <f t="shared" si="229"/>
        <v>82.802329157520006</v>
      </c>
      <c r="AE271">
        <f t="shared" si="230"/>
        <v>-2.2241216632494447E-2</v>
      </c>
      <c r="AF271">
        <f t="shared" si="231"/>
        <v>1.2445419282975E-2</v>
      </c>
      <c r="AG271">
        <f t="shared" si="246"/>
        <v>1552.2326042034319</v>
      </c>
      <c r="AH271">
        <f t="shared" si="247"/>
        <v>-2854.3467123445798</v>
      </c>
      <c r="AJ271">
        <f t="shared" si="232"/>
        <v>18000</v>
      </c>
      <c r="AK271">
        <f t="shared" si="233"/>
        <v>39710.736405647993</v>
      </c>
      <c r="AL271">
        <v>1</v>
      </c>
      <c r="AM271">
        <f t="shared" si="234"/>
        <v>73.118181318335999</v>
      </c>
      <c r="AN271">
        <f t="shared" si="248"/>
        <v>546.36808642707581</v>
      </c>
      <c r="AO271">
        <f t="shared" si="249"/>
        <v>-238.70440427921366</v>
      </c>
      <c r="AQ271">
        <f t="shared" si="235"/>
        <v>3.0778606406259137E-2</v>
      </c>
      <c r="AR271">
        <f t="shared" si="236"/>
        <v>-17.543805651567709</v>
      </c>
      <c r="AT271">
        <f t="shared" si="209"/>
        <v>-50028.328427188811</v>
      </c>
      <c r="AU271">
        <f t="shared" si="210"/>
        <v>-27319.919948178089</v>
      </c>
      <c r="AV271">
        <f t="shared" si="250"/>
        <v>-2.641757086180065</v>
      </c>
      <c r="AW271">
        <f t="shared" si="251"/>
        <v>-2022.5745607024103</v>
      </c>
      <c r="AX271">
        <f t="shared" si="252"/>
        <v>-13262.107617911028</v>
      </c>
      <c r="AY271">
        <f t="shared" si="260"/>
        <v>-1.7221379618891897</v>
      </c>
      <c r="BA271">
        <f t="shared" si="237"/>
        <v>4.2489708155804387</v>
      </c>
      <c r="BB271">
        <f t="shared" si="253"/>
        <v>12.565674962219088</v>
      </c>
      <c r="BC271">
        <f t="shared" si="254"/>
        <v>-0.91961912429087533</v>
      </c>
      <c r="BD271">
        <f t="shared" si="238"/>
        <v>-232.69029464159127</v>
      </c>
      <c r="BF271">
        <f t="shared" si="239"/>
        <v>-25.741563029735957</v>
      </c>
      <c r="BG271">
        <f t="shared" si="240"/>
        <v>-165.27521708003601</v>
      </c>
      <c r="BH271">
        <f t="shared" si="255"/>
        <v>14.724782919963985</v>
      </c>
      <c r="BI271">
        <f t="shared" si="256"/>
        <v>14.724782919963985</v>
      </c>
      <c r="BJ271">
        <f t="shared" si="241"/>
        <v>0</v>
      </c>
      <c r="BK271">
        <f t="shared" si="257"/>
        <v>0</v>
      </c>
      <c r="BM271">
        <f t="shared" si="258"/>
        <v>-38.307237991955049</v>
      </c>
      <c r="BN271">
        <f t="shared" si="242"/>
        <v>-112.58492243844474</v>
      </c>
      <c r="BQ271" s="56">
        <f t="shared" si="259"/>
        <v>29.467635762504226</v>
      </c>
      <c r="BR271" s="59"/>
      <c r="BS271" s="59"/>
      <c r="BT271" s="59">
        <v>40738.027999999998</v>
      </c>
      <c r="BU271" s="59">
        <v>-0.80365399999999998</v>
      </c>
      <c r="BV271" s="59">
        <v>-142.31399999999999</v>
      </c>
      <c r="BY271" s="59"/>
      <c r="BZ271" s="59"/>
      <c r="CA271" s="59"/>
      <c r="CC271" s="59"/>
    </row>
    <row r="272" spans="1:81" x14ac:dyDescent="0.25">
      <c r="A272">
        <f t="shared" si="211"/>
        <v>290000</v>
      </c>
      <c r="B272">
        <f t="shared" si="243"/>
        <v>290</v>
      </c>
      <c r="C272">
        <f t="shared" si="212"/>
        <v>2.6048038452644846</v>
      </c>
      <c r="D272">
        <f t="shared" si="213"/>
        <v>1.1767735114194959</v>
      </c>
      <c r="F272">
        <f t="shared" si="214"/>
        <v>3.0484872530156981E-4</v>
      </c>
      <c r="G272">
        <f t="shared" si="215"/>
        <v>5.9402502193893056E-3</v>
      </c>
      <c r="H272">
        <f t="shared" si="216"/>
        <v>-3.1356523997806107</v>
      </c>
      <c r="J272">
        <f t="shared" si="217"/>
        <v>15</v>
      </c>
      <c r="M272">
        <f t="shared" si="218"/>
        <v>4.3869716164656241E-3</v>
      </c>
      <c r="N272">
        <f t="shared" si="219"/>
        <v>-1.5707963250000001</v>
      </c>
      <c r="O272">
        <f t="shared" si="220"/>
        <v>84.260935755706342</v>
      </c>
      <c r="P272">
        <f t="shared" si="221"/>
        <v>1.558928152450396</v>
      </c>
      <c r="Q272">
        <f t="shared" si="222"/>
        <v>74.407676469416359</v>
      </c>
      <c r="R272">
        <f t="shared" si="223"/>
        <v>1.5573564486379754</v>
      </c>
      <c r="S272">
        <f t="shared" si="224"/>
        <v>0.40691509933988312</v>
      </c>
      <c r="T272">
        <f t="shared" si="225"/>
        <v>-1.1517219531186205</v>
      </c>
      <c r="U272">
        <f t="shared" si="226"/>
        <v>0.48186351502704217</v>
      </c>
      <c r="V272">
        <f t="shared" si="227"/>
        <v>-1.0680161525993299</v>
      </c>
      <c r="X272">
        <f t="shared" si="244"/>
        <v>-23.844252760321414</v>
      </c>
      <c r="Y272">
        <f t="shared" si="228"/>
        <v>-150.86716262795076</v>
      </c>
      <c r="Z272">
        <f t="shared" si="245"/>
        <v>29.132837372049238</v>
      </c>
      <c r="AC272">
        <v>1</v>
      </c>
      <c r="AD272">
        <f t="shared" si="229"/>
        <v>84.25500159888</v>
      </c>
      <c r="AE272">
        <f t="shared" si="230"/>
        <v>-2.3028455756143835E-2</v>
      </c>
      <c r="AF272">
        <f t="shared" si="231"/>
        <v>1.2663759972150001E-2</v>
      </c>
      <c r="AG272">
        <f t="shared" si="246"/>
        <v>1511.4897889553815</v>
      </c>
      <c r="AH272">
        <f t="shared" si="247"/>
        <v>-2827.5390412933552</v>
      </c>
      <c r="AJ272">
        <f t="shared" si="232"/>
        <v>18000</v>
      </c>
      <c r="AK272">
        <f t="shared" si="233"/>
        <v>40407.415991711998</v>
      </c>
      <c r="AL272">
        <v>1</v>
      </c>
      <c r="AM272">
        <f t="shared" si="234"/>
        <v>74.400956429184006</v>
      </c>
      <c r="AN272">
        <f t="shared" si="248"/>
        <v>546.25650331862823</v>
      </c>
      <c r="AO272">
        <f t="shared" si="249"/>
        <v>-234.59031085566914</v>
      </c>
      <c r="AQ272">
        <f t="shared" si="235"/>
        <v>2.9726427686005689E-2</v>
      </c>
      <c r="AR272">
        <f t="shared" si="236"/>
        <v>-17.241328057883301</v>
      </c>
      <c r="AT272">
        <f t="shared" si="209"/>
        <v>-48705.597015502055</v>
      </c>
      <c r="AU272">
        <f t="shared" si="210"/>
        <v>-26144.143942360894</v>
      </c>
      <c r="AV272">
        <f t="shared" si="250"/>
        <v>-2.6489565175161096</v>
      </c>
      <c r="AW272">
        <f t="shared" si="251"/>
        <v>-1922.1850858113935</v>
      </c>
      <c r="AX272">
        <f t="shared" si="252"/>
        <v>-13054.39549842518</v>
      </c>
      <c r="AY272">
        <f t="shared" si="260"/>
        <v>-1.7169901117786128</v>
      </c>
      <c r="BA272">
        <f t="shared" si="237"/>
        <v>4.1893304083915375</v>
      </c>
      <c r="BB272">
        <f t="shared" si="253"/>
        <v>12.442892281860022</v>
      </c>
      <c r="BC272">
        <f t="shared" si="254"/>
        <v>-0.93196640573749678</v>
      </c>
      <c r="BD272">
        <f t="shared" si="238"/>
        <v>-233.39774175775125</v>
      </c>
      <c r="BF272">
        <f t="shared" si="239"/>
        <v>-26.03809438260491</v>
      </c>
      <c r="BG272">
        <f t="shared" si="240"/>
        <v>-165.63323476636924</v>
      </c>
      <c r="BH272">
        <f t="shared" si="255"/>
        <v>14.366765233630758</v>
      </c>
      <c r="BI272">
        <f t="shared" si="256"/>
        <v>14.366765233630758</v>
      </c>
      <c r="BJ272">
        <f t="shared" si="241"/>
        <v>0</v>
      </c>
      <c r="BK272">
        <f t="shared" si="257"/>
        <v>0</v>
      </c>
      <c r="BM272">
        <f t="shared" si="258"/>
        <v>-38.480986664464936</v>
      </c>
      <c r="BN272">
        <f t="shared" si="242"/>
        <v>-112.23549300861799</v>
      </c>
      <c r="BQ272" s="56">
        <f t="shared" si="259"/>
        <v>29.344853082145161</v>
      </c>
      <c r="BR272" s="59"/>
      <c r="BS272" s="59"/>
      <c r="BT272" s="59">
        <v>41686.938000000002</v>
      </c>
      <c r="BU272" s="59">
        <v>-0.666377</v>
      </c>
      <c r="BV272" s="59">
        <v>-141.465</v>
      </c>
      <c r="BY272" s="59"/>
      <c r="BZ272" s="59"/>
      <c r="CA272" s="59"/>
      <c r="CC272" s="59"/>
    </row>
    <row r="273" spans="1:81" x14ac:dyDescent="0.25">
      <c r="A273">
        <f t="shared" si="211"/>
        <v>295000</v>
      </c>
      <c r="B273">
        <f t="shared" si="243"/>
        <v>295</v>
      </c>
      <c r="C273">
        <f t="shared" si="212"/>
        <v>2.6431431320936425</v>
      </c>
      <c r="D273">
        <f t="shared" si="213"/>
        <v>1.1827967591172401</v>
      </c>
      <c r="F273">
        <f t="shared" si="214"/>
        <v>2.9459958369304425E-4</v>
      </c>
      <c r="G273">
        <f t="shared" si="215"/>
        <v>5.839510135953279E-3</v>
      </c>
      <c r="H273">
        <f t="shared" si="216"/>
        <v>-3.1357531398640468</v>
      </c>
      <c r="J273">
        <f t="shared" si="217"/>
        <v>15</v>
      </c>
      <c r="M273">
        <f t="shared" si="218"/>
        <v>4.3126161653390879E-3</v>
      </c>
      <c r="N273">
        <f t="shared" si="219"/>
        <v>-1.5707963250000001</v>
      </c>
      <c r="O273">
        <f t="shared" si="220"/>
        <v>85.713507625041387</v>
      </c>
      <c r="P273">
        <f t="shared" si="221"/>
        <v>1.559129289536763</v>
      </c>
      <c r="Q273">
        <f t="shared" si="222"/>
        <v>75.690337691304009</v>
      </c>
      <c r="R273">
        <f t="shared" si="223"/>
        <v>1.5575842164462679</v>
      </c>
      <c r="S273">
        <f t="shared" si="224"/>
        <v>0.40113601398200222</v>
      </c>
      <c r="T273">
        <f t="shared" si="225"/>
        <v>-1.1580396520985654</v>
      </c>
      <c r="U273">
        <f t="shared" si="226"/>
        <v>0.47555564376808745</v>
      </c>
      <c r="V273">
        <f t="shared" si="227"/>
        <v>-1.0752007638299965</v>
      </c>
      <c r="X273">
        <f t="shared" si="244"/>
        <v>-24.10464836590608</v>
      </c>
      <c r="Y273">
        <f t="shared" si="228"/>
        <v>-151.27687888645292</v>
      </c>
      <c r="Z273">
        <f t="shared" si="245"/>
        <v>28.72312111354708</v>
      </c>
      <c r="AC273">
        <v>1</v>
      </c>
      <c r="AD273">
        <f t="shared" si="229"/>
        <v>85.707674040239993</v>
      </c>
      <c r="AE273">
        <f t="shared" si="230"/>
        <v>-2.3829385994987122E-2</v>
      </c>
      <c r="AF273">
        <f t="shared" si="231"/>
        <v>1.2882100661325E-2</v>
      </c>
      <c r="AG273">
        <f t="shared" si="246"/>
        <v>1472.176256921643</v>
      </c>
      <c r="AH273">
        <f t="shared" si="247"/>
        <v>-2800.8674382715167</v>
      </c>
      <c r="AJ273">
        <f t="shared" si="232"/>
        <v>18000</v>
      </c>
      <c r="AK273">
        <f t="shared" si="233"/>
        <v>41104.095577775995</v>
      </c>
      <c r="AL273">
        <v>1</v>
      </c>
      <c r="AM273">
        <f t="shared" si="234"/>
        <v>75.683731540031999</v>
      </c>
      <c r="AN273">
        <f t="shared" si="248"/>
        <v>546.15054438518393</v>
      </c>
      <c r="AO273">
        <f t="shared" si="249"/>
        <v>-230.61560391459838</v>
      </c>
      <c r="AQ273">
        <f t="shared" si="235"/>
        <v>2.8727294664479562E-2</v>
      </c>
      <c r="AR273">
        <f t="shared" si="236"/>
        <v>-16.949103852042942</v>
      </c>
      <c r="AT273">
        <f t="shared" si="209"/>
        <v>-47429.901445938776</v>
      </c>
      <c r="AU273">
        <f t="shared" si="210"/>
        <v>-25032.52961129215</v>
      </c>
      <c r="AV273">
        <f t="shared" si="250"/>
        <v>-2.6559692142518023</v>
      </c>
      <c r="AW273">
        <f t="shared" si="251"/>
        <v>-1827.4993450524712</v>
      </c>
      <c r="AX273">
        <f t="shared" si="252"/>
        <v>-12853.034814027033</v>
      </c>
      <c r="AY273">
        <f t="shared" si="260"/>
        <v>-1.7120339018912119</v>
      </c>
      <c r="BA273">
        <f t="shared" si="237"/>
        <v>4.1310405431589201</v>
      </c>
      <c r="BB273">
        <f t="shared" si="253"/>
        <v>12.321189145640627</v>
      </c>
      <c r="BC273">
        <f t="shared" si="254"/>
        <v>-0.94393531236059047</v>
      </c>
      <c r="BD273">
        <f t="shared" si="238"/>
        <v>-234.08350959342431</v>
      </c>
      <c r="BF273">
        <f t="shared" si="239"/>
        <v>-26.329929461719935</v>
      </c>
      <c r="BG273">
        <f t="shared" si="240"/>
        <v>-165.97966791122059</v>
      </c>
      <c r="BH273">
        <f t="shared" si="255"/>
        <v>14.020332088779412</v>
      </c>
      <c r="BI273">
        <f t="shared" si="256"/>
        <v>14.020332088779412</v>
      </c>
      <c r="BJ273">
        <f t="shared" si="241"/>
        <v>0</v>
      </c>
      <c r="BK273">
        <f t="shared" si="257"/>
        <v>0</v>
      </c>
      <c r="BM273">
        <f t="shared" si="258"/>
        <v>-38.651118607360566</v>
      </c>
      <c r="BN273">
        <f t="shared" si="242"/>
        <v>-111.89615831779628</v>
      </c>
      <c r="BQ273" s="56">
        <f t="shared" si="259"/>
        <v>29.223149945925762</v>
      </c>
      <c r="BR273" s="59"/>
      <c r="BS273" s="59"/>
      <c r="BT273" s="59">
        <v>42657.951999999997</v>
      </c>
      <c r="BU273" s="59">
        <v>-0.55182299999999995</v>
      </c>
      <c r="BV273" s="59">
        <v>-140.39099999999999</v>
      </c>
      <c r="BY273" s="59"/>
      <c r="BZ273" s="59"/>
      <c r="CA273" s="59"/>
      <c r="CC273" s="59"/>
    </row>
    <row r="274" spans="1:81" x14ac:dyDescent="0.25">
      <c r="A274">
        <f t="shared" si="211"/>
        <v>300000</v>
      </c>
      <c r="B274">
        <f t="shared" si="243"/>
        <v>300</v>
      </c>
      <c r="C274">
        <f t="shared" si="212"/>
        <v>2.6815755668816732</v>
      </c>
      <c r="D274">
        <f t="shared" si="213"/>
        <v>1.1886475632502842</v>
      </c>
      <c r="F274">
        <f t="shared" si="214"/>
        <v>2.8485880106006537E-4</v>
      </c>
      <c r="G274">
        <f t="shared" si="215"/>
        <v>5.7421308781073262E-3</v>
      </c>
      <c r="H274">
        <f t="shared" si="216"/>
        <v>-3.1358505191218931</v>
      </c>
      <c r="J274">
        <f t="shared" si="217"/>
        <v>15</v>
      </c>
      <c r="M274">
        <f t="shared" si="218"/>
        <v>4.2407392292501036E-3</v>
      </c>
      <c r="N274">
        <f t="shared" si="219"/>
        <v>-1.5707963250000001</v>
      </c>
      <c r="O274">
        <f t="shared" si="220"/>
        <v>87.166082846440688</v>
      </c>
      <c r="P274">
        <f t="shared" si="221"/>
        <v>1.5593237229511316</v>
      </c>
      <c r="Q274">
        <f t="shared" si="222"/>
        <v>76.97300270900152</v>
      </c>
      <c r="R274">
        <f t="shared" si="223"/>
        <v>1.5578043932976771</v>
      </c>
      <c r="S274">
        <f t="shared" si="224"/>
        <v>0.39550365274060845</v>
      </c>
      <c r="T274">
        <f t="shared" si="225"/>
        <v>-1.1641801765183353</v>
      </c>
      <c r="U274">
        <f t="shared" si="226"/>
        <v>0.46938748858347434</v>
      </c>
      <c r="V274">
        <f t="shared" si="227"/>
        <v>-1.0821993537499821</v>
      </c>
      <c r="X274">
        <f t="shared" si="244"/>
        <v>-24.361590493134173</v>
      </c>
      <c r="Y274">
        <f t="shared" si="228"/>
        <v>-151.67629230365085</v>
      </c>
      <c r="Z274">
        <f t="shared" si="245"/>
        <v>28.323707696349146</v>
      </c>
      <c r="AC274">
        <v>1</v>
      </c>
      <c r="AD274">
        <f t="shared" si="229"/>
        <v>87.160346481600001</v>
      </c>
      <c r="AE274">
        <f t="shared" si="230"/>
        <v>-2.4644007349024315E-2</v>
      </c>
      <c r="AF274">
        <f t="shared" si="231"/>
        <v>1.3100441350499998E-2</v>
      </c>
      <c r="AG274">
        <f t="shared" si="246"/>
        <v>1434.2344426725265</v>
      </c>
      <c r="AH274">
        <f t="shared" si="247"/>
        <v>-2774.3557009289889</v>
      </c>
      <c r="AJ274">
        <f t="shared" si="232"/>
        <v>18000</v>
      </c>
      <c r="AK274">
        <f t="shared" si="233"/>
        <v>41800.77516384</v>
      </c>
      <c r="AL274">
        <v>1</v>
      </c>
      <c r="AM274">
        <f t="shared" si="234"/>
        <v>76.966506650880007</v>
      </c>
      <c r="AN274">
        <f t="shared" si="248"/>
        <v>546.04983793064844</v>
      </c>
      <c r="AO274">
        <f t="shared" si="249"/>
        <v>-226.77331896120023</v>
      </c>
      <c r="AQ274">
        <f t="shared" si="235"/>
        <v>2.7777700617498284E-2</v>
      </c>
      <c r="AR274">
        <f t="shared" si="236"/>
        <v>-16.666620370498972</v>
      </c>
      <c r="AT274">
        <f t="shared" si="209"/>
        <v>-46199.29350514918</v>
      </c>
      <c r="AU274">
        <f t="shared" si="210"/>
        <v>-23980.906200384026</v>
      </c>
      <c r="AV274">
        <f t="shared" si="250"/>
        <v>-2.6628016192651844</v>
      </c>
      <c r="AW274">
        <f t="shared" si="251"/>
        <v>-1738.1023451777348</v>
      </c>
      <c r="AX274">
        <f t="shared" si="252"/>
        <v>-12657.732579944557</v>
      </c>
      <c r="AY274">
        <f t="shared" si="260"/>
        <v>-1.707258366935509</v>
      </c>
      <c r="BA274">
        <f t="shared" si="237"/>
        <v>4.0740751686811212</v>
      </c>
      <c r="BB274">
        <f t="shared" si="253"/>
        <v>12.200580753676915</v>
      </c>
      <c r="BC274">
        <f t="shared" si="254"/>
        <v>-0.95554325232967541</v>
      </c>
      <c r="BD274">
        <f t="shared" si="238"/>
        <v>-234.74859556325407</v>
      </c>
      <c r="BF274">
        <f t="shared" si="239"/>
        <v>-26.61720042598942</v>
      </c>
      <c r="BG274">
        <f t="shared" si="240"/>
        <v>-166.31510691757924</v>
      </c>
      <c r="BH274">
        <f t="shared" si="255"/>
        <v>13.684893082420757</v>
      </c>
      <c r="BI274">
        <f t="shared" si="256"/>
        <v>13.684893082420757</v>
      </c>
      <c r="BJ274">
        <f t="shared" si="241"/>
        <v>0</v>
      </c>
      <c r="BK274">
        <f t="shared" si="257"/>
        <v>0</v>
      </c>
      <c r="BM274">
        <f t="shared" si="258"/>
        <v>-38.817781179666333</v>
      </c>
      <c r="BN274">
        <f t="shared" si="242"/>
        <v>-111.56651135432519</v>
      </c>
      <c r="BQ274" s="56">
        <f t="shared" si="259"/>
        <v>29.102541553962055</v>
      </c>
      <c r="BR274" s="59"/>
      <c r="BS274" s="59"/>
      <c r="BT274" s="59">
        <v>43651.582999999999</v>
      </c>
      <c r="BU274" s="59">
        <v>-0.43071199999999998</v>
      </c>
      <c r="BV274" s="59">
        <v>-139.065</v>
      </c>
      <c r="BY274" s="59"/>
      <c r="BZ274" s="59"/>
      <c r="CA274" s="59"/>
      <c r="CC274" s="59"/>
    </row>
    <row r="275" spans="1:81" x14ac:dyDescent="0.25">
      <c r="A275">
        <f t="shared" si="211"/>
        <v>305000</v>
      </c>
      <c r="B275">
        <f t="shared" si="243"/>
        <v>305</v>
      </c>
      <c r="C275">
        <f t="shared" si="212"/>
        <v>2.7200972013502707</v>
      </c>
      <c r="D275">
        <f t="shared" si="213"/>
        <v>1.1943328409058556</v>
      </c>
      <c r="F275">
        <f t="shared" si="214"/>
        <v>2.755933025297193E-4</v>
      </c>
      <c r="G275">
        <f t="shared" si="215"/>
        <v>5.647946978701743E-3</v>
      </c>
      <c r="H275">
        <f t="shared" si="216"/>
        <v>-3.1359447030212984</v>
      </c>
      <c r="J275">
        <f t="shared" si="217"/>
        <v>15</v>
      </c>
      <c r="M275">
        <f t="shared" si="218"/>
        <v>4.1712189140164953E-3</v>
      </c>
      <c r="N275">
        <f t="shared" si="219"/>
        <v>-1.5707963250000001</v>
      </c>
      <c r="O275">
        <f t="shared" si="220"/>
        <v>88.618661255070123</v>
      </c>
      <c r="P275">
        <f t="shared" si="221"/>
        <v>1.5595117823248825</v>
      </c>
      <c r="Q275">
        <f t="shared" si="222"/>
        <v>78.255671335861024</v>
      </c>
      <c r="R275">
        <f t="shared" si="223"/>
        <v>1.5580173524345906</v>
      </c>
      <c r="S275">
        <f t="shared" si="224"/>
        <v>0.39001316935436386</v>
      </c>
      <c r="T275">
        <f t="shared" si="225"/>
        <v>-1.1701504322019369</v>
      </c>
      <c r="U275">
        <f t="shared" si="226"/>
        <v>0.46335546139206812</v>
      </c>
      <c r="V275">
        <f t="shared" si="227"/>
        <v>-1.0890183949349239</v>
      </c>
      <c r="X275">
        <f t="shared" si="244"/>
        <v>-24.615162211130361</v>
      </c>
      <c r="Y275">
        <f t="shared" si="228"/>
        <v>-152.06574229434534</v>
      </c>
      <c r="Z275">
        <f t="shared" si="245"/>
        <v>27.934257705654659</v>
      </c>
      <c r="AC275">
        <v>1</v>
      </c>
      <c r="AD275">
        <f t="shared" si="229"/>
        <v>88.613018922959995</v>
      </c>
      <c r="AE275">
        <f t="shared" si="230"/>
        <v>-2.5472319818255412E-2</v>
      </c>
      <c r="AF275">
        <f t="shared" si="231"/>
        <v>1.3318782039674999E-2</v>
      </c>
      <c r="AG275">
        <f t="shared" si="246"/>
        <v>1397.6090411365637</v>
      </c>
      <c r="AH275">
        <f t="shared" si="247"/>
        <v>-2748.0248845343326</v>
      </c>
      <c r="AJ275">
        <f t="shared" si="232"/>
        <v>18000</v>
      </c>
      <c r="AK275">
        <f t="shared" si="233"/>
        <v>42497.454749903998</v>
      </c>
      <c r="AL275">
        <v>1</v>
      </c>
      <c r="AM275">
        <f t="shared" si="234"/>
        <v>78.249281761728</v>
      </c>
      <c r="AN275">
        <f t="shared" si="248"/>
        <v>545.95404246383259</v>
      </c>
      <c r="AO275">
        <f t="shared" si="249"/>
        <v>-223.05694780284873</v>
      </c>
      <c r="AQ275">
        <f t="shared" si="235"/>
        <v>2.6874423879538083E-2</v>
      </c>
      <c r="AR275">
        <f t="shared" si="236"/>
        <v>-16.393398566518229</v>
      </c>
      <c r="AT275">
        <f t="shared" si="209"/>
        <v>-45011.907265092166</v>
      </c>
      <c r="AU275">
        <f t="shared" si="210"/>
        <v>-22985.413637099555</v>
      </c>
      <c r="AV275">
        <f t="shared" si="250"/>
        <v>-2.6694599234060887</v>
      </c>
      <c r="AW275">
        <f t="shared" si="251"/>
        <v>-1653.615308225126</v>
      </c>
      <c r="AX275">
        <f t="shared" si="252"/>
        <v>-12468.214362259896</v>
      </c>
      <c r="AY275">
        <f t="shared" si="260"/>
        <v>-1.7026532824611522</v>
      </c>
      <c r="BA275">
        <f t="shared" si="237"/>
        <v>4.0184069087441561</v>
      </c>
      <c r="BB275">
        <f t="shared" si="253"/>
        <v>12.081078236470455</v>
      </c>
      <c r="BC275">
        <f t="shared" si="254"/>
        <v>-0.96680664094493651</v>
      </c>
      <c r="BD275">
        <f t="shared" si="238"/>
        <v>-235.39394019466164</v>
      </c>
      <c r="BF275">
        <f t="shared" si="239"/>
        <v>-26.900034927416637</v>
      </c>
      <c r="BG275">
        <f t="shared" si="240"/>
        <v>-166.6401054735305</v>
      </c>
      <c r="BH275">
        <f t="shared" si="255"/>
        <v>13.359894526469503</v>
      </c>
      <c r="BI275">
        <f t="shared" si="256"/>
        <v>13.359894526469503</v>
      </c>
      <c r="BJ275">
        <f t="shared" si="241"/>
        <v>0</v>
      </c>
      <c r="BK275">
        <f t="shared" si="257"/>
        <v>0</v>
      </c>
      <c r="BM275">
        <f t="shared" si="258"/>
        <v>-38.981113163887095</v>
      </c>
      <c r="BN275">
        <f t="shared" si="242"/>
        <v>-111.24616527886889</v>
      </c>
      <c r="BQ275" s="56">
        <f t="shared" si="259"/>
        <v>28.983039036755592</v>
      </c>
      <c r="BR275" s="59"/>
      <c r="BS275" s="59"/>
      <c r="BT275" s="59">
        <v>44668.358999999997</v>
      </c>
      <c r="BU275" s="59">
        <v>-0.21105299999999999</v>
      </c>
      <c r="BV275" s="59">
        <v>-136.58699999999999</v>
      </c>
      <c r="BY275" s="59"/>
      <c r="BZ275" s="59"/>
      <c r="CA275" s="59"/>
      <c r="CC275" s="59"/>
    </row>
    <row r="276" spans="1:81" x14ac:dyDescent="0.25">
      <c r="A276">
        <f t="shared" si="211"/>
        <v>310000</v>
      </c>
      <c r="B276">
        <f t="shared" si="243"/>
        <v>310</v>
      </c>
      <c r="C276">
        <f t="shared" si="212"/>
        <v>2.7587042988374475</v>
      </c>
      <c r="D276">
        <f t="shared" si="213"/>
        <v>1.1998591661195934</v>
      </c>
      <c r="F276">
        <f t="shared" si="214"/>
        <v>2.6677266023797993E-4</v>
      </c>
      <c r="G276">
        <f t="shared" si="215"/>
        <v>5.5568036601106614E-3</v>
      </c>
      <c r="H276">
        <f t="shared" si="216"/>
        <v>-3.1360358463398894</v>
      </c>
      <c r="J276">
        <f t="shared" si="217"/>
        <v>15</v>
      </c>
      <c r="M276">
        <f t="shared" si="218"/>
        <v>4.1039411895968745E-3</v>
      </c>
      <c r="N276">
        <f t="shared" si="219"/>
        <v>-1.5707963250000001</v>
      </c>
      <c r="O276">
        <f t="shared" si="220"/>
        <v>90.071242696728376</v>
      </c>
      <c r="P276">
        <f t="shared" si="221"/>
        <v>1.5596937760273728</v>
      </c>
      <c r="Q276">
        <f t="shared" si="222"/>
        <v>79.538343397273906</v>
      </c>
      <c r="R276">
        <f t="shared" si="223"/>
        <v>1.5582234430258017</v>
      </c>
      <c r="S276">
        <f t="shared" si="224"/>
        <v>0.38465988684419455</v>
      </c>
      <c r="T276">
        <f t="shared" si="225"/>
        <v>-1.175956995863005</v>
      </c>
      <c r="U276">
        <f t="shared" si="226"/>
        <v>0.45745603245070798</v>
      </c>
      <c r="V276">
        <f t="shared" si="227"/>
        <v>-1.0956640989386062</v>
      </c>
      <c r="X276">
        <f t="shared" si="244"/>
        <v>-24.865443731862538</v>
      </c>
      <c r="Y276">
        <f t="shared" si="228"/>
        <v>-152.44555610173452</v>
      </c>
      <c r="Z276">
        <f t="shared" si="245"/>
        <v>27.554443898265475</v>
      </c>
      <c r="AC276">
        <v>1</v>
      </c>
      <c r="AD276">
        <f t="shared" si="229"/>
        <v>90.065691364320003</v>
      </c>
      <c r="AE276">
        <f t="shared" si="230"/>
        <v>-2.631432340268041E-2</v>
      </c>
      <c r="AF276">
        <f t="shared" si="231"/>
        <v>1.353712272885E-2</v>
      </c>
      <c r="AG276">
        <f t="shared" si="246"/>
        <v>1362.2469584754992</v>
      </c>
      <c r="AH276">
        <f t="shared" si="247"/>
        <v>-2721.8935484063691</v>
      </c>
      <c r="AJ276">
        <f t="shared" si="232"/>
        <v>18000</v>
      </c>
      <c r="AK276">
        <f t="shared" si="233"/>
        <v>43194.134335968003</v>
      </c>
      <c r="AL276">
        <v>1</v>
      </c>
      <c r="AM276">
        <f t="shared" si="234"/>
        <v>79.532056872575993</v>
      </c>
      <c r="AN276">
        <f t="shared" si="248"/>
        <v>545.86284380034328</v>
      </c>
      <c r="AO276">
        <f t="shared" si="249"/>
        <v>-219.46040178696975</v>
      </c>
      <c r="AQ276">
        <f t="shared" si="235"/>
        <v>2.6014500482568984E-2</v>
      </c>
      <c r="AR276">
        <f t="shared" si="236"/>
        <v>-16.128990299192768</v>
      </c>
      <c r="AT276">
        <f t="shared" si="209"/>
        <v>-43865.956463523071</v>
      </c>
      <c r="AU276">
        <f t="shared" si="210"/>
        <v>-22042.476679384701</v>
      </c>
      <c r="AV276">
        <f t="shared" si="250"/>
        <v>-2.6759500746738505</v>
      </c>
      <c r="AW276">
        <f t="shared" si="251"/>
        <v>-1573.69202388441</v>
      </c>
      <c r="AX276">
        <f t="shared" si="252"/>
        <v>-12284.222755273197</v>
      </c>
      <c r="AY276">
        <f t="shared" si="260"/>
        <v>-1.698209110104866</v>
      </c>
      <c r="BA276">
        <f t="shared" si="237"/>
        <v>3.9640074164257246</v>
      </c>
      <c r="BB276">
        <f t="shared" si="253"/>
        <v>11.962689167070781</v>
      </c>
      <c r="BC276">
        <f t="shared" si="254"/>
        <v>-0.97774096456898452</v>
      </c>
      <c r="BD276">
        <f t="shared" si="238"/>
        <v>-236.02043079086565</v>
      </c>
      <c r="BF276">
        <f t="shared" si="239"/>
        <v>-27.178556227914473</v>
      </c>
      <c r="BG276">
        <f t="shared" si="240"/>
        <v>-166.95518308590084</v>
      </c>
      <c r="BH276">
        <f t="shared" si="255"/>
        <v>13.044816914099158</v>
      </c>
      <c r="BI276">
        <f t="shared" si="256"/>
        <v>13.044816914099158</v>
      </c>
      <c r="BJ276">
        <f t="shared" si="241"/>
        <v>0</v>
      </c>
      <c r="BK276">
        <f t="shared" si="257"/>
        <v>0</v>
      </c>
      <c r="BM276">
        <f t="shared" si="258"/>
        <v>-39.141245394985255</v>
      </c>
      <c r="BN276">
        <f t="shared" si="242"/>
        <v>-110.93475229503521</v>
      </c>
      <c r="BQ276" s="56">
        <f t="shared" si="259"/>
        <v>28.86464996735592</v>
      </c>
      <c r="BR276" s="59"/>
      <c r="BS276" s="59"/>
      <c r="BT276" s="59">
        <v>45708.819000000003</v>
      </c>
      <c r="BU276" s="59">
        <v>0.52166999999999997</v>
      </c>
      <c r="BV276" s="59">
        <v>-135.751</v>
      </c>
      <c r="BY276" s="59"/>
      <c r="BZ276" s="59"/>
      <c r="CA276" s="59"/>
      <c r="CC276" s="59"/>
    </row>
    <row r="277" spans="1:81" x14ac:dyDescent="0.25">
      <c r="A277">
        <f t="shared" si="211"/>
        <v>315000</v>
      </c>
      <c r="B277">
        <f t="shared" si="243"/>
        <v>315</v>
      </c>
      <c r="C277">
        <f t="shared" si="212"/>
        <v>2.7973933208951305</v>
      </c>
      <c r="D277">
        <f t="shared" si="213"/>
        <v>1.2052327892941834</v>
      </c>
      <c r="F277">
        <f t="shared" si="214"/>
        <v>2.5836884310893415E-4</v>
      </c>
      <c r="G277">
        <f t="shared" si="215"/>
        <v>5.4685559845339179E-3</v>
      </c>
      <c r="H277">
        <f t="shared" si="216"/>
        <v>-3.1361240940154662</v>
      </c>
      <c r="J277">
        <f t="shared" si="217"/>
        <v>15</v>
      </c>
      <c r="M277">
        <f t="shared" si="218"/>
        <v>4.0387992659524797E-3</v>
      </c>
      <c r="N277">
        <f t="shared" si="219"/>
        <v>-1.5707963250000001</v>
      </c>
      <c r="O277">
        <f t="shared" si="220"/>
        <v>91.523827027003193</v>
      </c>
      <c r="P277">
        <f t="shared" si="221"/>
        <v>1.5598699928529787</v>
      </c>
      <c r="Q277">
        <f t="shared" si="222"/>
        <v>80.821018729715675</v>
      </c>
      <c r="R277">
        <f t="shared" si="223"/>
        <v>1.5584229920765016</v>
      </c>
      <c r="S277">
        <f t="shared" si="224"/>
        <v>0.37943929374813856</v>
      </c>
      <c r="T277">
        <f t="shared" si="225"/>
        <v>-1.1816061326756733</v>
      </c>
      <c r="U277">
        <f t="shared" si="226"/>
        <v>0.45168573534200801</v>
      </c>
      <c r="V277">
        <f t="shared" si="227"/>
        <v>-1.1021424268119295</v>
      </c>
      <c r="X277">
        <f t="shared" si="244"/>
        <v>-25.112512549406183</v>
      </c>
      <c r="Y277">
        <f t="shared" si="228"/>
        <v>-152.81604913682648</v>
      </c>
      <c r="Z277">
        <f t="shared" si="245"/>
        <v>27.183950863173521</v>
      </c>
      <c r="AC277">
        <v>1</v>
      </c>
      <c r="AD277">
        <f t="shared" si="229"/>
        <v>91.518363805680011</v>
      </c>
      <c r="AE277">
        <f t="shared" si="230"/>
        <v>-2.7170018102299305E-2</v>
      </c>
      <c r="AF277">
        <f t="shared" si="231"/>
        <v>1.3755463418024999E-2</v>
      </c>
      <c r="AG277">
        <f t="shared" si="246"/>
        <v>1328.0972567488725</v>
      </c>
      <c r="AH277">
        <f t="shared" si="247"/>
        <v>-2695.9779820202871</v>
      </c>
      <c r="AJ277">
        <f t="shared" si="232"/>
        <v>18000</v>
      </c>
      <c r="AK277">
        <f t="shared" si="233"/>
        <v>43890.813922032001</v>
      </c>
      <c r="AL277">
        <v>1</v>
      </c>
      <c r="AM277">
        <f t="shared" si="234"/>
        <v>80.814831983424</v>
      </c>
      <c r="AN277">
        <f t="shared" si="248"/>
        <v>545.77595248375815</v>
      </c>
      <c r="AO277">
        <f t="shared" si="249"/>
        <v>-215.97797853612181</v>
      </c>
      <c r="AQ277">
        <f t="shared" si="235"/>
        <v>2.5195199810532098E-2</v>
      </c>
      <c r="AR277">
        <f t="shared" si="236"/>
        <v>-15.872975880635222</v>
      </c>
      <c r="AT277">
        <f t="shared" si="209"/>
        <v>-42759.731807580029</v>
      </c>
      <c r="AU277">
        <f t="shared" si="210"/>
        <v>-21148.781427454454</v>
      </c>
      <c r="AV277">
        <f t="shared" si="250"/>
        <v>-2.6822777872945229</v>
      </c>
      <c r="AW277">
        <f t="shared" si="251"/>
        <v>-1498.0156156865157</v>
      </c>
      <c r="AX277">
        <f t="shared" si="252"/>
        <v>-12105.516012833261</v>
      </c>
      <c r="AY277">
        <f t="shared" si="260"/>
        <v>-1.6939169469310791</v>
      </c>
      <c r="BA277">
        <f t="shared" si="237"/>
        <v>3.9108476733216304</v>
      </c>
      <c r="BB277">
        <f t="shared" si="253"/>
        <v>11.84541801209196</v>
      </c>
      <c r="BC277">
        <f t="shared" si="254"/>
        <v>-0.98836084036344385</v>
      </c>
      <c r="BD277">
        <f t="shared" si="238"/>
        <v>-236.6289048535366</v>
      </c>
      <c r="BF277">
        <f t="shared" si="239"/>
        <v>-27.452883322741492</v>
      </c>
      <c r="BG277">
        <f t="shared" si="240"/>
        <v>-167.26082743899045</v>
      </c>
      <c r="BH277">
        <f t="shared" si="255"/>
        <v>12.739172561009553</v>
      </c>
      <c r="BI277">
        <f t="shared" si="256"/>
        <v>12.739172561009553</v>
      </c>
      <c r="BJ277">
        <f t="shared" si="241"/>
        <v>0</v>
      </c>
      <c r="BK277">
        <f t="shared" si="257"/>
        <v>0</v>
      </c>
      <c r="BM277">
        <f t="shared" si="258"/>
        <v>-39.298301334833447</v>
      </c>
      <c r="BN277">
        <f t="shared" si="242"/>
        <v>-110.63192258545388</v>
      </c>
      <c r="BQ277" s="56">
        <f t="shared" si="259"/>
        <v>28.747378812377097</v>
      </c>
      <c r="BR277" s="59"/>
      <c r="BS277" s="59"/>
      <c r="BT277" s="59">
        <v>46773.514000000003</v>
      </c>
      <c r="BU277" s="59">
        <v>0.78233600000000003</v>
      </c>
      <c r="BV277" s="59">
        <v>-137.57599999999999</v>
      </c>
      <c r="BY277" s="59"/>
      <c r="BZ277" s="59"/>
      <c r="CA277" s="59"/>
      <c r="CC277" s="59"/>
    </row>
    <row r="278" spans="1:81" x14ac:dyDescent="0.25">
      <c r="A278">
        <f t="shared" si="211"/>
        <v>320000</v>
      </c>
      <c r="B278">
        <f t="shared" si="243"/>
        <v>320</v>
      </c>
      <c r="C278">
        <f t="shared" si="212"/>
        <v>2.8361609148436884</v>
      </c>
      <c r="D278">
        <f t="shared" si="213"/>
        <v>1.2104596554535796</v>
      </c>
      <c r="F278">
        <f t="shared" si="214"/>
        <v>2.5035599380304139E-4</v>
      </c>
      <c r="G278">
        <f t="shared" si="215"/>
        <v>5.3830680840995749E-3</v>
      </c>
      <c r="H278">
        <f t="shared" si="216"/>
        <v>-3.1362095819159008</v>
      </c>
      <c r="J278">
        <f t="shared" si="217"/>
        <v>15</v>
      </c>
      <c r="M278">
        <f t="shared" si="218"/>
        <v>3.9756930274219716E-3</v>
      </c>
      <c r="N278">
        <f t="shared" si="219"/>
        <v>-1.5707963250000001</v>
      </c>
      <c r="O278">
        <f t="shared" si="220"/>
        <v>92.976414110506667</v>
      </c>
      <c r="P278">
        <f t="shared" si="221"/>
        <v>1.5600407035500212</v>
      </c>
      <c r="Q278">
        <f t="shared" si="222"/>
        <v>82.103697179880157</v>
      </c>
      <c r="R278">
        <f t="shared" si="223"/>
        <v>1.5586163061592755</v>
      </c>
      <c r="S278">
        <f t="shared" si="224"/>
        <v>0.37434704001554531</v>
      </c>
      <c r="T278">
        <f t="shared" si="225"/>
        <v>-1.1871038128907228</v>
      </c>
      <c r="U278">
        <f t="shared" si="226"/>
        <v>0.44604117099192586</v>
      </c>
      <c r="V278">
        <f t="shared" si="227"/>
        <v>-1.1084590993434333</v>
      </c>
      <c r="X278">
        <f t="shared" si="244"/>
        <v>-25.35644356889437</v>
      </c>
      <c r="Y278">
        <f t="shared" si="228"/>
        <v>-153.17752532865535</v>
      </c>
      <c r="Z278">
        <f t="shared" si="245"/>
        <v>26.822474671344651</v>
      </c>
      <c r="AC278">
        <v>1</v>
      </c>
      <c r="AD278">
        <f t="shared" si="229"/>
        <v>92.971036247040004</v>
      </c>
      <c r="AE278">
        <f t="shared" si="230"/>
        <v>-2.8039403917112109E-2</v>
      </c>
      <c r="AF278">
        <f t="shared" si="231"/>
        <v>1.39738041072E-2</v>
      </c>
      <c r="AG278">
        <f t="shared" si="246"/>
        <v>1295.1110938514444</v>
      </c>
      <c r="AH278">
        <f t="shared" si="247"/>
        <v>-2670.2924122721479</v>
      </c>
      <c r="AJ278">
        <f t="shared" si="232"/>
        <v>18000</v>
      </c>
      <c r="AK278">
        <f t="shared" si="233"/>
        <v>44587.493508095999</v>
      </c>
      <c r="AL278">
        <v>1</v>
      </c>
      <c r="AM278">
        <f t="shared" si="234"/>
        <v>82.097607094271993</v>
      </c>
      <c r="AN278">
        <f t="shared" si="248"/>
        <v>545.69310148651073</v>
      </c>
      <c r="AO278">
        <f t="shared" si="249"/>
        <v>-212.60433179825637</v>
      </c>
      <c r="AQ278">
        <f t="shared" si="235"/>
        <v>2.4414002895500744E-2</v>
      </c>
      <c r="AR278">
        <f t="shared" si="236"/>
        <v>-15.624961853120476</v>
      </c>
      <c r="AT278">
        <f t="shared" ref="AT278:AT341" si="261">-AR278*AH278+AG278*AQ278</f>
        <v>-41691.598232434088</v>
      </c>
      <c r="AU278">
        <f t="shared" ref="AU278:AU341" si="262">AQ278*AH278+AG278*AR278</f>
        <v>-20301.253963666997</v>
      </c>
      <c r="AV278">
        <f t="shared" si="250"/>
        <v>-2.6884485506547691</v>
      </c>
      <c r="AW278">
        <f t="shared" si="251"/>
        <v>-1426.2956689907144</v>
      </c>
      <c r="AX278">
        <f t="shared" si="252"/>
        <v>-11931.866815335696</v>
      </c>
      <c r="AY278">
        <f t="shared" si="260"/>
        <v>-1.6897684786017977</v>
      </c>
      <c r="BA278">
        <f t="shared" si="237"/>
        <v>3.8588982415204049</v>
      </c>
      <c r="BB278">
        <f t="shared" si="253"/>
        <v>11.729266529039478</v>
      </c>
      <c r="BC278">
        <f t="shared" si="254"/>
        <v>-0.99868007205297138</v>
      </c>
      <c r="BD278">
        <f t="shared" si="238"/>
        <v>-237.22015327783976</v>
      </c>
      <c r="BF278">
        <f t="shared" si="239"/>
        <v>-27.723131068486467</v>
      </c>
      <c r="BG278">
        <f t="shared" si="240"/>
        <v>-167.55749658783822</v>
      </c>
      <c r="BH278">
        <f t="shared" si="255"/>
        <v>12.442503412161784</v>
      </c>
      <c r="BI278">
        <f t="shared" si="256"/>
        <v>12.442503412161784</v>
      </c>
      <c r="BJ278">
        <f t="shared" si="241"/>
        <v>0</v>
      </c>
      <c r="BK278">
        <f t="shared" si="257"/>
        <v>0</v>
      </c>
      <c r="BM278">
        <f t="shared" si="258"/>
        <v>-39.452397597525945</v>
      </c>
      <c r="BN278">
        <f t="shared" si="242"/>
        <v>-110.33734330999845</v>
      </c>
      <c r="BQ278" s="56">
        <f t="shared" si="259"/>
        <v>28.631227329324616</v>
      </c>
      <c r="BR278" s="59"/>
      <c r="BS278" s="59"/>
      <c r="BT278" s="59">
        <v>47863.008999999998</v>
      </c>
      <c r="BU278" s="59">
        <v>0.81724300000000005</v>
      </c>
      <c r="BV278" s="59">
        <v>-138.25</v>
      </c>
      <c r="BY278" s="59"/>
      <c r="BZ278" s="59"/>
      <c r="CA278" s="59"/>
      <c r="CC278" s="59"/>
    </row>
    <row r="279" spans="1:81" x14ac:dyDescent="0.25">
      <c r="A279">
        <f t="shared" si="211"/>
        <v>325000</v>
      </c>
      <c r="B279">
        <f t="shared" si="243"/>
        <v>325</v>
      </c>
      <c r="C279">
        <f t="shared" si="212"/>
        <v>2.875003902209373</v>
      </c>
      <c r="D279">
        <f t="shared" si="213"/>
        <v>1.2155454213985397</v>
      </c>
      <c r="F279">
        <f t="shared" si="214"/>
        <v>2.4271022951428742E-4</v>
      </c>
      <c r="G279">
        <f t="shared" si="215"/>
        <v>5.3002124621560993E-3</v>
      </c>
      <c r="H279">
        <f t="shared" si="216"/>
        <v>-3.1362924375378443</v>
      </c>
      <c r="J279">
        <f t="shared" si="217"/>
        <v>15</v>
      </c>
      <c r="M279">
        <f t="shared" si="218"/>
        <v>3.9145285193077873E-3</v>
      </c>
      <c r="N279">
        <f t="shared" si="219"/>
        <v>-1.5707963250000001</v>
      </c>
      <c r="O279">
        <f t="shared" si="220"/>
        <v>94.42900382018135</v>
      </c>
      <c r="P279">
        <f t="shared" si="221"/>
        <v>1.5602061622086019</v>
      </c>
      <c r="Q279">
        <f t="shared" si="222"/>
        <v>83.386378603893661</v>
      </c>
      <c r="R279">
        <f t="shared" si="223"/>
        <v>1.558803672985372</v>
      </c>
      <c r="S279">
        <f t="shared" si="224"/>
        <v>0.36937893264708194</v>
      </c>
      <c r="T279">
        <f t="shared" si="225"/>
        <v>-1.192455727539689</v>
      </c>
      <c r="U279">
        <f t="shared" si="226"/>
        <v>0.44051901083822981</v>
      </c>
      <c r="V279">
        <f t="shared" si="227"/>
        <v>-1.1146196070017174</v>
      </c>
      <c r="X279">
        <f t="shared" si="244"/>
        <v>-25.597309226272422</v>
      </c>
      <c r="Y279">
        <f t="shared" si="228"/>
        <v>-153.53027748126817</v>
      </c>
      <c r="Z279">
        <f t="shared" si="245"/>
        <v>26.469722518731828</v>
      </c>
      <c r="AC279">
        <v>1</v>
      </c>
      <c r="AD279">
        <f t="shared" si="229"/>
        <v>94.423708688399998</v>
      </c>
      <c r="AE279">
        <f t="shared" si="230"/>
        <v>-2.8922480847118813E-2</v>
      </c>
      <c r="AF279">
        <f t="shared" si="231"/>
        <v>1.4192144796375001E-2</v>
      </c>
      <c r="AG279">
        <f t="shared" si="246"/>
        <v>1263.2416599810629</v>
      </c>
      <c r="AH279">
        <f t="shared" si="247"/>
        <v>-2644.8491933137866</v>
      </c>
      <c r="AJ279">
        <f t="shared" si="232"/>
        <v>18000</v>
      </c>
      <c r="AK279">
        <f t="shared" si="233"/>
        <v>45284.173094159996</v>
      </c>
      <c r="AL279">
        <v>1</v>
      </c>
      <c r="AM279">
        <f t="shared" si="234"/>
        <v>83.38038220512</v>
      </c>
      <c r="AN279">
        <f t="shared" si="248"/>
        <v>545.61404415634286</v>
      </c>
      <c r="AO279">
        <f t="shared" si="249"/>
        <v>-209.3344440770849</v>
      </c>
      <c r="AQ279">
        <f t="shared" si="235"/>
        <v>2.3668583032939568E-2</v>
      </c>
      <c r="AR279">
        <f t="shared" si="236"/>
        <v>-15.384578971410718</v>
      </c>
      <c r="AT279">
        <f t="shared" si="261"/>
        <v>-40659.992141887953</v>
      </c>
      <c r="AU279">
        <f t="shared" si="262"/>
        <v>-19497.040910696178</v>
      </c>
      <c r="AV279">
        <f t="shared" si="250"/>
        <v>-2.6944676380582218</v>
      </c>
      <c r="AW279">
        <f t="shared" si="251"/>
        <v>-1358.2656759097058</v>
      </c>
      <c r="AX279">
        <f t="shared" si="252"/>
        <v>-11763.061156549758</v>
      </c>
      <c r="AY279">
        <f t="shared" si="260"/>
        <v>-1.6857559361155023</v>
      </c>
      <c r="BA279">
        <f t="shared" si="237"/>
        <v>3.8081294750657149</v>
      </c>
      <c r="BB279">
        <f t="shared" si="253"/>
        <v>11.61423411646863</v>
      </c>
      <c r="BC279">
        <f t="shared" si="254"/>
        <v>-1.0087117019427194</v>
      </c>
      <c r="BD279">
        <f t="shared" si="238"/>
        <v>-237.79492333281638</v>
      </c>
      <c r="BF279">
        <f t="shared" si="239"/>
        <v>-27.989410313872103</v>
      </c>
      <c r="BG279">
        <f t="shared" si="240"/>
        <v>-167.84562099569601</v>
      </c>
      <c r="BH279">
        <f t="shared" si="255"/>
        <v>12.154379004303991</v>
      </c>
      <c r="BI279">
        <f t="shared" si="256"/>
        <v>12.154379004303991</v>
      </c>
      <c r="BJ279">
        <f t="shared" si="241"/>
        <v>0</v>
      </c>
      <c r="BK279">
        <f t="shared" si="257"/>
        <v>0</v>
      </c>
      <c r="BM279">
        <f t="shared" si="258"/>
        <v>-39.603644430340729</v>
      </c>
      <c r="BN279">
        <f t="shared" si="242"/>
        <v>-110.05069766287961</v>
      </c>
      <c r="BQ279" s="56">
        <f t="shared" si="259"/>
        <v>28.516194916753761</v>
      </c>
      <c r="BR279" s="59"/>
      <c r="BS279" s="59"/>
      <c r="BT279" s="59">
        <v>48977.881999999998</v>
      </c>
      <c r="BU279" s="59">
        <v>0.86195100000000002</v>
      </c>
      <c r="BV279" s="59">
        <v>-138.07900000000001</v>
      </c>
      <c r="BY279" s="59"/>
      <c r="BZ279" s="59"/>
      <c r="CA279" s="59"/>
      <c r="CC279" s="59"/>
    </row>
    <row r="280" spans="1:81" x14ac:dyDescent="0.25">
      <c r="A280">
        <f>A279+5000</f>
        <v>330000</v>
      </c>
      <c r="B280">
        <f t="shared" si="243"/>
        <v>330</v>
      </c>
      <c r="C280">
        <f t="shared" si="212"/>
        <v>2.9139192679765662</v>
      </c>
      <c r="D280">
        <f t="shared" si="213"/>
        <v>1.2204954718269625</v>
      </c>
      <c r="F280">
        <f t="shared" si="214"/>
        <v>2.3540946374569745E-4</v>
      </c>
      <c r="G280">
        <f t="shared" si="215"/>
        <v>5.2198693581893595E-3</v>
      </c>
      <c r="H280">
        <f t="shared" si="216"/>
        <v>-3.1363727806418109</v>
      </c>
      <c r="J280">
        <f t="shared" si="217"/>
        <v>15</v>
      </c>
      <c r="M280">
        <f t="shared" si="218"/>
        <v>3.8552174811364573E-3</v>
      </c>
      <c r="N280">
        <f t="shared" si="219"/>
        <v>-1.5707963250000001</v>
      </c>
      <c r="O280">
        <f t="shared" si="220"/>
        <v>95.881596036669094</v>
      </c>
      <c r="P280">
        <f t="shared" si="221"/>
        <v>1.5603666075223022</v>
      </c>
      <c r="Q280">
        <f t="shared" si="222"/>
        <v>84.669062866600498</v>
      </c>
      <c r="R280">
        <f t="shared" si="223"/>
        <v>1.5589853628331767</v>
      </c>
      <c r="S280">
        <f t="shared" si="224"/>
        <v>0.36453093115338758</v>
      </c>
      <c r="T280">
        <f t="shared" si="225"/>
        <v>-1.1976673032698593</v>
      </c>
      <c r="U280">
        <f t="shared" si="226"/>
        <v>0.43511599925768846</v>
      </c>
      <c r="V280">
        <f t="shared" si="227"/>
        <v>-1.1206292195656837</v>
      </c>
      <c r="X280">
        <f t="shared" si="244"/>
        <v>-25.835179599824009</v>
      </c>
      <c r="Y280">
        <f t="shared" si="228"/>
        <v>-153.8745876341047</v>
      </c>
      <c r="Z280">
        <f t="shared" si="245"/>
        <v>26.125412365895301</v>
      </c>
      <c r="AC280">
        <v>1</v>
      </c>
      <c r="AD280">
        <f t="shared" si="229"/>
        <v>95.876381129760006</v>
      </c>
      <c r="AE280">
        <f t="shared" si="230"/>
        <v>-2.9819248892319423E-2</v>
      </c>
      <c r="AF280">
        <f t="shared" si="231"/>
        <v>1.441048548555E-2</v>
      </c>
      <c r="AG280">
        <f t="shared" si="246"/>
        <v>1232.4441116985497</v>
      </c>
      <c r="AH280">
        <f t="shared" si="247"/>
        <v>-2619.6589802936646</v>
      </c>
      <c r="AJ280">
        <f t="shared" si="232"/>
        <v>18000</v>
      </c>
      <c r="AK280">
        <f t="shared" si="233"/>
        <v>45980.852680223994</v>
      </c>
      <c r="AL280">
        <v>1</v>
      </c>
      <c r="AM280">
        <f t="shared" si="234"/>
        <v>84.663157315967993</v>
      </c>
      <c r="AN280">
        <f t="shared" si="248"/>
        <v>545.53855237880293</v>
      </c>
      <c r="AO280">
        <f t="shared" si="249"/>
        <v>-206.16360174804367</v>
      </c>
      <c r="AQ280">
        <f t="shared" si="235"/>
        <v>2.29567884371248E-2</v>
      </c>
      <c r="AR280">
        <f t="shared" si="236"/>
        <v>-15.151480368502368</v>
      </c>
      <c r="AT280">
        <f t="shared" si="261"/>
        <v>-39663.418653357541</v>
      </c>
      <c r="AU280">
        <f t="shared" si="262"/>
        <v>-18733.49172066493</v>
      </c>
      <c r="AV280">
        <f t="shared" si="250"/>
        <v>-2.700340115277458</v>
      </c>
      <c r="AW280">
        <f t="shared" si="251"/>
        <v>-1293.6807584060682</v>
      </c>
      <c r="AX280">
        <f t="shared" si="252"/>
        <v>-11598.897336531529</v>
      </c>
      <c r="AY280">
        <f t="shared" si="260"/>
        <v>-1.6818720558633393</v>
      </c>
      <c r="BA280">
        <f t="shared" si="237"/>
        <v>3.7585116967076115</v>
      </c>
      <c r="BB280">
        <f t="shared" si="253"/>
        <v>11.50031812267949</v>
      </c>
      <c r="BC280">
        <f t="shared" si="254"/>
        <v>-1.0184680594141187</v>
      </c>
      <c r="BD280">
        <f t="shared" si="238"/>
        <v>-238.35392143998723</v>
      </c>
      <c r="BF280">
        <f t="shared" si="239"/>
        <v>-28.251828031944605</v>
      </c>
      <c r="BG280">
        <f t="shared" si="240"/>
        <v>-168.12560542539273</v>
      </c>
      <c r="BH280">
        <f t="shared" si="255"/>
        <v>11.874394574607265</v>
      </c>
      <c r="BI280">
        <f t="shared" si="256"/>
        <v>11.874394574607265</v>
      </c>
      <c r="BJ280">
        <f t="shared" si="241"/>
        <v>0</v>
      </c>
      <c r="BK280">
        <f t="shared" si="257"/>
        <v>0</v>
      </c>
      <c r="BM280">
        <f t="shared" si="258"/>
        <v>-39.752146154624093</v>
      </c>
      <c r="BN280">
        <f t="shared" si="242"/>
        <v>-109.77168398540553</v>
      </c>
      <c r="BQ280" s="56">
        <f t="shared" si="259"/>
        <v>28.402278922964626</v>
      </c>
      <c r="BR280" s="59"/>
      <c r="BS280" s="59"/>
      <c r="BT280" s="59">
        <v>50118.722999999998</v>
      </c>
      <c r="BU280" s="59">
        <v>0.950021</v>
      </c>
      <c r="BV280" s="59">
        <v>-137.59100000000001</v>
      </c>
      <c r="BY280" s="59"/>
      <c r="BZ280" s="59"/>
      <c r="CA280" s="59"/>
      <c r="CC280" s="59"/>
    </row>
    <row r="281" spans="1:81" x14ac:dyDescent="0.25">
      <c r="A281">
        <f t="shared" si="211"/>
        <v>335000</v>
      </c>
      <c r="B281">
        <f t="shared" si="243"/>
        <v>335</v>
      </c>
      <c r="C281">
        <f t="shared" si="212"/>
        <v>2.9529041505922411</v>
      </c>
      <c r="D281">
        <f t="shared" si="213"/>
        <v>1.2253149344800141</v>
      </c>
      <c r="F281">
        <f t="shared" si="214"/>
        <v>2.2843324657562708E-4</v>
      </c>
      <c r="G281">
        <f t="shared" si="215"/>
        <v>5.1419261697046616E-3</v>
      </c>
      <c r="H281">
        <f t="shared" si="216"/>
        <v>-3.1364507238302957</v>
      </c>
      <c r="J281">
        <f t="shared" si="217"/>
        <v>15</v>
      </c>
      <c r="M281">
        <f t="shared" si="218"/>
        <v>3.7976769217165102E-3</v>
      </c>
      <c r="N281">
        <f t="shared" si="219"/>
        <v>-1.5707963250000001</v>
      </c>
      <c r="O281">
        <f t="shared" si="220"/>
        <v>97.334190647736662</v>
      </c>
      <c r="P281">
        <f t="shared" si="221"/>
        <v>1.5605222639369256</v>
      </c>
      <c r="Q281">
        <f t="shared" si="222"/>
        <v>85.951749840912626</v>
      </c>
      <c r="R281">
        <f t="shared" si="223"/>
        <v>1.5591616298488067</v>
      </c>
      <c r="S281">
        <f t="shared" si="224"/>
        <v>0.35979914289351078</v>
      </c>
      <c r="T281">
        <f t="shared" si="225"/>
        <v>-1.2027437163528309</v>
      </c>
      <c r="U281">
        <f t="shared" si="226"/>
        <v>0.42982895534782961</v>
      </c>
      <c r="V281">
        <f t="shared" si="227"/>
        <v>-1.1264929954332092</v>
      </c>
      <c r="X281">
        <f t="shared" si="244"/>
        <v>-26.070122514306014</v>
      </c>
      <c r="Y281">
        <f t="shared" si="228"/>
        <v>-154.21072742295411</v>
      </c>
      <c r="Z281">
        <f t="shared" si="245"/>
        <v>25.789272577045892</v>
      </c>
      <c r="AC281">
        <v>1</v>
      </c>
      <c r="AD281">
        <f t="shared" si="229"/>
        <v>97.329053571119999</v>
      </c>
      <c r="AE281">
        <f t="shared" si="230"/>
        <v>-3.0729708052713935E-2</v>
      </c>
      <c r="AF281">
        <f t="shared" si="231"/>
        <v>1.4628826174724998E-2</v>
      </c>
      <c r="AG281">
        <f t="shared" si="246"/>
        <v>1202.6755044713454</v>
      </c>
      <c r="AH281">
        <f t="shared" si="247"/>
        <v>-2594.730888260654</v>
      </c>
      <c r="AJ281">
        <f t="shared" si="232"/>
        <v>18000</v>
      </c>
      <c r="AK281">
        <f t="shared" si="233"/>
        <v>46677.532266287999</v>
      </c>
      <c r="AL281">
        <v>1</v>
      </c>
      <c r="AM281">
        <f t="shared" si="234"/>
        <v>85.945932426816</v>
      </c>
      <c r="AN281">
        <f t="shared" si="248"/>
        <v>545.46641493019899</v>
      </c>
      <c r="AO281">
        <f t="shared" si="249"/>
        <v>-203.0873724004629</v>
      </c>
      <c r="AQ281">
        <f t="shared" si="235"/>
        <v>2.2276626694972834E-2</v>
      </c>
      <c r="AR281">
        <f t="shared" si="236"/>
        <v>-14.925339885631798</v>
      </c>
      <c r="AT281">
        <f t="shared" si="261"/>
        <v>-38700.448865789265</v>
      </c>
      <c r="AU281">
        <f t="shared" si="262"/>
        <v>-18008.142527730211</v>
      </c>
      <c r="AV281">
        <f t="shared" si="250"/>
        <v>-2.7060708488809349</v>
      </c>
      <c r="AW281">
        <f t="shared" si="251"/>
        <v>-1232.3156359878183</v>
      </c>
      <c r="AX281">
        <f t="shared" si="252"/>
        <v>-11439.185048671523</v>
      </c>
      <c r="AY281">
        <f t="shared" si="260"/>
        <v>-1.6781100427616218</v>
      </c>
      <c r="BA281">
        <f t="shared" si="237"/>
        <v>3.7100153449338817</v>
      </c>
      <c r="BB281">
        <f t="shared" si="253"/>
        <v>11.3875141179415</v>
      </c>
      <c r="BC281">
        <f t="shared" si="254"/>
        <v>-1.0279608061193131</v>
      </c>
      <c r="BD281">
        <f t="shared" si="238"/>
        <v>-238.89781576280308</v>
      </c>
      <c r="BF281">
        <f t="shared" si="239"/>
        <v>-28.510487452469725</v>
      </c>
      <c r="BG281">
        <f t="shared" si="240"/>
        <v>-168.39783069409938</v>
      </c>
      <c r="BH281">
        <f t="shared" si="255"/>
        <v>11.602169305900617</v>
      </c>
      <c r="BI281">
        <f t="shared" si="256"/>
        <v>11.602169305900617</v>
      </c>
      <c r="BJ281">
        <f t="shared" si="241"/>
        <v>0</v>
      </c>
      <c r="BK281">
        <f t="shared" si="257"/>
        <v>0</v>
      </c>
      <c r="BM281">
        <f t="shared" si="258"/>
        <v>-39.898001570411225</v>
      </c>
      <c r="BN281">
        <f t="shared" si="242"/>
        <v>-109.50001493129628</v>
      </c>
      <c r="BQ281" s="56">
        <f t="shared" si="259"/>
        <v>28.289474918226638</v>
      </c>
      <c r="BR281" s="59"/>
      <c r="BS281" s="59"/>
      <c r="BT281" s="59">
        <v>51286.137999999999</v>
      </c>
      <c r="BU281" s="59">
        <v>1.0492999999999999</v>
      </c>
      <c r="BV281" s="59">
        <v>-137.08699999999999</v>
      </c>
      <c r="BY281" s="59"/>
      <c r="BZ281" s="59"/>
      <c r="CA281" s="59"/>
      <c r="CC281" s="59"/>
    </row>
    <row r="282" spans="1:81" x14ac:dyDescent="0.25">
      <c r="A282">
        <f t="shared" si="211"/>
        <v>340000</v>
      </c>
      <c r="B282">
        <f t="shared" si="243"/>
        <v>340</v>
      </c>
      <c r="C282">
        <f t="shared" si="212"/>
        <v>2.9919558326650666</v>
      </c>
      <c r="D282">
        <f t="shared" si="213"/>
        <v>1.2300086943723663</v>
      </c>
      <c r="F282">
        <f t="shared" si="214"/>
        <v>2.217626212542658E-4</v>
      </c>
      <c r="G282">
        <f t="shared" si="215"/>
        <v>5.0662769251991896E-3</v>
      </c>
      <c r="H282">
        <f t="shared" si="216"/>
        <v>-3.1365263730748012</v>
      </c>
      <c r="J282">
        <f t="shared" si="217"/>
        <v>15</v>
      </c>
      <c r="M282">
        <f t="shared" si="218"/>
        <v>3.7418287316912675E-3</v>
      </c>
      <c r="N282">
        <f t="shared" si="219"/>
        <v>-1.5707963250000001</v>
      </c>
      <c r="O282">
        <f t="shared" si="220"/>
        <v>98.786787547751885</v>
      </c>
      <c r="P282">
        <f t="shared" si="221"/>
        <v>1.5606733426979058</v>
      </c>
      <c r="Q282">
        <f t="shared" si="222"/>
        <v>87.23443940721647</v>
      </c>
      <c r="R282">
        <f t="shared" si="223"/>
        <v>1.5593327132319823</v>
      </c>
      <c r="S282">
        <f t="shared" si="224"/>
        <v>0.35517981834422713</v>
      </c>
      <c r="T282">
        <f t="shared" si="225"/>
        <v>-1.2076899059086248</v>
      </c>
      <c r="U282">
        <f t="shared" si="226"/>
        <v>0.42465477414834335</v>
      </c>
      <c r="V282">
        <f t="shared" si="227"/>
        <v>-1.1322157906027959</v>
      </c>
      <c r="X282">
        <f t="shared" si="244"/>
        <v>-26.302203638419684</v>
      </c>
      <c r="Y282">
        <f t="shared" si="228"/>
        <v>-154.53895843915797</v>
      </c>
      <c r="Z282">
        <f t="shared" si="245"/>
        <v>25.461041560842034</v>
      </c>
      <c r="AC282">
        <v>1</v>
      </c>
      <c r="AD282">
        <f t="shared" si="229"/>
        <v>98.781726012479993</v>
      </c>
      <c r="AE282">
        <f t="shared" si="230"/>
        <v>-3.1653858328302351E-2</v>
      </c>
      <c r="AF282">
        <f t="shared" si="231"/>
        <v>1.4847166863899999E-2</v>
      </c>
      <c r="AG282">
        <f t="shared" si="246"/>
        <v>1173.8947244458418</v>
      </c>
      <c r="AH282">
        <f t="shared" si="247"/>
        <v>-2570.072637408678</v>
      </c>
      <c r="AJ282">
        <f t="shared" si="232"/>
        <v>18000</v>
      </c>
      <c r="AK282">
        <f t="shared" si="233"/>
        <v>47374.211852351997</v>
      </c>
      <c r="AL282">
        <v>1</v>
      </c>
      <c r="AM282">
        <f t="shared" si="234"/>
        <v>87.228707537664008</v>
      </c>
      <c r="AN282">
        <f t="shared" si="248"/>
        <v>545.39743599877568</v>
      </c>
      <c r="AO282">
        <f t="shared" si="249"/>
        <v>-200.10158417702795</v>
      </c>
      <c r="AQ282">
        <f t="shared" si="235"/>
        <v>2.1626250808281122E-2</v>
      </c>
      <c r="AR282">
        <f t="shared" si="236"/>
        <v>-14.705850549631164</v>
      </c>
      <c r="AT282">
        <f t="shared" si="261"/>
        <v>-37769.717165695038</v>
      </c>
      <c r="AU282">
        <f t="shared" si="262"/>
        <v>-17318.701414153107</v>
      </c>
      <c r="AV282">
        <f t="shared" si="250"/>
        <v>-2.7116645143195002</v>
      </c>
      <c r="AW282">
        <f t="shared" si="251"/>
        <v>-1173.9628088692943</v>
      </c>
      <c r="AX282">
        <f t="shared" si="252"/>
        <v>-11283.744550457655</v>
      </c>
      <c r="AY282">
        <f t="shared" si="260"/>
        <v>-1.6744635362318203</v>
      </c>
      <c r="BA282">
        <f t="shared" si="237"/>
        <v>3.6626110955746638</v>
      </c>
      <c r="BB282">
        <f t="shared" si="253"/>
        <v>11.275816134619658</v>
      </c>
      <c r="BC282">
        <f t="shared" si="254"/>
        <v>-1.0372009780876799</v>
      </c>
      <c r="BD282">
        <f t="shared" si="238"/>
        <v>-239.42723861917057</v>
      </c>
      <c r="BF282">
        <f t="shared" si="239"/>
        <v>-28.765488193572303</v>
      </c>
      <c r="BG282">
        <f t="shared" si="240"/>
        <v>-168.66265530071846</v>
      </c>
      <c r="BH282">
        <f t="shared" si="255"/>
        <v>11.337344699281545</v>
      </c>
      <c r="BI282">
        <f t="shared" si="256"/>
        <v>11.337344699281545</v>
      </c>
      <c r="BJ282">
        <f t="shared" si="241"/>
        <v>0</v>
      </c>
      <c r="BK282">
        <f t="shared" si="257"/>
        <v>0</v>
      </c>
      <c r="BM282">
        <f t="shared" si="258"/>
        <v>-40.041304328191963</v>
      </c>
      <c r="BN282">
        <f t="shared" si="242"/>
        <v>-109.23541668154789</v>
      </c>
      <c r="BQ282" s="56">
        <f t="shared" si="259"/>
        <v>28.177776934904799</v>
      </c>
      <c r="BR282" s="59"/>
      <c r="BS282" s="59"/>
      <c r="BT282" s="59">
        <v>52480.745999999999</v>
      </c>
      <c r="BU282" s="59">
        <v>1.1752400000000001</v>
      </c>
      <c r="BV282" s="59">
        <v>-136.553</v>
      </c>
      <c r="BY282" s="59"/>
      <c r="BZ282" s="59"/>
      <c r="CA282" s="59"/>
      <c r="CC282" s="59"/>
    </row>
    <row r="283" spans="1:81" x14ac:dyDescent="0.25">
      <c r="A283">
        <f t="shared" si="211"/>
        <v>345000</v>
      </c>
      <c r="B283">
        <f t="shared" si="243"/>
        <v>345</v>
      </c>
      <c r="C283">
        <f t="shared" si="212"/>
        <v>3.0310717323062439</v>
      </c>
      <c r="D283">
        <f t="shared" si="213"/>
        <v>1.2345814071620893</v>
      </c>
      <c r="F283">
        <f t="shared" si="214"/>
        <v>2.153799952497215E-4</v>
      </c>
      <c r="G283">
        <f t="shared" si="215"/>
        <v>4.9928218030327182E-3</v>
      </c>
      <c r="H283">
        <f t="shared" si="216"/>
        <v>-3.1365998281969674</v>
      </c>
      <c r="J283">
        <f t="shared" si="217"/>
        <v>15</v>
      </c>
      <c r="M283">
        <f t="shared" si="218"/>
        <v>3.6875993297826992E-3</v>
      </c>
      <c r="N283">
        <f t="shared" si="219"/>
        <v>-1.5707963250000001</v>
      </c>
      <c r="O283">
        <f t="shared" si="220"/>
        <v>100.23938663720544</v>
      </c>
      <c r="P283">
        <f t="shared" si="221"/>
        <v>1.5608200428066576</v>
      </c>
      <c r="Q283">
        <f t="shared" si="222"/>
        <v>88.51713145283145</v>
      </c>
      <c r="R283">
        <f t="shared" si="223"/>
        <v>1.5594988383188122</v>
      </c>
      <c r="S283">
        <f t="shared" si="224"/>
        <v>0.35066934634272257</v>
      </c>
      <c r="T283">
        <f t="shared" si="225"/>
        <v>-1.212510586386365</v>
      </c>
      <c r="U283">
        <f t="shared" si="226"/>
        <v>0.41959042737754626</v>
      </c>
      <c r="V283">
        <f t="shared" si="227"/>
        <v>-1.1378022673260211</v>
      </c>
      <c r="X283">
        <f t="shared" si="244"/>
        <v>-26.531486576251776</v>
      </c>
      <c r="Y283">
        <f t="shared" si="228"/>
        <v>-154.85953258514368</v>
      </c>
      <c r="Z283">
        <f t="shared" si="245"/>
        <v>25.140467414856317</v>
      </c>
      <c r="AC283">
        <v>1</v>
      </c>
      <c r="AD283">
        <f t="shared" si="229"/>
        <v>100.23439845384</v>
      </c>
      <c r="AE283">
        <f t="shared" si="230"/>
        <v>-3.2591699719084655E-2</v>
      </c>
      <c r="AF283">
        <f t="shared" si="231"/>
        <v>1.5065507553075E-2</v>
      </c>
      <c r="AG283">
        <f t="shared" si="246"/>
        <v>1146.0624200667139</v>
      </c>
      <c r="AH283">
        <f t="shared" si="247"/>
        <v>-2545.6906857621138</v>
      </c>
      <c r="AJ283">
        <f t="shared" si="232"/>
        <v>18000</v>
      </c>
      <c r="AK283">
        <f t="shared" si="233"/>
        <v>48070.891438416002</v>
      </c>
      <c r="AL283">
        <v>1</v>
      </c>
      <c r="AM283">
        <f t="shared" si="234"/>
        <v>88.511482648512001</v>
      </c>
      <c r="AN283">
        <f t="shared" si="248"/>
        <v>545.3314338547641</v>
      </c>
      <c r="AO283">
        <f t="shared" si="249"/>
        <v>-197.20230690812716</v>
      </c>
      <c r="AQ283">
        <f t="shared" si="235"/>
        <v>2.1003946641573953E-2</v>
      </c>
      <c r="AR283">
        <f t="shared" si="236"/>
        <v>-14.492723182686026</v>
      </c>
      <c r="AT283">
        <f t="shared" si="261"/>
        <v>-36869.918583573482</v>
      </c>
      <c r="AU283">
        <f t="shared" si="262"/>
        <v>-16663.034955435818</v>
      </c>
      <c r="AV283">
        <f t="shared" si="250"/>
        <v>-2.7171256037615219</v>
      </c>
      <c r="AW283">
        <f t="shared" si="251"/>
        <v>-1118.430931264814</v>
      </c>
      <c r="AX283">
        <f t="shared" si="252"/>
        <v>-11132.405908849785</v>
      </c>
      <c r="AY283">
        <f t="shared" si="260"/>
        <v>-1.6709265788122056</v>
      </c>
      <c r="BA283">
        <f t="shared" si="237"/>
        <v>3.6162699616721605</v>
      </c>
      <c r="BB283">
        <f t="shared" si="253"/>
        <v>11.165216879032391</v>
      </c>
      <c r="BC283">
        <f t="shared" si="254"/>
        <v>-1.0461990249493163</v>
      </c>
      <c r="BD283">
        <f t="shared" si="238"/>
        <v>-239.94278872879235</v>
      </c>
      <c r="BF283">
        <f t="shared" si="239"/>
        <v>-29.016926391841061</v>
      </c>
      <c r="BG283">
        <f t="shared" si="240"/>
        <v>-168.92041693475278</v>
      </c>
      <c r="BH283">
        <f t="shared" si="255"/>
        <v>11.07958306524722</v>
      </c>
      <c r="BI283">
        <f t="shared" si="256"/>
        <v>11.07958306524722</v>
      </c>
      <c r="BJ283">
        <f t="shared" si="241"/>
        <v>0</v>
      </c>
      <c r="BK283">
        <f t="shared" si="257"/>
        <v>0</v>
      </c>
      <c r="BM283">
        <f t="shared" si="258"/>
        <v>-40.182143270873453</v>
      </c>
      <c r="BN283">
        <f t="shared" si="242"/>
        <v>-108.97762820596046</v>
      </c>
      <c r="BQ283" s="56">
        <f t="shared" si="259"/>
        <v>28.067177679317528</v>
      </c>
      <c r="BR283" s="59"/>
      <c r="BS283" s="59"/>
      <c r="BT283" s="59">
        <v>53703.18</v>
      </c>
      <c r="BU283" s="59">
        <v>1.3152900000000001</v>
      </c>
      <c r="BV283" s="59">
        <v>-136.001</v>
      </c>
      <c r="BY283" s="59"/>
      <c r="BZ283" s="59"/>
      <c r="CA283" s="59"/>
      <c r="CC283" s="59"/>
    </row>
    <row r="284" spans="1:81" x14ac:dyDescent="0.25">
      <c r="A284">
        <f t="shared" si="211"/>
        <v>350000</v>
      </c>
      <c r="B284">
        <f t="shared" si="243"/>
        <v>350</v>
      </c>
      <c r="C284">
        <f t="shared" si="212"/>
        <v>3.0702493950634149</v>
      </c>
      <c r="D284">
        <f t="shared" si="213"/>
        <v>1.2390375117129473</v>
      </c>
      <c r="F284">
        <f t="shared" si="214"/>
        <v>2.0926902410326004E-4</v>
      </c>
      <c r="G284">
        <f t="shared" si="215"/>
        <v>4.9214666915989233E-3</v>
      </c>
      <c r="H284">
        <f t="shared" si="216"/>
        <v>-3.1366711833084011</v>
      </c>
      <c r="J284">
        <f t="shared" si="217"/>
        <v>15</v>
      </c>
      <c r="M284">
        <f t="shared" si="218"/>
        <v>3.6349193393572319E-3</v>
      </c>
      <c r="N284">
        <f t="shared" si="219"/>
        <v>-1.5707963250000001</v>
      </c>
      <c r="O284">
        <f t="shared" si="220"/>
        <v>101.69198782227353</v>
      </c>
      <c r="P284">
        <f t="shared" si="221"/>
        <v>1.5609625518949735</v>
      </c>
      <c r="Q284">
        <f t="shared" si="222"/>
        <v>89.799825871514841</v>
      </c>
      <c r="R284">
        <f t="shared" si="223"/>
        <v>1.5596602175717973</v>
      </c>
      <c r="S284">
        <f t="shared" si="224"/>
        <v>0.34626424933776301</v>
      </c>
      <c r="T284">
        <f t="shared" si="225"/>
        <v>-1.2172102593413248</v>
      </c>
      <c r="U284">
        <f t="shared" si="226"/>
        <v>0.41463296375066777</v>
      </c>
      <c r="V284">
        <f t="shared" si="227"/>
        <v>-1.1432569024313151</v>
      </c>
      <c r="X284">
        <f t="shared" si="244"/>
        <v>-26.75803295323982</v>
      </c>
      <c r="Y284">
        <f t="shared" si="228"/>
        <v>-155.17269242472861</v>
      </c>
      <c r="Z284">
        <f t="shared" si="245"/>
        <v>24.827307575271391</v>
      </c>
      <c r="AC284">
        <v>1</v>
      </c>
      <c r="AD284">
        <f t="shared" si="229"/>
        <v>101.68707089519999</v>
      </c>
      <c r="AE284">
        <f t="shared" si="230"/>
        <v>-3.3543232225060872E-2</v>
      </c>
      <c r="AF284">
        <f t="shared" si="231"/>
        <v>1.5283848242249999E-2</v>
      </c>
      <c r="AG284">
        <f t="shared" si="246"/>
        <v>1119.1409340526814</v>
      </c>
      <c r="AH284">
        <f t="shared" si="247"/>
        <v>-2521.59035032574</v>
      </c>
      <c r="AJ284">
        <f t="shared" si="232"/>
        <v>18000</v>
      </c>
      <c r="AK284">
        <f t="shared" si="233"/>
        <v>48767.571024479999</v>
      </c>
      <c r="AL284">
        <v>1</v>
      </c>
      <c r="AM284">
        <f t="shared" si="234"/>
        <v>89.794257759360008</v>
      </c>
      <c r="AN284">
        <f t="shared" si="248"/>
        <v>545.26823965241897</v>
      </c>
      <c r="AO284">
        <f t="shared" si="249"/>
        <v>-194.38583486178575</v>
      </c>
      <c r="AQ284">
        <f t="shared" si="235"/>
        <v>2.0408121616078335E-2</v>
      </c>
      <c r="AR284">
        <f t="shared" si="236"/>
        <v>-14.285685131254834</v>
      </c>
      <c r="AT284">
        <f t="shared" si="261"/>
        <v>-35999.80621047641</v>
      </c>
      <c r="AU284">
        <f t="shared" si="262"/>
        <v>-16039.155923910414</v>
      </c>
      <c r="AV284">
        <f t="shared" si="250"/>
        <v>-2.7224584336693796</v>
      </c>
      <c r="AW284">
        <f t="shared" si="251"/>
        <v>-1065.5433527452426</v>
      </c>
      <c r="AX284">
        <f t="shared" si="252"/>
        <v>-10985.008312293472</v>
      </c>
      <c r="AY284">
        <f t="shared" si="260"/>
        <v>-1.6674935871986201</v>
      </c>
      <c r="BA284">
        <f t="shared" si="237"/>
        <v>3.5709633747894833</v>
      </c>
      <c r="BB284">
        <f t="shared" si="253"/>
        <v>11.055707918398369</v>
      </c>
      <c r="BC284">
        <f t="shared" si="254"/>
        <v>-1.0549648464707595</v>
      </c>
      <c r="BD284">
        <f t="shared" si="238"/>
        <v>-240.44503330650991</v>
      </c>
      <c r="BF284">
        <f t="shared" si="239"/>
        <v>-29.264894830276798</v>
      </c>
      <c r="BG284">
        <f t="shared" si="240"/>
        <v>-169.1714338750819</v>
      </c>
      <c r="BH284">
        <f t="shared" si="255"/>
        <v>10.828566124918098</v>
      </c>
      <c r="BI284">
        <f t="shared" si="256"/>
        <v>10.828566124918098</v>
      </c>
      <c r="BJ284">
        <f t="shared" si="241"/>
        <v>0</v>
      </c>
      <c r="BK284">
        <f t="shared" si="257"/>
        <v>0</v>
      </c>
      <c r="BM284">
        <f t="shared" si="258"/>
        <v>-40.320602748675171</v>
      </c>
      <c r="BN284">
        <f t="shared" si="242"/>
        <v>-108.72640056857202</v>
      </c>
      <c r="BQ284" s="56">
        <f t="shared" si="259"/>
        <v>27.957668718683507</v>
      </c>
      <c r="BR284" s="59"/>
      <c r="BS284" s="59"/>
      <c r="BT284" s="59">
        <v>54954.087</v>
      </c>
      <c r="BU284" s="59">
        <v>1.4637500000000001</v>
      </c>
      <c r="BV284" s="59">
        <v>-135.524</v>
      </c>
      <c r="BY284" s="59"/>
      <c r="BZ284" s="59"/>
      <c r="CA284" s="59"/>
      <c r="CC284" s="59"/>
    </row>
    <row r="285" spans="1:81" x14ac:dyDescent="0.25">
      <c r="A285">
        <f t="shared" si="211"/>
        <v>355000</v>
      </c>
      <c r="B285">
        <f t="shared" si="243"/>
        <v>355</v>
      </c>
      <c r="C285">
        <f t="shared" si="212"/>
        <v>3.1094864864029224</v>
      </c>
      <c r="D285">
        <f t="shared" si="213"/>
        <v>1.243381241899034</v>
      </c>
      <c r="F285">
        <f t="shared" si="214"/>
        <v>2.0341450665986349E-4</v>
      </c>
      <c r="G285">
        <f t="shared" si="215"/>
        <v>4.8521227867187045E-3</v>
      </c>
      <c r="H285">
        <f t="shared" si="216"/>
        <v>-3.1367405272132816</v>
      </c>
      <c r="J285">
        <f t="shared" si="217"/>
        <v>15</v>
      </c>
      <c r="M285">
        <f t="shared" si="218"/>
        <v>3.5837232923240313E-3</v>
      </c>
      <c r="N285">
        <f t="shared" si="219"/>
        <v>-1.5707963250000001</v>
      </c>
      <c r="O285">
        <f t="shared" si="220"/>
        <v>103.14459101441757</v>
      </c>
      <c r="P285">
        <f t="shared" si="221"/>
        <v>1.5611010470255453</v>
      </c>
      <c r="Q285">
        <f t="shared" si="222"/>
        <v>91.082522563008496</v>
      </c>
      <c r="R285">
        <f t="shared" si="223"/>
        <v>1.5598170514861953</v>
      </c>
      <c r="S285">
        <f t="shared" si="224"/>
        <v>0.34196117867817538</v>
      </c>
      <c r="T285">
        <f t="shared" si="225"/>
        <v>-1.2217932245467606</v>
      </c>
      <c r="U285">
        <f t="shared" si="226"/>
        <v>0.40977950893898435</v>
      </c>
      <c r="V285">
        <f t="shared" si="227"/>
        <v>-1.1485839953218235</v>
      </c>
      <c r="X285">
        <f t="shared" si="244"/>
        <v>-26.981902497147161</v>
      </c>
      <c r="Y285">
        <f t="shared" si="228"/>
        <v>-155.47867152693917</v>
      </c>
      <c r="Z285">
        <f t="shared" si="245"/>
        <v>24.521328473060834</v>
      </c>
      <c r="AC285">
        <v>1</v>
      </c>
      <c r="AD285">
        <f t="shared" si="229"/>
        <v>103.13974333656</v>
      </c>
      <c r="AE285">
        <f t="shared" si="230"/>
        <v>-3.4508455846230988E-2</v>
      </c>
      <c r="AF285">
        <f t="shared" si="231"/>
        <v>1.5502188931425E-2</v>
      </c>
      <c r="AG285">
        <f t="shared" si="246"/>
        <v>1093.0942361446967</v>
      </c>
      <c r="AH285">
        <f t="shared" si="247"/>
        <v>-2497.7759176496843</v>
      </c>
      <c r="AJ285">
        <f t="shared" si="232"/>
        <v>18000</v>
      </c>
      <c r="AK285">
        <f t="shared" si="233"/>
        <v>49464.250610543997</v>
      </c>
      <c r="AL285">
        <v>1</v>
      </c>
      <c r="AM285">
        <f t="shared" si="234"/>
        <v>91.077032870208001</v>
      </c>
      <c r="AN285">
        <f t="shared" si="248"/>
        <v>545.20769634928342</v>
      </c>
      <c r="AO285">
        <f t="shared" si="249"/>
        <v>-191.64867095006468</v>
      </c>
      <c r="AQ285">
        <f t="shared" si="235"/>
        <v>1.9837294510425488E-2</v>
      </c>
      <c r="AR285">
        <f t="shared" si="236"/>
        <v>-14.084479102402097</v>
      </c>
      <c r="AT285">
        <f t="shared" si="261"/>
        <v>-35158.188682330147</v>
      </c>
      <c r="AU285">
        <f t="shared" si="262"/>
        <v>-15445.212042435629</v>
      </c>
      <c r="AV285">
        <f t="shared" si="250"/>
        <v>-2.7276671521131752</v>
      </c>
      <c r="AW285">
        <f t="shared" si="251"/>
        <v>-1015.1368083940866</v>
      </c>
      <c r="AX285">
        <f t="shared" si="252"/>
        <v>-10841.399442375889</v>
      </c>
      <c r="AY285">
        <f t="shared" si="260"/>
        <v>-1.6641593255251845</v>
      </c>
      <c r="BA285">
        <f t="shared" si="237"/>
        <v>3.5266632504871582</v>
      </c>
      <c r="BB285">
        <f t="shared" si="253"/>
        <v>10.94727984581715</v>
      </c>
      <c r="BC285">
        <f t="shared" si="254"/>
        <v>-1.0635078265879907</v>
      </c>
      <c r="BD285">
        <f t="shared" si="238"/>
        <v>-240.93451001225074</v>
      </c>
      <c r="BF285">
        <f t="shared" si="239"/>
        <v>-29.509483063594296</v>
      </c>
      <c r="BG285">
        <f t="shared" si="240"/>
        <v>-169.41600628662118</v>
      </c>
      <c r="BH285">
        <f t="shared" si="255"/>
        <v>10.583993713378817</v>
      </c>
      <c r="BI285">
        <f t="shared" si="256"/>
        <v>10.583993713378817</v>
      </c>
      <c r="BJ285">
        <f t="shared" si="241"/>
        <v>0</v>
      </c>
      <c r="BK285">
        <f t="shared" si="257"/>
        <v>0</v>
      </c>
      <c r="BM285">
        <f t="shared" si="258"/>
        <v>-40.456762909411445</v>
      </c>
      <c r="BN285">
        <f t="shared" si="242"/>
        <v>-108.48149627437043</v>
      </c>
      <c r="BQ285" s="56">
        <f t="shared" si="259"/>
        <v>27.849240646102288</v>
      </c>
      <c r="BR285" s="59"/>
      <c r="BS285" s="59"/>
      <c r="BT285" s="59">
        <v>56234.133000000002</v>
      </c>
      <c r="BU285" s="59">
        <v>1.62296</v>
      </c>
      <c r="BV285" s="59">
        <v>-134.983</v>
      </c>
      <c r="BY285" s="59"/>
      <c r="BZ285" s="59"/>
      <c r="CA285" s="59"/>
      <c r="CC285" s="59"/>
    </row>
    <row r="286" spans="1:81" x14ac:dyDescent="0.25">
      <c r="A286">
        <f t="shared" si="211"/>
        <v>360000</v>
      </c>
      <c r="B286">
        <f t="shared" si="243"/>
        <v>360</v>
      </c>
      <c r="C286">
        <f t="shared" si="212"/>
        <v>3.148780784699269</v>
      </c>
      <c r="D286">
        <f t="shared" si="213"/>
        <v>1.2476166376989333</v>
      </c>
      <c r="F286">
        <f t="shared" si="214"/>
        <v>1.9780229041835287E-4</v>
      </c>
      <c r="G286">
        <f t="shared" si="215"/>
        <v>4.7847062226308778E-3</v>
      </c>
      <c r="H286">
        <f t="shared" si="216"/>
        <v>-3.1368079437773693</v>
      </c>
      <c r="J286">
        <f t="shared" si="217"/>
        <v>15</v>
      </c>
      <c r="M286">
        <f t="shared" si="218"/>
        <v>3.5339493577084195E-3</v>
      </c>
      <c r="N286">
        <f t="shared" si="219"/>
        <v>-1.5707963250000001</v>
      </c>
      <c r="O286">
        <f t="shared" si="220"/>
        <v>104.59719613001721</v>
      </c>
      <c r="P286">
        <f t="shared" si="221"/>
        <v>1.5612356954257909</v>
      </c>
      <c r="Q286">
        <f t="shared" si="222"/>
        <v>92.365221432623315</v>
      </c>
      <c r="R286">
        <f t="shared" si="223"/>
        <v>1.5599695294208777</v>
      </c>
      <c r="S286">
        <f t="shared" si="224"/>
        <v>0.33775690996209323</v>
      </c>
      <c r="T286">
        <f t="shared" si="225"/>
        <v>-1.2262635904774606</v>
      </c>
      <c r="U286">
        <f t="shared" si="226"/>
        <v>0.40502726522191557</v>
      </c>
      <c r="V286">
        <f t="shared" si="227"/>
        <v>-1.1537876756519085</v>
      </c>
      <c r="X286">
        <f t="shared" si="244"/>
        <v>-27.203153114475175</v>
      </c>
      <c r="Y286">
        <f t="shared" si="228"/>
        <v>-155.77769480234954</v>
      </c>
      <c r="Z286">
        <f t="shared" si="245"/>
        <v>24.222305197650456</v>
      </c>
      <c r="AC286">
        <v>1</v>
      </c>
      <c r="AD286">
        <f t="shared" si="229"/>
        <v>104.59241577792001</v>
      </c>
      <c r="AE286">
        <f t="shared" si="230"/>
        <v>-3.5487370582595018E-2</v>
      </c>
      <c r="AF286">
        <f t="shared" si="231"/>
        <v>1.5720529620599999E-2</v>
      </c>
      <c r="AG286">
        <f t="shared" si="246"/>
        <v>1067.8878569625756</v>
      </c>
      <c r="AH286">
        <f t="shared" si="247"/>
        <v>-2474.2507446895793</v>
      </c>
      <c r="AJ286">
        <f t="shared" si="232"/>
        <v>18000</v>
      </c>
      <c r="AK286">
        <f t="shared" si="233"/>
        <v>50160.930196607995</v>
      </c>
      <c r="AL286">
        <v>1</v>
      </c>
      <c r="AM286">
        <f t="shared" si="234"/>
        <v>92.359807981056008</v>
      </c>
      <c r="AN286">
        <f t="shared" si="248"/>
        <v>545.1496577297537</v>
      </c>
      <c r="AO286">
        <f t="shared" si="249"/>
        <v>-188.98751225046317</v>
      </c>
      <c r="AQ286">
        <f t="shared" si="235"/>
        <v>1.9290086245975606E-2</v>
      </c>
      <c r="AR286">
        <f t="shared" si="236"/>
        <v>-13.888862097102436</v>
      </c>
      <c r="AT286">
        <f t="shared" si="261"/>
        <v>-34343.927737784732</v>
      </c>
      <c r="AU286">
        <f t="shared" si="262"/>
        <v>-14879.475690782694</v>
      </c>
      <c r="AV286">
        <f t="shared" si="250"/>
        <v>-2.7327557458200822</v>
      </c>
      <c r="AW286">
        <f t="shared" si="251"/>
        <v>-967.06024091875906</v>
      </c>
      <c r="AX286">
        <f t="shared" si="252"/>
        <v>-10701.434898969428</v>
      </c>
      <c r="AY286">
        <f t="shared" si="260"/>
        <v>-1.66091888070882</v>
      </c>
      <c r="BA286">
        <f t="shared" si="237"/>
        <v>3.4833420403123134</v>
      </c>
      <c r="BB286">
        <f t="shared" si="253"/>
        <v>10.839922425868011</v>
      </c>
      <c r="BC286">
        <f t="shared" si="254"/>
        <v>-1.0718368651112622</v>
      </c>
      <c r="BD286">
        <f t="shared" si="238"/>
        <v>-241.41172876758137</v>
      </c>
      <c r="BF286">
        <f t="shared" si="239"/>
        <v>-29.750777540499861</v>
      </c>
      <c r="BG286">
        <f t="shared" si="240"/>
        <v>-169.65441742236874</v>
      </c>
      <c r="BH286">
        <f t="shared" si="255"/>
        <v>10.345582577631262</v>
      </c>
      <c r="BI286">
        <f t="shared" si="256"/>
        <v>10.345582577631262</v>
      </c>
      <c r="BJ286">
        <f t="shared" si="241"/>
        <v>0</v>
      </c>
      <c r="BK286">
        <f t="shared" si="257"/>
        <v>0</v>
      </c>
      <c r="BM286">
        <f t="shared" si="258"/>
        <v>-40.590699966367872</v>
      </c>
      <c r="BN286">
        <f t="shared" si="242"/>
        <v>-108.2426886547874</v>
      </c>
      <c r="BQ286" s="56">
        <f t="shared" si="259"/>
        <v>27.741883226153149</v>
      </c>
      <c r="BR286" s="59"/>
      <c r="BS286" s="59"/>
      <c r="BT286" s="59">
        <v>57543.993999999999</v>
      </c>
      <c r="BU286" s="59">
        <v>1.78169</v>
      </c>
      <c r="BV286" s="59">
        <v>-134.52199999999999</v>
      </c>
      <c r="BY286" s="59"/>
      <c r="BZ286" s="59"/>
      <c r="CA286" s="59"/>
      <c r="CC286" s="59"/>
    </row>
    <row r="287" spans="1:81" x14ac:dyDescent="0.25">
      <c r="A287">
        <f t="shared" si="211"/>
        <v>365000</v>
      </c>
      <c r="B287">
        <f t="shared" si="243"/>
        <v>365</v>
      </c>
      <c r="C287">
        <f t="shared" si="212"/>
        <v>3.1881301746939585</v>
      </c>
      <c r="D287">
        <f t="shared" si="213"/>
        <v>1.2517475556238868</v>
      </c>
      <c r="F287">
        <f t="shared" si="214"/>
        <v>1.9241918589915847E-4</v>
      </c>
      <c r="G287">
        <f t="shared" si="215"/>
        <v>4.7191377333535602E-3</v>
      </c>
      <c r="H287">
        <f t="shared" si="216"/>
        <v>-3.1368735122666465</v>
      </c>
      <c r="J287">
        <f t="shared" si="217"/>
        <v>15</v>
      </c>
      <c r="M287">
        <f t="shared" si="218"/>
        <v>3.4855390925343319E-3</v>
      </c>
      <c r="N287">
        <f t="shared" si="219"/>
        <v>-1.5707963250000001</v>
      </c>
      <c r="O287">
        <f t="shared" si="220"/>
        <v>106.04980309003349</v>
      </c>
      <c r="P287">
        <f t="shared" si="221"/>
        <v>1.5613666551613785</v>
      </c>
      <c r="Q287">
        <f t="shared" si="222"/>
        <v>93.647922390857914</v>
      </c>
      <c r="R287">
        <f t="shared" si="223"/>
        <v>1.5601178303609156</v>
      </c>
      <c r="S287">
        <f t="shared" si="224"/>
        <v>0.33364833846585101</v>
      </c>
      <c r="T287">
        <f t="shared" si="225"/>
        <v>-1.2306252842003635</v>
      </c>
      <c r="U287">
        <f t="shared" si="226"/>
        <v>0.40037351087803136</v>
      </c>
      <c r="V287">
        <f t="shared" si="227"/>
        <v>-1.1588719106883023</v>
      </c>
      <c r="X287">
        <f t="shared" si="244"/>
        <v>-27.421840962689682</v>
      </c>
      <c r="Y287">
        <f t="shared" si="228"/>
        <v>-156.06997883116503</v>
      </c>
      <c r="Z287">
        <f t="shared" si="245"/>
        <v>23.930021168834969</v>
      </c>
      <c r="AC287">
        <v>1</v>
      </c>
      <c r="AD287">
        <f t="shared" si="229"/>
        <v>106.04508821927999</v>
      </c>
      <c r="AE287">
        <f t="shared" si="230"/>
        <v>-3.647997643415294E-2</v>
      </c>
      <c r="AF287">
        <f t="shared" si="231"/>
        <v>1.5938870309775002E-2</v>
      </c>
      <c r="AG287">
        <f t="shared" si="246"/>
        <v>1043.4888232378755</v>
      </c>
      <c r="AH287">
        <f t="shared" si="247"/>
        <v>-2451.0173507755426</v>
      </c>
      <c r="AJ287">
        <f t="shared" si="232"/>
        <v>18000</v>
      </c>
      <c r="AK287">
        <f t="shared" si="233"/>
        <v>50857.609782672</v>
      </c>
      <c r="AL287">
        <v>1</v>
      </c>
      <c r="AM287">
        <f t="shared" si="234"/>
        <v>93.642583091904001</v>
      </c>
      <c r="AN287">
        <f t="shared" si="248"/>
        <v>545.0939875215962</v>
      </c>
      <c r="AO287">
        <f t="shared" si="249"/>
        <v>-186.39923671635125</v>
      </c>
      <c r="AQ287">
        <f t="shared" si="235"/>
        <v>1.8765211549612405E-2</v>
      </c>
      <c r="AR287">
        <f t="shared" si="236"/>
        <v>-13.698604431217055</v>
      </c>
      <c r="AT287">
        <f t="shared" si="261"/>
        <v>-33555.935853806019</v>
      </c>
      <c r="AU287">
        <f t="shared" si="262"/>
        <v>-14340.334477030905</v>
      </c>
      <c r="AV287">
        <f t="shared" si="250"/>
        <v>-2.7377280469598779</v>
      </c>
      <c r="AW287">
        <f t="shared" si="251"/>
        <v>-921.1737399619343</v>
      </c>
      <c r="AX287">
        <f t="shared" si="252"/>
        <v>-10564.97767343825</v>
      </c>
      <c r="AY287">
        <f t="shared" si="260"/>
        <v>-1.6577676396941279</v>
      </c>
      <c r="BA287">
        <f t="shared" si="237"/>
        <v>3.4409727723158183</v>
      </c>
      <c r="BB287">
        <f t="shared" si="253"/>
        <v>10.733624723097018</v>
      </c>
      <c r="BC287">
        <f t="shared" si="254"/>
        <v>-1.07996040726575</v>
      </c>
      <c r="BD287">
        <f t="shared" si="238"/>
        <v>-241.87717344826197</v>
      </c>
      <c r="BF287">
        <f t="shared" si="239"/>
        <v>-29.988861722659706</v>
      </c>
      <c r="BG287">
        <f t="shared" si="240"/>
        <v>-169.88693473787308</v>
      </c>
      <c r="BH287">
        <f t="shared" si="255"/>
        <v>10.113065262126923</v>
      </c>
      <c r="BI287">
        <f t="shared" si="256"/>
        <v>10.113065262126923</v>
      </c>
      <c r="BJ287">
        <f t="shared" si="241"/>
        <v>0</v>
      </c>
      <c r="BK287">
        <f t="shared" si="257"/>
        <v>0</v>
      </c>
      <c r="BM287">
        <f t="shared" si="258"/>
        <v>-40.722486445756722</v>
      </c>
      <c r="BN287">
        <f t="shared" si="242"/>
        <v>-108.00976128961108</v>
      </c>
      <c r="BQ287" s="56">
        <f t="shared" si="259"/>
        <v>27.635585523382154</v>
      </c>
      <c r="BR287" s="59"/>
      <c r="BS287" s="59"/>
      <c r="BT287" s="59">
        <v>58884.366000000002</v>
      </c>
      <c r="BU287" s="59">
        <v>1.9421999999999999</v>
      </c>
      <c r="BV287" s="59">
        <v>-134.059</v>
      </c>
      <c r="BY287" s="59"/>
      <c r="BZ287" s="59"/>
      <c r="CA287" s="59"/>
      <c r="CC287" s="59"/>
    </row>
    <row r="288" spans="1:81" x14ac:dyDescent="0.25">
      <c r="A288">
        <f t="shared" si="211"/>
        <v>370000</v>
      </c>
      <c r="B288">
        <f t="shared" si="243"/>
        <v>370</v>
      </c>
      <c r="C288">
        <f t="shared" si="212"/>
        <v>3.2275326413888905</v>
      </c>
      <c r="D288">
        <f t="shared" si="213"/>
        <v>1.2557776785218453</v>
      </c>
      <c r="F288">
        <f t="shared" si="214"/>
        <v>1.8725288906100063E-4</v>
      </c>
      <c r="G288">
        <f t="shared" si="215"/>
        <v>4.6553423415389853E-3</v>
      </c>
      <c r="H288">
        <f t="shared" si="216"/>
        <v>-3.136937307658461</v>
      </c>
      <c r="J288">
        <f t="shared" si="217"/>
        <v>15</v>
      </c>
      <c r="M288">
        <f t="shared" si="218"/>
        <v>3.4384372129054892E-3</v>
      </c>
      <c r="N288">
        <f t="shared" si="219"/>
        <v>-1.5707963250000001</v>
      </c>
      <c r="O288">
        <f t="shared" si="220"/>
        <v>107.50241181969938</v>
      </c>
      <c r="P288">
        <f t="shared" si="221"/>
        <v>1.5614940757551536</v>
      </c>
      <c r="Q288">
        <f t="shared" si="222"/>
        <v>94.9306253530481</v>
      </c>
      <c r="R288">
        <f t="shared" si="223"/>
        <v>1.5602621236183509</v>
      </c>
      <c r="S288">
        <f t="shared" si="224"/>
        <v>0.32963247466752166</v>
      </c>
      <c r="T288">
        <f t="shared" si="225"/>
        <v>-1.2348820607060089</v>
      </c>
      <c r="U288">
        <f t="shared" si="226"/>
        <v>0.39581559935543026</v>
      </c>
      <c r="V288">
        <f t="shared" si="227"/>
        <v>-1.1638405123630653</v>
      </c>
      <c r="X288">
        <f t="shared" si="244"/>
        <v>-27.638020518595749</v>
      </c>
      <c r="Y288">
        <f t="shared" si="228"/>
        <v>-156.3557321824627</v>
      </c>
      <c r="Z288">
        <f t="shared" si="245"/>
        <v>23.644267817537298</v>
      </c>
      <c r="AC288">
        <v>1</v>
      </c>
      <c r="AD288">
        <f t="shared" si="229"/>
        <v>107.49776066064</v>
      </c>
      <c r="AE288">
        <f t="shared" si="230"/>
        <v>-3.7486273400904761E-2</v>
      </c>
      <c r="AF288">
        <f t="shared" si="231"/>
        <v>1.6157210998949997E-2</v>
      </c>
      <c r="AG288">
        <f t="shared" si="246"/>
        <v>1019.8655946327488</v>
      </c>
      <c r="AH288">
        <f t="shared" si="247"/>
        <v>-2428.0775014406272</v>
      </c>
      <c r="AJ288">
        <f t="shared" si="232"/>
        <v>18000</v>
      </c>
      <c r="AK288">
        <f t="shared" si="233"/>
        <v>51554.289368735997</v>
      </c>
      <c r="AL288">
        <v>1</v>
      </c>
      <c r="AM288">
        <f t="shared" si="234"/>
        <v>94.925358202752008</v>
      </c>
      <c r="AN288">
        <f t="shared" si="248"/>
        <v>545.0405585954386</v>
      </c>
      <c r="AO288">
        <f t="shared" si="249"/>
        <v>-183.8808909640598</v>
      </c>
      <c r="AQ288">
        <f t="shared" si="235"/>
        <v>1.8261471399796569E-2</v>
      </c>
      <c r="AR288">
        <f t="shared" si="236"/>
        <v>-13.51348883584946</v>
      </c>
      <c r="AT288">
        <f t="shared" si="261"/>
        <v>-32793.173961907145</v>
      </c>
      <c r="AU288">
        <f t="shared" si="262"/>
        <v>-13826.282594985669</v>
      </c>
      <c r="AV288">
        <f t="shared" si="250"/>
        <v>-2.7425877396689429</v>
      </c>
      <c r="AW288">
        <f t="shared" si="251"/>
        <v>-877.34758566582593</v>
      </c>
      <c r="AX288">
        <f t="shared" si="252"/>
        <v>-10431.897665116052</v>
      </c>
      <c r="AY288">
        <f t="shared" si="260"/>
        <v>-1.6547012684472764</v>
      </c>
      <c r="BA288">
        <f t="shared" si="237"/>
        <v>3.3995290818288906</v>
      </c>
      <c r="BB288">
        <f t="shared" si="253"/>
        <v>10.628375215387404</v>
      </c>
      <c r="BC288">
        <f t="shared" si="254"/>
        <v>-1.0878864712216665</v>
      </c>
      <c r="BD288">
        <f t="shared" si="238"/>
        <v>-242.33130346160567</v>
      </c>
      <c r="BF288">
        <f t="shared" si="239"/>
        <v>-30.223816200152566</v>
      </c>
      <c r="BG288">
        <f t="shared" si="240"/>
        <v>-170.11381092468838</v>
      </c>
      <c r="BH288">
        <f t="shared" si="255"/>
        <v>9.8861890753116199</v>
      </c>
      <c r="BI288">
        <f t="shared" si="256"/>
        <v>9.8861890753116199</v>
      </c>
      <c r="BJ288">
        <f t="shared" si="241"/>
        <v>0</v>
      </c>
      <c r="BK288">
        <f t="shared" si="257"/>
        <v>0</v>
      </c>
      <c r="BM288">
        <f t="shared" si="258"/>
        <v>-40.852191415539977</v>
      </c>
      <c r="BN288">
        <f t="shared" si="242"/>
        <v>-107.78250746308272</v>
      </c>
      <c r="BQ288" s="56">
        <f t="shared" si="259"/>
        <v>27.530336015672539</v>
      </c>
      <c r="BR288" s="59"/>
      <c r="BS288" s="59"/>
      <c r="BT288" s="59">
        <v>60255.959000000003</v>
      </c>
      <c r="BU288" s="59">
        <v>2.1075200000000001</v>
      </c>
      <c r="BV288" s="59">
        <v>-133.65100000000001</v>
      </c>
      <c r="BY288" s="59"/>
      <c r="BZ288" s="59"/>
      <c r="CA288" s="59"/>
      <c r="CC288" s="59"/>
    </row>
    <row r="289" spans="1:81" x14ac:dyDescent="0.25">
      <c r="A289">
        <f t="shared" si="211"/>
        <v>375000</v>
      </c>
      <c r="B289">
        <f t="shared" si="243"/>
        <v>375</v>
      </c>
      <c r="C289">
        <f t="shared" si="212"/>
        <v>3.2669862643422913</v>
      </c>
      <c r="D289">
        <f t="shared" si="213"/>
        <v>1.2597105247967653</v>
      </c>
      <c r="F289">
        <f t="shared" si="214"/>
        <v>1.8229191091327383E-4</v>
      </c>
      <c r="G289">
        <f t="shared" si="215"/>
        <v>4.5932490722518831E-3</v>
      </c>
      <c r="H289">
        <f t="shared" si="216"/>
        <v>-3.1369994009277482</v>
      </c>
      <c r="J289">
        <f t="shared" si="217"/>
        <v>15</v>
      </c>
      <c r="M289">
        <f t="shared" si="218"/>
        <v>3.3925913834000829E-3</v>
      </c>
      <c r="N289">
        <f t="shared" si="219"/>
        <v>-1.5707963250000001</v>
      </c>
      <c r="O289">
        <f t="shared" si="220"/>
        <v>108.95502224823495</v>
      </c>
      <c r="P289">
        <f t="shared" si="221"/>
        <v>1.5616180987565602</v>
      </c>
      <c r="Q289">
        <f t="shared" si="222"/>
        <v>96.213330239044495</v>
      </c>
      <c r="R289">
        <f t="shared" si="223"/>
        <v>1.5604025694769219</v>
      </c>
      <c r="S289">
        <f t="shared" si="224"/>
        <v>0.32570643987679881</v>
      </c>
      <c r="T289">
        <f t="shared" si="225"/>
        <v>-1.2390375117129473</v>
      </c>
      <c r="U289">
        <f t="shared" si="226"/>
        <v>0.39135095825706001</v>
      </c>
      <c r="V289">
        <f t="shared" si="227"/>
        <v>-1.1686971440263914</v>
      </c>
      <c r="X289">
        <f t="shared" si="244"/>
        <v>-27.851744643157463</v>
      </c>
      <c r="Y289">
        <f t="shared" si="228"/>
        <v>-156.63515572416145</v>
      </c>
      <c r="Z289">
        <f t="shared" si="245"/>
        <v>23.36484427583855</v>
      </c>
      <c r="AC289">
        <v>1</v>
      </c>
      <c r="AD289">
        <f t="shared" si="229"/>
        <v>108.95043310200001</v>
      </c>
      <c r="AE289">
        <f t="shared" si="230"/>
        <v>-3.8506261482850496E-2</v>
      </c>
      <c r="AF289">
        <f t="shared" si="231"/>
        <v>1.6375551688125E-2</v>
      </c>
      <c r="AG289">
        <f t="shared" si="246"/>
        <v>996.98800230526774</v>
      </c>
      <c r="AH289">
        <f t="shared" si="247"/>
        <v>-2405.4322848002676</v>
      </c>
      <c r="AJ289">
        <f t="shared" si="232"/>
        <v>18000</v>
      </c>
      <c r="AK289">
        <f t="shared" si="233"/>
        <v>52250.968954800002</v>
      </c>
      <c r="AL289">
        <v>1</v>
      </c>
      <c r="AM289">
        <f t="shared" si="234"/>
        <v>96.208133313600001</v>
      </c>
      <c r="AN289">
        <f t="shared" si="248"/>
        <v>544.98925223845276</v>
      </c>
      <c r="AO289">
        <f t="shared" si="249"/>
        <v>-181.42967903623284</v>
      </c>
      <c r="AQ289">
        <f t="shared" si="235"/>
        <v>1.7777746172895691E-2</v>
      </c>
      <c r="AR289">
        <f t="shared" si="236"/>
        <v>-13.333309629671769</v>
      </c>
      <c r="AT289">
        <f t="shared" si="261"/>
        <v>-32054.649246808367</v>
      </c>
      <c r="AU289">
        <f t="shared" si="262"/>
        <v>-13335.912896399313</v>
      </c>
      <c r="AV289">
        <f t="shared" si="250"/>
        <v>-2.7473383663164137</v>
      </c>
      <c r="AW289">
        <f t="shared" si="251"/>
        <v>-835.46138510973435</v>
      </c>
      <c r="AX289">
        <f t="shared" si="252"/>
        <v>-10302.07123681405</v>
      </c>
      <c r="AY289">
        <f t="shared" si="260"/>
        <v>-1.6517156925590555</v>
      </c>
      <c r="BA289">
        <f t="shared" si="237"/>
        <v>3.3589852339865511</v>
      </c>
      <c r="BB289">
        <f t="shared" si="253"/>
        <v>10.524161893967817</v>
      </c>
      <c r="BC289">
        <f t="shared" si="254"/>
        <v>-1.0956226737573582</v>
      </c>
      <c r="BD289">
        <f t="shared" si="238"/>
        <v>-242.77455521686571</v>
      </c>
      <c r="BF289">
        <f t="shared" si="239"/>
        <v>-30.455718803265164</v>
      </c>
      <c r="BG289">
        <f t="shared" si="240"/>
        <v>-170.33528486893465</v>
      </c>
      <c r="BH289">
        <f t="shared" si="255"/>
        <v>9.6647151310653499</v>
      </c>
      <c r="BI289">
        <f t="shared" si="256"/>
        <v>9.6647151310653499</v>
      </c>
      <c r="BJ289">
        <f t="shared" si="241"/>
        <v>0</v>
      </c>
      <c r="BK289">
        <f t="shared" si="257"/>
        <v>0</v>
      </c>
      <c r="BM289">
        <f t="shared" si="258"/>
        <v>-40.979880697232986</v>
      </c>
      <c r="BN289">
        <f t="shared" si="242"/>
        <v>-107.56072965206897</v>
      </c>
      <c r="BQ289" s="56">
        <f t="shared" si="259"/>
        <v>27.426122694252953</v>
      </c>
      <c r="BR289" s="59"/>
      <c r="BS289" s="59"/>
      <c r="BT289" s="59">
        <v>61659.5</v>
      </c>
      <c r="BU289" s="59">
        <v>2.2781099999999999</v>
      </c>
      <c r="BV289" s="59">
        <v>-133.24799999999999</v>
      </c>
      <c r="BY289" s="59"/>
      <c r="BZ289" s="59"/>
      <c r="CA289" s="59"/>
      <c r="CC289" s="59"/>
    </row>
    <row r="290" spans="1:81" x14ac:dyDescent="0.25">
      <c r="A290">
        <f t="shared" si="211"/>
        <v>380000</v>
      </c>
      <c r="B290">
        <f t="shared" si="243"/>
        <v>380</v>
      </c>
      <c r="C290">
        <f t="shared" si="212"/>
        <v>3.3064892123376839</v>
      </c>
      <c r="D290">
        <f t="shared" si="213"/>
        <v>1.263549457080106</v>
      </c>
      <c r="F290">
        <f t="shared" si="214"/>
        <v>1.7752551357134863E-4</v>
      </c>
      <c r="G290">
        <f t="shared" si="215"/>
        <v>4.5327906893725461E-3</v>
      </c>
      <c r="H290">
        <f t="shared" si="216"/>
        <v>-3.1370598593106278</v>
      </c>
      <c r="J290">
        <f t="shared" si="217"/>
        <v>15</v>
      </c>
      <c r="M290">
        <f t="shared" si="218"/>
        <v>3.347952023092187E-3</v>
      </c>
      <c r="N290">
        <f t="shared" si="219"/>
        <v>-1.5707963250000001</v>
      </c>
      <c r="O290">
        <f t="shared" si="220"/>
        <v>110.40763430858523</v>
      </c>
      <c r="P290">
        <f t="shared" si="221"/>
        <v>1.5617388582661182</v>
      </c>
      <c r="Q290">
        <f t="shared" si="222"/>
        <v>97.496036972915505</v>
      </c>
      <c r="R290">
        <f t="shared" si="223"/>
        <v>1.560539319785899</v>
      </c>
      <c r="S290">
        <f t="shared" si="224"/>
        <v>0.32186746198013882</v>
      </c>
      <c r="T290">
        <f t="shared" si="225"/>
        <v>-1.2430950739756399</v>
      </c>
      <c r="U290">
        <f t="shared" si="226"/>
        <v>0.38697708817220744</v>
      </c>
      <c r="V290">
        <f t="shared" si="227"/>
        <v>-1.1734453269079774</v>
      </c>
      <c r="X290">
        <f t="shared" si="244"/>
        <v>-28.063064643027595</v>
      </c>
      <c r="Y290">
        <f t="shared" si="228"/>
        <v>-156.90844292342672</v>
      </c>
      <c r="Z290">
        <f t="shared" si="245"/>
        <v>23.091557076573281</v>
      </c>
      <c r="AC290">
        <v>1</v>
      </c>
      <c r="AD290">
        <f t="shared" si="229"/>
        <v>110.40310554335998</v>
      </c>
      <c r="AE290">
        <f t="shared" si="230"/>
        <v>-3.9539940679990129E-2</v>
      </c>
      <c r="AF290">
        <f t="shared" si="231"/>
        <v>1.6593892377299999E-2</v>
      </c>
      <c r="AG290">
        <f t="shared" si="246"/>
        <v>974.82718934010063</v>
      </c>
      <c r="AH290">
        <f t="shared" si="247"/>
        <v>-2383.082181118943</v>
      </c>
      <c r="AJ290">
        <f t="shared" si="232"/>
        <v>18000</v>
      </c>
      <c r="AK290">
        <f t="shared" si="233"/>
        <v>52947.648540864</v>
      </c>
      <c r="AL290">
        <v>1</v>
      </c>
      <c r="AM290">
        <f t="shared" si="234"/>
        <v>97.490908424448008</v>
      </c>
      <c r="AN290">
        <f t="shared" si="248"/>
        <v>544.93995749446628</v>
      </c>
      <c r="AO290">
        <f t="shared" si="249"/>
        <v>-179.04295205160167</v>
      </c>
      <c r="AQ290">
        <f t="shared" si="235"/>
        <v>1.7312989416569571E-2</v>
      </c>
      <c r="AR290">
        <f t="shared" si="236"/>
        <v>-13.157871956592873</v>
      </c>
      <c r="AT290">
        <f t="shared" si="261"/>
        <v>-31339.413028389088</v>
      </c>
      <c r="AU290">
        <f t="shared" si="262"/>
        <v>-12867.909613722888</v>
      </c>
      <c r="AV290">
        <f t="shared" si="250"/>
        <v>-2.7519833335173103</v>
      </c>
      <c r="AW290">
        <f t="shared" si="251"/>
        <v>-795.40329160267277</v>
      </c>
      <c r="AX290">
        <f t="shared" si="252"/>
        <v>-10175.380805597799</v>
      </c>
      <c r="AY290">
        <f t="shared" si="260"/>
        <v>-1.648807079328096</v>
      </c>
      <c r="BA290">
        <f t="shared" si="237"/>
        <v>3.3193161392754167</v>
      </c>
      <c r="BB290">
        <f t="shared" si="253"/>
        <v>10.420972351602947</v>
      </c>
      <c r="BC290">
        <f t="shared" si="254"/>
        <v>-1.1031762541892143</v>
      </c>
      <c r="BD290">
        <f t="shared" si="238"/>
        <v>-243.2073434963182</v>
      </c>
      <c r="BF290">
        <f t="shared" si="239"/>
        <v>-30.684644710542607</v>
      </c>
      <c r="BG290">
        <f t="shared" si="240"/>
        <v>-170.55158254064304</v>
      </c>
      <c r="BH290">
        <f t="shared" si="255"/>
        <v>9.4484174593569605</v>
      </c>
      <c r="BI290">
        <f t="shared" si="256"/>
        <v>9.4484174593569605</v>
      </c>
      <c r="BJ290">
        <f t="shared" si="241"/>
        <v>0</v>
      </c>
      <c r="BK290">
        <f t="shared" si="257"/>
        <v>0</v>
      </c>
      <c r="BM290">
        <f t="shared" si="258"/>
        <v>-41.105617062145548</v>
      </c>
      <c r="BN290">
        <f t="shared" si="242"/>
        <v>-107.34423904432484</v>
      </c>
      <c r="BQ290" s="56">
        <f t="shared" si="259"/>
        <v>27.322933151888083</v>
      </c>
      <c r="BR290" s="59"/>
      <c r="BS290" s="59"/>
      <c r="BT290" s="59">
        <v>63095.733999999997</v>
      </c>
      <c r="BU290" s="59">
        <v>2.4499300000000002</v>
      </c>
      <c r="BV290" s="59">
        <v>-132.86600000000001</v>
      </c>
      <c r="BY290" s="59"/>
      <c r="BZ290" s="59"/>
      <c r="CA290" s="59"/>
      <c r="CC290" s="59"/>
    </row>
    <row r="291" spans="1:81" x14ac:dyDescent="0.25">
      <c r="A291">
        <f t="shared" si="211"/>
        <v>385000</v>
      </c>
      <c r="B291">
        <f t="shared" si="243"/>
        <v>385</v>
      </c>
      <c r="C291">
        <f t="shared" si="212"/>
        <v>3.3460397383987521</v>
      </c>
      <c r="D291">
        <f t="shared" si="213"/>
        <v>1.2672976903891899</v>
      </c>
      <c r="F291">
        <f t="shared" si="214"/>
        <v>1.7294365208946289E-4</v>
      </c>
      <c r="G291">
        <f t="shared" si="215"/>
        <v>4.4739034525649373E-3</v>
      </c>
      <c r="H291">
        <f t="shared" si="216"/>
        <v>-3.1371187465474351</v>
      </c>
      <c r="J291">
        <f t="shared" si="217"/>
        <v>15</v>
      </c>
      <c r="M291">
        <f t="shared" si="218"/>
        <v>3.3044721266883921E-3</v>
      </c>
      <c r="N291">
        <f t="shared" si="219"/>
        <v>-1.5707963250000001</v>
      </c>
      <c r="O291">
        <f t="shared" si="220"/>
        <v>111.86024793717816</v>
      </c>
      <c r="P291">
        <f t="shared" si="221"/>
        <v>1.5618564814190394</v>
      </c>
      <c r="Q291">
        <f t="shared" si="222"/>
        <v>98.778745482673585</v>
      </c>
      <c r="R291">
        <f t="shared" si="223"/>
        <v>1.5606725185076638</v>
      </c>
      <c r="S291">
        <f t="shared" si="224"/>
        <v>0.31811287130772714</v>
      </c>
      <c r="T291">
        <f t="shared" si="225"/>
        <v>-1.2470580371247832</v>
      </c>
      <c r="U291">
        <f t="shared" si="226"/>
        <v>0.38269156138152693</v>
      </c>
      <c r="V291">
        <f t="shared" si="227"/>
        <v>-1.1780884462961507</v>
      </c>
      <c r="X291">
        <f t="shared" si="244"/>
        <v>-28.272030329023753</v>
      </c>
      <c r="Y291">
        <f t="shared" si="228"/>
        <v>-157.17578013732799</v>
      </c>
      <c r="Z291">
        <f t="shared" si="245"/>
        <v>22.82421986267201</v>
      </c>
      <c r="AC291">
        <v>1</v>
      </c>
      <c r="AD291">
        <f t="shared" si="229"/>
        <v>111.85577798471999</v>
      </c>
      <c r="AE291">
        <f t="shared" si="230"/>
        <v>-4.0587310992323648E-2</v>
      </c>
      <c r="AF291">
        <f t="shared" si="231"/>
        <v>1.6812233066474998E-2</v>
      </c>
      <c r="AG291">
        <f t="shared" si="246"/>
        <v>953.35555312839074</v>
      </c>
      <c r="AH291">
        <f t="shared" si="247"/>
        <v>-2361.0271261486469</v>
      </c>
      <c r="AJ291">
        <f t="shared" si="232"/>
        <v>18000</v>
      </c>
      <c r="AK291">
        <f t="shared" si="233"/>
        <v>53644.328126927991</v>
      </c>
      <c r="AL291">
        <v>1</v>
      </c>
      <c r="AM291">
        <f t="shared" si="234"/>
        <v>98.773683535296001</v>
      </c>
      <c r="AN291">
        <f t="shared" si="248"/>
        <v>544.8925705636575</v>
      </c>
      <c r="AO291">
        <f t="shared" si="249"/>
        <v>-176.7181986606675</v>
      </c>
      <c r="AQ291">
        <f t="shared" si="235"/>
        <v>1.6866222185491338E-2</v>
      </c>
      <c r="AR291">
        <f t="shared" si="236"/>
        <v>-12.986991082828331</v>
      </c>
      <c r="AT291">
        <f t="shared" si="261"/>
        <v>-30646.558727027441</v>
      </c>
      <c r="AU291">
        <f t="shared" si="262"/>
        <v>-12421.041675338876</v>
      </c>
      <c r="AV291">
        <f t="shared" si="250"/>
        <v>-2.756525917898343</v>
      </c>
      <c r="AW291">
        <f t="shared" si="251"/>
        <v>-757.06929799752243</v>
      </c>
      <c r="AX291">
        <f t="shared" si="252"/>
        <v>-10051.714465490488</v>
      </c>
      <c r="AY291">
        <f t="shared" si="260"/>
        <v>-1.6459718212054137</v>
      </c>
      <c r="BA291">
        <f t="shared" si="237"/>
        <v>3.2804973632025805</v>
      </c>
      <c r="BB291">
        <f t="shared" si="253"/>
        <v>10.318793860326787</v>
      </c>
      <c r="BC291">
        <f t="shared" si="254"/>
        <v>-1.1105540966929293</v>
      </c>
      <c r="BD291">
        <f t="shared" si="238"/>
        <v>-243.63006273417633</v>
      </c>
      <c r="BF291">
        <f t="shared" si="239"/>
        <v>-30.910666553050532</v>
      </c>
      <c r="BG291">
        <f t="shared" si="240"/>
        <v>-170.76291781915498</v>
      </c>
      <c r="BH291">
        <f t="shared" si="255"/>
        <v>9.2370821808450216</v>
      </c>
      <c r="BI291">
        <f t="shared" si="256"/>
        <v>9.2370821808450216</v>
      </c>
      <c r="BJ291">
        <f t="shared" si="241"/>
        <v>0</v>
      </c>
      <c r="BK291">
        <f t="shared" si="257"/>
        <v>0</v>
      </c>
      <c r="BM291">
        <f t="shared" si="258"/>
        <v>-41.229460413377325</v>
      </c>
      <c r="BN291">
        <f t="shared" si="242"/>
        <v>-107.13285508497867</v>
      </c>
      <c r="BQ291" s="56">
        <f t="shared" si="259"/>
        <v>27.220754660611924</v>
      </c>
      <c r="BR291" s="59"/>
      <c r="BS291" s="59"/>
      <c r="BT291" s="59">
        <v>64565.423000000003</v>
      </c>
      <c r="BU291" s="59">
        <v>2.6258699999999999</v>
      </c>
      <c r="BV291" s="59">
        <v>-132.49799999999999</v>
      </c>
      <c r="BY291" s="59"/>
      <c r="BZ291" s="59"/>
      <c r="CA291" s="59"/>
      <c r="CC291" s="59"/>
    </row>
    <row r="292" spans="1:81" x14ac:dyDescent="0.25">
      <c r="A292">
        <f t="shared" si="211"/>
        <v>390000</v>
      </c>
      <c r="B292">
        <f t="shared" si="243"/>
        <v>390</v>
      </c>
      <c r="C292">
        <f t="shared" si="212"/>
        <v>3.3856361751250734</v>
      </c>
      <c r="D292">
        <f t="shared" si="213"/>
        <v>1.2709582998049056</v>
      </c>
      <c r="F292">
        <f t="shared" si="214"/>
        <v>1.6853692148218521E-4</v>
      </c>
      <c r="G292">
        <f t="shared" si="215"/>
        <v>4.4165268929616929E-3</v>
      </c>
      <c r="H292">
        <f t="shared" si="216"/>
        <v>-3.1371761231070385</v>
      </c>
      <c r="J292">
        <f t="shared" si="217"/>
        <v>15</v>
      </c>
      <c r="M292">
        <f t="shared" si="218"/>
        <v>3.2621070994231565E-3</v>
      </c>
      <c r="N292">
        <f t="shared" si="219"/>
        <v>-1.5707963250000001</v>
      </c>
      <c r="O292">
        <f t="shared" si="220"/>
        <v>113.31286307370149</v>
      </c>
      <c r="P292">
        <f t="shared" si="221"/>
        <v>1.5619710888316505</v>
      </c>
      <c r="Q292">
        <f t="shared" si="222"/>
        <v>100.06145570002231</v>
      </c>
      <c r="R292">
        <f t="shared" si="223"/>
        <v>1.5608023022231725</v>
      </c>
      <c r="S292">
        <f t="shared" si="224"/>
        <v>0.31444009662685979</v>
      </c>
      <c r="T292">
        <f t="shared" si="225"/>
        <v>-1.2509295510674514</v>
      </c>
      <c r="U292">
        <f t="shared" si="226"/>
        <v>0.37849202045955055</v>
      </c>
      <c r="V292">
        <f t="shared" si="227"/>
        <v>-1.1826297574442888</v>
      </c>
      <c r="X292">
        <f t="shared" si="244"/>
        <v>-28.478690071763847</v>
      </c>
      <c r="Y292">
        <f t="shared" si="228"/>
        <v>-157.43734689366201</v>
      </c>
      <c r="Z292">
        <f t="shared" si="245"/>
        <v>22.56265310633799</v>
      </c>
      <c r="AC292">
        <v>1</v>
      </c>
      <c r="AD292">
        <f t="shared" si="229"/>
        <v>113.30845042608</v>
      </c>
      <c r="AE292">
        <f t="shared" si="230"/>
        <v>-4.1648372419851087E-2</v>
      </c>
      <c r="AF292">
        <f t="shared" si="231"/>
        <v>1.7030573755650001E-2</v>
      </c>
      <c r="AG292">
        <f t="shared" si="246"/>
        <v>932.54668975133529</v>
      </c>
      <c r="AH292">
        <f t="shared" si="247"/>
        <v>-2339.2665687758222</v>
      </c>
      <c r="AJ292">
        <f t="shared" si="232"/>
        <v>18000</v>
      </c>
      <c r="AK292">
        <f t="shared" si="233"/>
        <v>54341.007712992003</v>
      </c>
      <c r="AL292">
        <v>1</v>
      </c>
      <c r="AM292">
        <f t="shared" si="234"/>
        <v>100.05645864614399</v>
      </c>
      <c r="AN292">
        <f t="shared" si="248"/>
        <v>544.84699425575729</v>
      </c>
      <c r="AO292">
        <f t="shared" si="249"/>
        <v>-174.45303623502704</v>
      </c>
      <c r="AQ292">
        <f t="shared" si="235"/>
        <v>1.6436527882104073E-2</v>
      </c>
      <c r="AR292">
        <f t="shared" si="236"/>
        <v>-12.820491748041176</v>
      </c>
      <c r="AT292">
        <f t="shared" si="261"/>
        <v>-29975.219911791562</v>
      </c>
      <c r="AU292">
        <f t="shared" si="262"/>
        <v>-11994.156560801466</v>
      </c>
      <c r="AV292">
        <f t="shared" si="250"/>
        <v>-2.760969271622796</v>
      </c>
      <c r="AW292">
        <f t="shared" si="251"/>
        <v>-720.36259622577768</v>
      </c>
      <c r="AX292">
        <f t="shared" si="252"/>
        <v>-9930.965639126829</v>
      </c>
      <c r="AY292">
        <f t="shared" si="260"/>
        <v>-1.643206520490931</v>
      </c>
      <c r="BA292">
        <f t="shared" si="237"/>
        <v>3.242505131026939</v>
      </c>
      <c r="BB292">
        <f t="shared" si="253"/>
        <v>10.21761343991756</v>
      </c>
      <c r="BC292">
        <f t="shared" si="254"/>
        <v>-1.1177627511318651</v>
      </c>
      <c r="BD292">
        <f t="shared" si="238"/>
        <v>-244.04308820996755</v>
      </c>
      <c r="BF292">
        <f t="shared" si="239"/>
        <v>-31.1338545148419</v>
      </c>
      <c r="BG292">
        <f t="shared" si="240"/>
        <v>-170.96949325945221</v>
      </c>
      <c r="BH292">
        <f t="shared" si="255"/>
        <v>9.0305067405477928</v>
      </c>
      <c r="BI292">
        <f t="shared" si="256"/>
        <v>9.0305067405477928</v>
      </c>
      <c r="BJ292">
        <f t="shared" si="241"/>
        <v>0</v>
      </c>
      <c r="BK292">
        <f t="shared" si="257"/>
        <v>0</v>
      </c>
      <c r="BM292">
        <f t="shared" si="258"/>
        <v>-41.351467954759464</v>
      </c>
      <c r="BN292">
        <f t="shared" si="242"/>
        <v>-106.92640504948467</v>
      </c>
      <c r="BQ292" s="56">
        <f t="shared" si="259"/>
        <v>27.119574240202699</v>
      </c>
      <c r="BR292" s="59"/>
      <c r="BS292" s="59"/>
      <c r="BT292" s="59">
        <v>66069.345000000001</v>
      </c>
      <c r="BU292" s="59">
        <v>2.7940900000000002</v>
      </c>
      <c r="BV292" s="59">
        <v>-132.279</v>
      </c>
      <c r="BY292" s="59"/>
      <c r="BZ292" s="59"/>
      <c r="CA292" s="59"/>
      <c r="CC292" s="59"/>
    </row>
    <row r="293" spans="1:81" x14ac:dyDescent="0.25">
      <c r="A293">
        <f t="shared" si="211"/>
        <v>395000</v>
      </c>
      <c r="B293">
        <f t="shared" si="243"/>
        <v>395</v>
      </c>
      <c r="C293">
        <f t="shared" si="212"/>
        <v>3.4252769303256798</v>
      </c>
      <c r="D293">
        <f t="shared" si="213"/>
        <v>1.2745342276991762</v>
      </c>
      <c r="F293">
        <f t="shared" si="214"/>
        <v>1.64296508412142E-4</v>
      </c>
      <c r="G293">
        <f t="shared" si="215"/>
        <v>4.3606036059054051E-3</v>
      </c>
      <c r="H293">
        <f t="shared" si="216"/>
        <v>-3.1372320463940948</v>
      </c>
      <c r="J293">
        <f t="shared" si="217"/>
        <v>15</v>
      </c>
      <c r="M293">
        <f t="shared" si="218"/>
        <v>3.2208146044937491E-3</v>
      </c>
      <c r="N293">
        <f t="shared" si="219"/>
        <v>-1.5707963250000001</v>
      </c>
      <c r="O293">
        <f t="shared" si="220"/>
        <v>114.76547966089655</v>
      </c>
      <c r="P293">
        <f t="shared" si="221"/>
        <v>1.5620827950139153</v>
      </c>
      <c r="Q293">
        <f t="shared" si="222"/>
        <v>101.34416756012291</v>
      </c>
      <c r="R293">
        <f t="shared" si="223"/>
        <v>1.5609288005990425</v>
      </c>
      <c r="S293">
        <f t="shared" si="224"/>
        <v>0.31084666126467442</v>
      </c>
      <c r="T293">
        <f t="shared" si="225"/>
        <v>-1.2547126329729381</v>
      </c>
      <c r="U293">
        <f t="shared" si="226"/>
        <v>0.37437617679558871</v>
      </c>
      <c r="V293">
        <f t="shared" si="227"/>
        <v>-1.1870723912142609</v>
      </c>
      <c r="X293">
        <f t="shared" si="244"/>
        <v>-28.683090854652264</v>
      </c>
      <c r="Y293">
        <f t="shared" si="228"/>
        <v>-157.69331616193102</v>
      </c>
      <c r="Z293">
        <f t="shared" si="245"/>
        <v>22.306683838068977</v>
      </c>
      <c r="AC293">
        <v>1</v>
      </c>
      <c r="AD293">
        <f t="shared" si="229"/>
        <v>114.76112286743999</v>
      </c>
      <c r="AE293">
        <f t="shared" si="230"/>
        <v>-4.2723124962572433E-2</v>
      </c>
      <c r="AF293">
        <f t="shared" si="231"/>
        <v>1.7248914444825E-2</v>
      </c>
      <c r="AG293">
        <f t="shared" si="246"/>
        <v>912.37534039750767</v>
      </c>
      <c r="AH293">
        <f t="shared" si="247"/>
        <v>-2317.799523468962</v>
      </c>
      <c r="AJ293">
        <f t="shared" si="232"/>
        <v>18000</v>
      </c>
      <c r="AK293">
        <f t="shared" si="233"/>
        <v>55037.687299055993</v>
      </c>
      <c r="AL293">
        <v>1</v>
      </c>
      <c r="AM293">
        <f t="shared" si="234"/>
        <v>101.33923375699202</v>
      </c>
      <c r="AN293">
        <f t="shared" si="248"/>
        <v>544.8031374913777</v>
      </c>
      <c r="AO293">
        <f t="shared" si="249"/>
        <v>-172.24520272538851</v>
      </c>
      <c r="AQ293">
        <f t="shared" si="235"/>
        <v>1.6023047551598221E-2</v>
      </c>
      <c r="AR293">
        <f t="shared" si="236"/>
        <v>-12.658207565762593</v>
      </c>
      <c r="AT293">
        <f t="shared" si="261"/>
        <v>-29324.568430431653</v>
      </c>
      <c r="AU293">
        <f t="shared" si="262"/>
        <v>-11586.174648614568</v>
      </c>
      <c r="AV293">
        <f t="shared" si="250"/>
        <v>-2.7653164276814066</v>
      </c>
      <c r="AW293">
        <f t="shared" si="251"/>
        <v>-685.19299615342527</v>
      </c>
      <c r="AX293">
        <f t="shared" si="252"/>
        <v>-9813.0327557030141</v>
      </c>
      <c r="AY293">
        <f t="shared" si="260"/>
        <v>-1.6405079751814406</v>
      </c>
      <c r="BA293">
        <f t="shared" si="237"/>
        <v>3.2053163283605444</v>
      </c>
      <c r="BB293">
        <f t="shared" si="253"/>
        <v>10.11741791817207</v>
      </c>
      <c r="BC293">
        <f t="shared" si="254"/>
        <v>-1.124808452499966</v>
      </c>
      <c r="BD293">
        <f t="shared" si="238"/>
        <v>-244.44677716253057</v>
      </c>
      <c r="BF293">
        <f t="shared" si="239"/>
        <v>-31.354276429650675</v>
      </c>
      <c r="BG293">
        <f t="shared" si="240"/>
        <v>-171.17150080392477</v>
      </c>
      <c r="BH293">
        <f t="shared" si="255"/>
        <v>8.8284991960752279</v>
      </c>
      <c r="BI293">
        <f t="shared" si="256"/>
        <v>8.8284991960752279</v>
      </c>
      <c r="BJ293">
        <f t="shared" si="241"/>
        <v>0</v>
      </c>
      <c r="BK293">
        <f t="shared" si="257"/>
        <v>0</v>
      </c>
      <c r="BM293">
        <f t="shared" si="258"/>
        <v>-41.471694347822741</v>
      </c>
      <c r="BN293">
        <f t="shared" si="242"/>
        <v>-106.72472364139422</v>
      </c>
      <c r="BQ293" s="56">
        <f t="shared" si="259"/>
        <v>27.019378718457205</v>
      </c>
      <c r="BR293" s="59"/>
      <c r="BS293" s="59"/>
      <c r="BT293" s="59">
        <v>67608.297999999995</v>
      </c>
      <c r="BU293" s="59">
        <v>2.9581400000000002</v>
      </c>
      <c r="BV293" s="59">
        <v>-132.03399999999999</v>
      </c>
      <c r="BY293" s="59"/>
      <c r="BZ293" s="59"/>
      <c r="CA293" s="59"/>
      <c r="CC293" s="59"/>
    </row>
    <row r="294" spans="1:81" x14ac:dyDescent="0.25">
      <c r="A294">
        <f t="shared" si="211"/>
        <v>400000</v>
      </c>
      <c r="B294">
        <f t="shared" si="243"/>
        <v>400</v>
      </c>
      <c r="C294">
        <f t="shared" si="212"/>
        <v>3.4649604829291945</v>
      </c>
      <c r="D294">
        <f t="shared" si="213"/>
        <v>1.278028290540659</v>
      </c>
      <c r="F294">
        <f t="shared" si="214"/>
        <v>1.6021414708011666E-4</v>
      </c>
      <c r="G294">
        <f t="shared" si="215"/>
        <v>4.3060790592517979E-3</v>
      </c>
      <c r="H294">
        <f t="shared" si="216"/>
        <v>-3.1372865709407485</v>
      </c>
      <c r="J294">
        <f t="shared" si="217"/>
        <v>15</v>
      </c>
      <c r="M294">
        <f t="shared" si="218"/>
        <v>3.1805544219375773E-3</v>
      </c>
      <c r="N294">
        <f t="shared" si="219"/>
        <v>-1.5707963250000001</v>
      </c>
      <c r="O294">
        <f t="shared" si="220"/>
        <v>116.21809764436716</v>
      </c>
      <c r="P294">
        <f t="shared" si="221"/>
        <v>1.5621917087510246</v>
      </c>
      <c r="Q294">
        <f t="shared" si="222"/>
        <v>102.62688100137815</v>
      </c>
      <c r="R294">
        <f t="shared" si="223"/>
        <v>1.5610521368196122</v>
      </c>
      <c r="S294">
        <f t="shared" si="224"/>
        <v>0.30733017936179141</v>
      </c>
      <c r="T294">
        <f t="shared" si="225"/>
        <v>-1.2584101738687354</v>
      </c>
      <c r="U294">
        <f t="shared" si="226"/>
        <v>0.3703418090512422</v>
      </c>
      <c r="V294">
        <f t="shared" si="227"/>
        <v>-1.1914193594667177</v>
      </c>
      <c r="X294">
        <f t="shared" si="244"/>
        <v>-28.885278324390136</v>
      </c>
      <c r="Y294">
        <f t="shared" si="228"/>
        <v>-157.9438546145322</v>
      </c>
      <c r="Z294">
        <f t="shared" si="245"/>
        <v>22.056145385467801</v>
      </c>
      <c r="AC294">
        <v>1</v>
      </c>
      <c r="AD294">
        <f t="shared" si="229"/>
        <v>116.2137953088</v>
      </c>
      <c r="AE294">
        <f t="shared" si="230"/>
        <v>-4.381156862048767E-2</v>
      </c>
      <c r="AF294">
        <f t="shared" si="231"/>
        <v>1.7467255134E-2</v>
      </c>
      <c r="AG294">
        <f t="shared" si="246"/>
        <v>892.81733982366165</v>
      </c>
      <c r="AH294">
        <f t="shared" si="247"/>
        <v>-2296.62461797792</v>
      </c>
      <c r="AJ294">
        <f t="shared" si="232"/>
        <v>18000</v>
      </c>
      <c r="AK294">
        <f t="shared" si="233"/>
        <v>55734.366885119998</v>
      </c>
      <c r="AL294">
        <v>1</v>
      </c>
      <c r="AM294">
        <f t="shared" si="234"/>
        <v>102.62200886783999</v>
      </c>
      <c r="AN294">
        <f t="shared" si="248"/>
        <v>544.76091484669166</v>
      </c>
      <c r="AO294">
        <f t="shared" si="249"/>
        <v>-170.09254912981427</v>
      </c>
      <c r="AQ294">
        <f t="shared" si="235"/>
        <v>1.5624975585975647E-2</v>
      </c>
      <c r="AR294">
        <f t="shared" si="236"/>
        <v>-12.499980468780517</v>
      </c>
      <c r="AT294">
        <f t="shared" si="261"/>
        <v>-28693.812619707038</v>
      </c>
      <c r="AU294">
        <f t="shared" si="262"/>
        <v>-11196.084013570406</v>
      </c>
      <c r="AV294">
        <f t="shared" si="250"/>
        <v>-2.7695703049565275</v>
      </c>
      <c r="AW294">
        <f t="shared" si="251"/>
        <v>-651.47639764698783</v>
      </c>
      <c r="AX294">
        <f t="shared" si="252"/>
        <v>-9697.8189528505682</v>
      </c>
      <c r="AY294">
        <f t="shared" si="260"/>
        <v>-1.637873165877658</v>
      </c>
      <c r="BA294">
        <f t="shared" si="237"/>
        <v>3.1689084983323808</v>
      </c>
      <c r="BB294">
        <f t="shared" si="253"/>
        <v>10.018193983912983</v>
      </c>
      <c r="BC294">
        <f t="shared" si="254"/>
        <v>-1.1316971390788695</v>
      </c>
      <c r="BD294">
        <f t="shared" si="238"/>
        <v>-244.84146983034114</v>
      </c>
      <c r="BF294">
        <f t="shared" si="239"/>
        <v>-31.571997873858617</v>
      </c>
      <c r="BG294">
        <f t="shared" si="240"/>
        <v>-171.36912244374284</v>
      </c>
      <c r="BH294">
        <f t="shared" si="255"/>
        <v>8.6308775562571611</v>
      </c>
      <c r="BI294">
        <f t="shared" si="256"/>
        <v>8.6308775562571611</v>
      </c>
      <c r="BJ294">
        <f t="shared" si="241"/>
        <v>0</v>
      </c>
      <c r="BK294">
        <f t="shared" si="257"/>
        <v>0</v>
      </c>
      <c r="BM294">
        <f t="shared" si="258"/>
        <v>-41.5901918577716</v>
      </c>
      <c r="BN294">
        <f t="shared" si="242"/>
        <v>-106.5276526134017</v>
      </c>
      <c r="BQ294" s="56">
        <f t="shared" si="259"/>
        <v>26.920154784198122</v>
      </c>
      <c r="BR294" s="59"/>
      <c r="BS294" s="59"/>
      <c r="BT294" s="59">
        <v>69183.096999999994</v>
      </c>
      <c r="BU294" s="59">
        <v>3.15646</v>
      </c>
      <c r="BV294" s="59">
        <v>-131.40799999999999</v>
      </c>
      <c r="BY294" s="59"/>
      <c r="BZ294" s="59"/>
      <c r="CA294" s="59"/>
      <c r="CC294" s="59"/>
    </row>
    <row r="295" spans="1:81" x14ac:dyDescent="0.25">
      <c r="A295">
        <f t="shared" si="211"/>
        <v>405000</v>
      </c>
      <c r="B295">
        <f t="shared" si="243"/>
        <v>405</v>
      </c>
      <c r="C295">
        <f t="shared" si="212"/>
        <v>3.5046853791509385</v>
      </c>
      <c r="D295">
        <f t="shared" si="213"/>
        <v>1.2814431853053085</v>
      </c>
      <c r="F295">
        <f t="shared" si="214"/>
        <v>1.5628207890487693E-4</v>
      </c>
      <c r="G295">
        <f t="shared" si="215"/>
        <v>4.2529014158882604E-3</v>
      </c>
      <c r="H295">
        <f t="shared" si="216"/>
        <v>-3.1373397485841119</v>
      </c>
      <c r="J295">
        <f t="shared" si="217"/>
        <v>15</v>
      </c>
      <c r="M295">
        <f t="shared" si="218"/>
        <v>3.1412883179630395E-3</v>
      </c>
      <c r="N295">
        <f t="shared" si="219"/>
        <v>-1.5707963250000001</v>
      </c>
      <c r="O295">
        <f t="shared" si="220"/>
        <v>117.6707169724033</v>
      </c>
      <c r="P295">
        <f t="shared" si="221"/>
        <v>1.5622979334567235</v>
      </c>
      <c r="Q295">
        <f t="shared" si="222"/>
        <v>103.90959596523231</v>
      </c>
      <c r="R295">
        <f t="shared" si="223"/>
        <v>1.5611724279870061</v>
      </c>
      <c r="S295">
        <f t="shared" si="224"/>
        <v>0.30388835225727862</v>
      </c>
      <c r="T295">
        <f t="shared" si="225"/>
        <v>-1.2620249448696883</v>
      </c>
      <c r="U295">
        <f t="shared" si="226"/>
        <v>0.36638676157036343</v>
      </c>
      <c r="V295">
        <f t="shared" si="227"/>
        <v>-1.1956735602080621</v>
      </c>
      <c r="X295">
        <f t="shared" si="244"/>
        <v>-29.085296839166496</v>
      </c>
      <c r="Y295">
        <f t="shared" si="228"/>
        <v>-158.18912287826632</v>
      </c>
      <c r="Z295">
        <f t="shared" si="245"/>
        <v>21.810877121733682</v>
      </c>
      <c r="AC295">
        <v>1</v>
      </c>
      <c r="AD295">
        <f t="shared" si="229"/>
        <v>117.66646775016001</v>
      </c>
      <c r="AE295">
        <f t="shared" si="230"/>
        <v>-4.4913703393596814E-2</v>
      </c>
      <c r="AF295">
        <f t="shared" si="231"/>
        <v>1.7685595823174999E-2</v>
      </c>
      <c r="AG295">
        <f t="shared" si="246"/>
        <v>873.84956685209022</v>
      </c>
      <c r="AH295">
        <f t="shared" si="247"/>
        <v>-2275.7401366979993</v>
      </c>
      <c r="AJ295">
        <f t="shared" si="232"/>
        <v>18000</v>
      </c>
      <c r="AK295">
        <f t="shared" si="233"/>
        <v>56431.046471183996</v>
      </c>
      <c r="AL295">
        <v>1</v>
      </c>
      <c r="AM295">
        <f t="shared" si="234"/>
        <v>103.90478397868802</v>
      </c>
      <c r="AN295">
        <f t="shared" si="248"/>
        <v>544.72024613719964</v>
      </c>
      <c r="AO295">
        <f t="shared" si="249"/>
        <v>-167.99303251949462</v>
      </c>
      <c r="AQ295">
        <f t="shared" si="235"/>
        <v>1.524155579704954E-2</v>
      </c>
      <c r="AR295">
        <f t="shared" si="236"/>
        <v>-12.345660195610128</v>
      </c>
      <c r="AT295">
        <f t="shared" si="261"/>
        <v>-28082.195594253437</v>
      </c>
      <c r="AU295">
        <f t="shared" si="262"/>
        <v>-10822.935634710069</v>
      </c>
      <c r="AV295">
        <f t="shared" si="250"/>
        <v>-2.7737337130671218</v>
      </c>
      <c r="AW295">
        <f t="shared" si="251"/>
        <v>-619.1343104293137</v>
      </c>
      <c r="AX295">
        <f t="shared" si="252"/>
        <v>-9585.2318003100918</v>
      </c>
      <c r="AY295">
        <f t="shared" si="260"/>
        <v>-1.6352992436655631</v>
      </c>
      <c r="BA295">
        <f t="shared" si="237"/>
        <v>3.1332598359079196</v>
      </c>
      <c r="BB295">
        <f t="shared" si="253"/>
        <v>9.9199282335539625</v>
      </c>
      <c r="BC295">
        <f t="shared" si="254"/>
        <v>-1.1384344694015587</v>
      </c>
      <c r="BD295">
        <f t="shared" si="238"/>
        <v>-245.22749042345782</v>
      </c>
      <c r="BF295">
        <f t="shared" si="239"/>
        <v>-31.787082255799938</v>
      </c>
      <c r="BG295">
        <f t="shared" si="240"/>
        <v>-171.56253083367289</v>
      </c>
      <c r="BH295">
        <f t="shared" si="255"/>
        <v>8.4374691663271051</v>
      </c>
      <c r="BI295">
        <f t="shared" si="256"/>
        <v>8.4374691663271051</v>
      </c>
      <c r="BJ295">
        <f t="shared" si="241"/>
        <v>0</v>
      </c>
      <c r="BK295">
        <f t="shared" si="257"/>
        <v>0</v>
      </c>
      <c r="BM295">
        <f t="shared" si="258"/>
        <v>-41.707010489353905</v>
      </c>
      <c r="BN295">
        <f t="shared" si="242"/>
        <v>-106.33504041021504</v>
      </c>
      <c r="BQ295" s="56">
        <f t="shared" si="259"/>
        <v>26.821889033839099</v>
      </c>
      <c r="BR295" s="59"/>
      <c r="BS295" s="59"/>
      <c r="BT295" s="59">
        <v>70794.577999999994</v>
      </c>
      <c r="BU295" s="59">
        <v>3.32565</v>
      </c>
      <c r="BV295" s="59">
        <v>-131.172</v>
      </c>
      <c r="BY295" s="59"/>
      <c r="BZ295" s="59"/>
      <c r="CA295" s="59"/>
      <c r="CC295" s="59"/>
    </row>
    <row r="296" spans="1:81" x14ac:dyDescent="0.25">
      <c r="A296">
        <f t="shared" si="211"/>
        <v>410000</v>
      </c>
      <c r="B296">
        <f t="shared" si="243"/>
        <v>410</v>
      </c>
      <c r="C296">
        <f t="shared" si="212"/>
        <v>3.5444502288989232</v>
      </c>
      <c r="D296">
        <f t="shared" si="213"/>
        <v>1.2847814955167076</v>
      </c>
      <c r="F296">
        <f t="shared" si="214"/>
        <v>1.5249301562511813E-4</v>
      </c>
      <c r="G296">
        <f t="shared" si="215"/>
        <v>4.2010213692527335E-3</v>
      </c>
      <c r="H296">
        <f t="shared" si="216"/>
        <v>-3.1373916286307475</v>
      </c>
      <c r="J296">
        <f t="shared" si="217"/>
        <v>15</v>
      </c>
      <c r="M296">
        <f t="shared" si="218"/>
        <v>3.1029799238415394E-3</v>
      </c>
      <c r="N296">
        <f t="shared" si="219"/>
        <v>-1.5707963250000001</v>
      </c>
      <c r="O296">
        <f t="shared" si="220"/>
        <v>119.12333759581702</v>
      </c>
      <c r="P296">
        <f t="shared" si="221"/>
        <v>1.5624015675007927</v>
      </c>
      <c r="Q296">
        <f t="shared" si="222"/>
        <v>105.19231239598561</v>
      </c>
      <c r="R296">
        <f t="shared" si="223"/>
        <v>1.5612897854919325</v>
      </c>
      <c r="S296">
        <f t="shared" si="224"/>
        <v>0.30051896500441405</v>
      </c>
      <c r="T296">
        <f t="shared" si="225"/>
        <v>-1.2655596030620306</v>
      </c>
      <c r="U296">
        <f t="shared" si="226"/>
        <v>0.36250894275520451</v>
      </c>
      <c r="V296">
        <f t="shared" si="227"/>
        <v>-1.1998377825038617</v>
      </c>
      <c r="X296">
        <f t="shared" si="244"/>
        <v>-29.283189514673523</v>
      </c>
      <c r="Y296">
        <f t="shared" si="228"/>
        <v>-158.42927577631593</v>
      </c>
      <c r="Z296">
        <f t="shared" si="245"/>
        <v>21.570724223684067</v>
      </c>
      <c r="AC296">
        <v>1</v>
      </c>
      <c r="AD296">
        <f t="shared" si="229"/>
        <v>119.11914019151999</v>
      </c>
      <c r="AE296">
        <f t="shared" si="230"/>
        <v>-4.6029529281899864E-2</v>
      </c>
      <c r="AF296">
        <f t="shared" si="231"/>
        <v>1.7903936512349998E-2</v>
      </c>
      <c r="AG296">
        <f t="shared" si="246"/>
        <v>855.44989688399698</v>
      </c>
      <c r="AH296">
        <f t="shared" si="247"/>
        <v>-2255.1440600769074</v>
      </c>
      <c r="AJ296">
        <f t="shared" si="232"/>
        <v>18000</v>
      </c>
      <c r="AK296">
        <f t="shared" si="233"/>
        <v>57127.726057248001</v>
      </c>
      <c r="AL296">
        <v>1</v>
      </c>
      <c r="AM296">
        <f t="shared" si="234"/>
        <v>105.18755908953599</v>
      </c>
      <c r="AN296">
        <f t="shared" si="248"/>
        <v>544.68105603680681</v>
      </c>
      <c r="AO296">
        <f t="shared" si="249"/>
        <v>-165.94470957449604</v>
      </c>
      <c r="AQ296">
        <f t="shared" si="235"/>
        <v>1.4872077822608831E-2</v>
      </c>
      <c r="AR296">
        <f t="shared" si="236"/>
        <v>-12.195103814539241</v>
      </c>
      <c r="AT296">
        <f t="shared" si="261"/>
        <v>-27488.993611939601</v>
      </c>
      <c r="AU296">
        <f t="shared" si="262"/>
        <v>-10465.83897859989</v>
      </c>
      <c r="AV296">
        <f t="shared" si="250"/>
        <v>-2.7778093570022966</v>
      </c>
      <c r="AW296">
        <f t="shared" si="251"/>
        <v>-588.09341691055818</v>
      </c>
      <c r="AX296">
        <f t="shared" si="252"/>
        <v>-9475.1830435002958</v>
      </c>
      <c r="AY296">
        <f t="shared" si="260"/>
        <v>-1.6327835188942112</v>
      </c>
      <c r="BA296">
        <f t="shared" si="237"/>
        <v>3.098349179872427</v>
      </c>
      <c r="BB296">
        <f t="shared" si="253"/>
        <v>9.8226072119515635</v>
      </c>
      <c r="BC296">
        <f t="shared" si="254"/>
        <v>-1.1450258381080853</v>
      </c>
      <c r="BD296">
        <f t="shared" si="238"/>
        <v>-245.60514803198794</v>
      </c>
      <c r="BF296">
        <f t="shared" si="239"/>
        <v>-31.999590901483508</v>
      </c>
      <c r="BG296">
        <f t="shared" si="240"/>
        <v>-171.75188986388241</v>
      </c>
      <c r="BH296">
        <f t="shared" si="255"/>
        <v>8.2481101361175888</v>
      </c>
      <c r="BI296">
        <f t="shared" si="256"/>
        <v>8.2481101361175888</v>
      </c>
      <c r="BJ296">
        <f t="shared" si="241"/>
        <v>0</v>
      </c>
      <c r="BK296">
        <f t="shared" si="257"/>
        <v>0</v>
      </c>
      <c r="BM296">
        <f t="shared" si="258"/>
        <v>-41.822198113435071</v>
      </c>
      <c r="BN296">
        <f t="shared" si="242"/>
        <v>-106.14674183189445</v>
      </c>
      <c r="BQ296" s="56">
        <f t="shared" si="259"/>
        <v>26.724568012236702</v>
      </c>
      <c r="BR296" s="59"/>
      <c r="BS296" s="59"/>
      <c r="BT296" s="59">
        <v>72443.596000000005</v>
      </c>
      <c r="BU296" s="59">
        <v>3.4992100000000002</v>
      </c>
      <c r="BV296" s="59">
        <v>-130.929</v>
      </c>
      <c r="BY296" s="59"/>
      <c r="BZ296" s="59"/>
      <c r="CA296" s="59"/>
      <c r="CC296" s="59"/>
    </row>
    <row r="297" spans="1:81" x14ac:dyDescent="0.25">
      <c r="A297">
        <f t="shared" si="211"/>
        <v>415000</v>
      </c>
      <c r="B297">
        <f t="shared" si="243"/>
        <v>415</v>
      </c>
      <c r="C297">
        <f t="shared" si="212"/>
        <v>3.5842537024020396</v>
      </c>
      <c r="D297">
        <f t="shared" si="213"/>
        <v>1.2880456969394469</v>
      </c>
      <c r="F297">
        <f t="shared" si="214"/>
        <v>1.4884010549554884E-4</v>
      </c>
      <c r="G297">
        <f t="shared" si="215"/>
        <v>4.1503919907552155E-3</v>
      </c>
      <c r="H297">
        <f t="shared" si="216"/>
        <v>-3.1374422580092451</v>
      </c>
      <c r="J297">
        <f t="shared" si="217"/>
        <v>15</v>
      </c>
      <c r="M297">
        <f t="shared" si="218"/>
        <v>3.065594623554292E-3</v>
      </c>
      <c r="N297">
        <f t="shared" si="219"/>
        <v>-1.5707963250000001</v>
      </c>
      <c r="O297">
        <f t="shared" si="220"/>
        <v>120.57595946779077</v>
      </c>
      <c r="P297">
        <f t="shared" si="221"/>
        <v>1.5625027045128566</v>
      </c>
      <c r="Q297">
        <f t="shared" si="222"/>
        <v>106.47503024062243</v>
      </c>
      <c r="R297">
        <f t="shared" si="223"/>
        <v>1.5614043153576813</v>
      </c>
      <c r="S297">
        <f t="shared" si="224"/>
        <v>0.29721988301594948</v>
      </c>
      <c r="T297">
        <f t="shared" si="225"/>
        <v>-1.2690166970627379</v>
      </c>
      <c r="U297">
        <f t="shared" si="226"/>
        <v>0.35870632342062836</v>
      </c>
      <c r="V297">
        <f t="shared" si="227"/>
        <v>-1.2039147111683461</v>
      </c>
      <c r="X297">
        <f t="shared" si="244"/>
        <v>-29.478998268076055</v>
      </c>
      <c r="Y297">
        <f t="shared" si="228"/>
        <v>-158.66446256088037</v>
      </c>
      <c r="Z297">
        <f t="shared" si="245"/>
        <v>21.335537439119634</v>
      </c>
      <c r="AC297">
        <v>1</v>
      </c>
      <c r="AD297">
        <f t="shared" si="229"/>
        <v>120.57181263288</v>
      </c>
      <c r="AE297">
        <f t="shared" si="230"/>
        <v>-4.7159046285396813E-2</v>
      </c>
      <c r="AF297">
        <f t="shared" si="231"/>
        <v>1.8122277201525001E-2</v>
      </c>
      <c r="AG297">
        <f t="shared" si="246"/>
        <v>837.59715639733156</v>
      </c>
      <c r="AH297">
        <f t="shared" si="247"/>
        <v>-2234.8341004104263</v>
      </c>
      <c r="AJ297">
        <f t="shared" si="232"/>
        <v>18000</v>
      </c>
      <c r="AK297">
        <f t="shared" si="233"/>
        <v>57824.405643311999</v>
      </c>
      <c r="AL297">
        <v>1</v>
      </c>
      <c r="AM297">
        <f t="shared" si="234"/>
        <v>106.47033420038402</v>
      </c>
      <c r="AN297">
        <f t="shared" si="248"/>
        <v>544.64327372881814</v>
      </c>
      <c r="AO297">
        <f t="shared" si="249"/>
        <v>-163.94573058650383</v>
      </c>
      <c r="AQ297">
        <f t="shared" si="235"/>
        <v>1.4515873833830985E-2</v>
      </c>
      <c r="AR297">
        <f t="shared" si="236"/>
        <v>-12.048175282079718</v>
      </c>
      <c r="AT297">
        <f t="shared" si="261"/>
        <v>-26913.514513467922</v>
      </c>
      <c r="AU297">
        <f t="shared" si="262"/>
        <v>-10123.957925887691</v>
      </c>
      <c r="AV297">
        <f t="shared" si="250"/>
        <v>-2.7817998415511411</v>
      </c>
      <c r="AW297">
        <f t="shared" si="251"/>
        <v>-558.28517371211308</v>
      </c>
      <c r="AX297">
        <f t="shared" si="252"/>
        <v>-9367.5883652708562</v>
      </c>
      <c r="AY297">
        <f t="shared" si="260"/>
        <v>-1.6303234507786071</v>
      </c>
      <c r="BA297">
        <f t="shared" si="237"/>
        <v>3.0641560029125712</v>
      </c>
      <c r="BB297">
        <f t="shared" si="253"/>
        <v>9.7262174481890025</v>
      </c>
      <c r="BC297">
        <f t="shared" si="254"/>
        <v>-1.1514763907725341</v>
      </c>
      <c r="BD297">
        <f t="shared" si="238"/>
        <v>-245.97473747561006</v>
      </c>
      <c r="BF297">
        <f t="shared" si="239"/>
        <v>-32.209583136823412</v>
      </c>
      <c r="BG297">
        <f t="shared" si="240"/>
        <v>-171.93735519199782</v>
      </c>
      <c r="BH297">
        <f t="shared" si="255"/>
        <v>8.062644808002176</v>
      </c>
      <c r="BI297">
        <f t="shared" si="256"/>
        <v>8.062644808002176</v>
      </c>
      <c r="BJ297">
        <f t="shared" si="241"/>
        <v>0</v>
      </c>
      <c r="BK297">
        <f t="shared" si="257"/>
        <v>0</v>
      </c>
      <c r="BM297">
        <f t="shared" si="258"/>
        <v>-41.935800585012409</v>
      </c>
      <c r="BN297">
        <f t="shared" si="242"/>
        <v>-105.96261771638778</v>
      </c>
      <c r="BQ297" s="56">
        <f t="shared" si="259"/>
        <v>26.628178248474139</v>
      </c>
      <c r="BR297" s="59"/>
      <c r="BS297" s="59"/>
      <c r="BT297" s="59">
        <v>74131.024000000005</v>
      </c>
      <c r="BU297" s="59">
        <v>3.6540400000000002</v>
      </c>
      <c r="BV297" s="59">
        <v>-130.88900000000001</v>
      </c>
      <c r="BY297" s="59"/>
      <c r="BZ297" s="59"/>
      <c r="CA297" s="59"/>
      <c r="CC297" s="59"/>
    </row>
    <row r="298" spans="1:81" x14ac:dyDescent="0.25">
      <c r="A298">
        <f t="shared" si="211"/>
        <v>420000</v>
      </c>
      <c r="B298">
        <f t="shared" si="243"/>
        <v>420</v>
      </c>
      <c r="C298">
        <f t="shared" si="212"/>
        <v>3.6240945270450191</v>
      </c>
      <c r="D298">
        <f t="shared" si="213"/>
        <v>1.2912381629473078</v>
      </c>
      <c r="F298">
        <f t="shared" si="214"/>
        <v>1.4531690228408806E-4</v>
      </c>
      <c r="G298">
        <f t="shared" si="215"/>
        <v>4.1009685881088411E-3</v>
      </c>
      <c r="H298">
        <f t="shared" si="216"/>
        <v>-3.1374916814118912</v>
      </c>
      <c r="J298">
        <f t="shared" si="217"/>
        <v>15</v>
      </c>
      <c r="M298">
        <f t="shared" si="218"/>
        <v>3.0290994494643598E-3</v>
      </c>
      <c r="N298">
        <f t="shared" si="219"/>
        <v>-1.5707963250000001</v>
      </c>
      <c r="O298">
        <f t="shared" si="220"/>
        <v>122.02858254373611</v>
      </c>
      <c r="P298">
        <f t="shared" si="221"/>
        <v>1.5626014336644982</v>
      </c>
      <c r="Q298">
        <f t="shared" si="222"/>
        <v>107.75774944865132</v>
      </c>
      <c r="R298">
        <f t="shared" si="223"/>
        <v>1.561516118559557</v>
      </c>
      <c r="S298">
        <f t="shared" si="224"/>
        <v>0.29398904883695637</v>
      </c>
      <c r="T298">
        <f t="shared" si="225"/>
        <v>-1.2723986722734186</v>
      </c>
      <c r="U298">
        <f t="shared" si="226"/>
        <v>0.35497693513661782</v>
      </c>
      <c r="V298">
        <f t="shared" si="227"/>
        <v>-1.2079069312394466</v>
      </c>
      <c r="X298">
        <f t="shared" si="244"/>
        <v>-29.672763860054982</v>
      </c>
      <c r="Y298">
        <f t="shared" si="228"/>
        <v>-158.89482713667883</v>
      </c>
      <c r="Z298">
        <f t="shared" si="245"/>
        <v>21.105172863321172</v>
      </c>
      <c r="AC298">
        <v>1</v>
      </c>
      <c r="AD298">
        <f t="shared" si="229"/>
        <v>122.02448507424</v>
      </c>
      <c r="AE298">
        <f t="shared" si="230"/>
        <v>-4.8302254404087669E-2</v>
      </c>
      <c r="AF298">
        <f t="shared" si="231"/>
        <v>1.83406178907E-2</v>
      </c>
      <c r="AG298">
        <f t="shared" si="246"/>
        <v>820.27107938878316</v>
      </c>
      <c r="AH298">
        <f t="shared" si="247"/>
        <v>-2214.807734343035</v>
      </c>
      <c r="AJ298">
        <f t="shared" si="232"/>
        <v>18000</v>
      </c>
      <c r="AK298">
        <f t="shared" si="233"/>
        <v>58521.085229375996</v>
      </c>
      <c r="AL298">
        <v>1</v>
      </c>
      <c r="AM298">
        <f t="shared" si="234"/>
        <v>107.753109311232</v>
      </c>
      <c r="AN298">
        <f t="shared" si="248"/>
        <v>544.60683258583845</v>
      </c>
      <c r="AO298">
        <f t="shared" si="249"/>
        <v>-161.9943338896731</v>
      </c>
      <c r="AQ298">
        <f t="shared" si="235"/>
        <v>1.4172315515425856E-2</v>
      </c>
      <c r="AR298">
        <f t="shared" si="236"/>
        <v>-11.90474503295772</v>
      </c>
      <c r="AT298">
        <f t="shared" si="261"/>
        <v>-26355.096233831311</v>
      </c>
      <c r="AU298">
        <f t="shared" si="262"/>
        <v>-9796.5070120495984</v>
      </c>
      <c r="AV298">
        <f t="shared" si="250"/>
        <v>-2.7857076755366594</v>
      </c>
      <c r="AW298">
        <f t="shared" si="251"/>
        <v>-529.64544806964057</v>
      </c>
      <c r="AX298">
        <f t="shared" si="252"/>
        <v>-9262.3671642991103</v>
      </c>
      <c r="AY298">
        <f t="shared" si="260"/>
        <v>-1.6279166377621508</v>
      </c>
      <c r="BA298">
        <f t="shared" si="237"/>
        <v>3.0306604001675987</v>
      </c>
      <c r="BB298">
        <f t="shared" si="253"/>
        <v>9.6307454868626472</v>
      </c>
      <c r="BC298">
        <f t="shared" si="254"/>
        <v>-1.1577910377745086</v>
      </c>
      <c r="BD298">
        <f t="shared" si="238"/>
        <v>-246.33654009835158</v>
      </c>
      <c r="BF298">
        <f t="shared" si="239"/>
        <v>-32.417116366477309</v>
      </c>
      <c r="BG298">
        <f t="shared" si="240"/>
        <v>-172.11907473842496</v>
      </c>
      <c r="BH298">
        <f t="shared" si="255"/>
        <v>7.8809252615750438</v>
      </c>
      <c r="BI298">
        <f t="shared" si="256"/>
        <v>7.8809252615750438</v>
      </c>
      <c r="BJ298">
        <f t="shared" si="241"/>
        <v>0</v>
      </c>
      <c r="BK298">
        <f t="shared" si="257"/>
        <v>0</v>
      </c>
      <c r="BM298">
        <f t="shared" si="258"/>
        <v>-42.047861853339953</v>
      </c>
      <c r="BN298">
        <f t="shared" si="242"/>
        <v>-105.78253464007341</v>
      </c>
      <c r="BQ298" s="56">
        <f t="shared" si="259"/>
        <v>26.532706287147786</v>
      </c>
      <c r="BR298" s="59"/>
      <c r="BS298" s="59"/>
      <c r="BT298" s="59">
        <v>75857.758000000002</v>
      </c>
      <c r="BU298" s="59">
        <v>3.8307899999999999</v>
      </c>
      <c r="BV298" s="59">
        <v>-130.62200000000001</v>
      </c>
      <c r="BY298" s="59"/>
      <c r="BZ298" s="59"/>
      <c r="CA298" s="59"/>
      <c r="CC298" s="59"/>
    </row>
    <row r="299" spans="1:81" x14ac:dyDescent="0.25">
      <c r="A299">
        <f t="shared" si="211"/>
        <v>425000</v>
      </c>
      <c r="B299">
        <f t="shared" si="243"/>
        <v>425</v>
      </c>
      <c r="C299">
        <f t="shared" si="212"/>
        <v>3.6639714843959181</v>
      </c>
      <c r="D299">
        <f t="shared" si="213"/>
        <v>1.2943611695865824</v>
      </c>
      <c r="F299">
        <f t="shared" si="214"/>
        <v>1.419173368080012E-4</v>
      </c>
      <c r="G299">
        <f t="shared" si="215"/>
        <v>4.0527085736710711E-3</v>
      </c>
      <c r="H299">
        <f t="shared" si="216"/>
        <v>-3.1375399414263292</v>
      </c>
      <c r="J299">
        <f t="shared" si="217"/>
        <v>15</v>
      </c>
      <c r="M299">
        <f t="shared" si="218"/>
        <v>2.9934629853530141E-3</v>
      </c>
      <c r="N299">
        <f t="shared" si="219"/>
        <v>-1.5707963250000001</v>
      </c>
      <c r="O299">
        <f t="shared" si="220"/>
        <v>123.48120678116283</v>
      </c>
      <c r="P299">
        <f t="shared" si="221"/>
        <v>1.5626978399314599</v>
      </c>
      <c r="Q299">
        <f t="shared" si="222"/>
        <v>109.04046997195671</v>
      </c>
      <c r="R299">
        <f t="shared" si="223"/>
        <v>1.5616252913217674</v>
      </c>
      <c r="S299">
        <f t="shared" si="224"/>
        <v>0.29082447904283376</v>
      </c>
      <c r="T299">
        <f t="shared" si="225"/>
        <v>-1.2757078758468168</v>
      </c>
      <c r="U299">
        <f t="shared" si="226"/>
        <v>0.35131886856787448</v>
      </c>
      <c r="V299">
        <f t="shared" si="227"/>
        <v>-1.2118169322486374</v>
      </c>
      <c r="X299">
        <f t="shared" si="244"/>
        <v>-29.864525935034017</v>
      </c>
      <c r="Y299">
        <f t="shared" si="228"/>
        <v>-159.12050827555734</v>
      </c>
      <c r="Z299">
        <f t="shared" si="245"/>
        <v>20.879491724442659</v>
      </c>
      <c r="AC299">
        <v>1</v>
      </c>
      <c r="AD299">
        <f t="shared" si="229"/>
        <v>123.4771575156</v>
      </c>
      <c r="AE299">
        <f t="shared" si="230"/>
        <v>-4.9459153637972417E-2</v>
      </c>
      <c r="AF299">
        <f t="shared" si="231"/>
        <v>1.8558958579874999E-2</v>
      </c>
      <c r="AG299">
        <f t="shared" si="246"/>
        <v>803.45226571276203</v>
      </c>
      <c r="AH299">
        <f t="shared" si="247"/>
        <v>-2195.0622323625516</v>
      </c>
      <c r="AJ299">
        <f t="shared" si="232"/>
        <v>18000</v>
      </c>
      <c r="AK299">
        <f t="shared" si="233"/>
        <v>59217.764815440001</v>
      </c>
      <c r="AL299">
        <v>1</v>
      </c>
      <c r="AM299">
        <f t="shared" si="234"/>
        <v>109.03588442208</v>
      </c>
      <c r="AN299">
        <f t="shared" si="248"/>
        <v>544.57166987586902</v>
      </c>
      <c r="AO299">
        <f t="shared" si="249"/>
        <v>-160.08884068435518</v>
      </c>
      <c r="AQ299">
        <f t="shared" si="235"/>
        <v>1.384081129299475E-2</v>
      </c>
      <c r="AR299">
        <f t="shared" si="236"/>
        <v>-11.764689599045537</v>
      </c>
      <c r="AT299">
        <f t="shared" si="261"/>
        <v>-25813.10538314073</v>
      </c>
      <c r="AU299">
        <f t="shared" si="262"/>
        <v>-9482.7479558950126</v>
      </c>
      <c r="AV299">
        <f t="shared" si="250"/>
        <v>-2.7895352758615126</v>
      </c>
      <c r="AW299">
        <f t="shared" si="251"/>
        <v>-502.11418571406932</v>
      </c>
      <c r="AX299">
        <f t="shared" si="252"/>
        <v>-9159.4423487423392</v>
      </c>
      <c r="AY299">
        <f t="shared" si="260"/>
        <v>-1.6255608085785842</v>
      </c>
      <c r="BA299">
        <f t="shared" si="237"/>
        <v>2.9978430765668769</v>
      </c>
      <c r="BB299">
        <f t="shared" si="253"/>
        <v>9.5361779153769515</v>
      </c>
      <c r="BC299">
        <f t="shared" si="254"/>
        <v>-1.1639744672829284</v>
      </c>
      <c r="BD299">
        <f t="shared" si="238"/>
        <v>-246.69082451250551</v>
      </c>
      <c r="BF299">
        <f t="shared" si="239"/>
        <v>-32.622246149398045</v>
      </c>
      <c r="BG299">
        <f t="shared" si="240"/>
        <v>-172.29718914770234</v>
      </c>
      <c r="BH299">
        <f t="shared" si="255"/>
        <v>7.7028108522976595</v>
      </c>
      <c r="BI299">
        <f t="shared" si="256"/>
        <v>7.7028108522976595</v>
      </c>
      <c r="BJ299">
        <f t="shared" si="241"/>
        <v>0</v>
      </c>
      <c r="BK299">
        <f t="shared" si="257"/>
        <v>0</v>
      </c>
      <c r="BM299">
        <f t="shared" si="258"/>
        <v>-42.158424064774998</v>
      </c>
      <c r="BN299">
        <f t="shared" si="242"/>
        <v>-105.60636463519687</v>
      </c>
      <c r="BQ299" s="56">
        <f t="shared" si="259"/>
        <v>26.438138715662088</v>
      </c>
      <c r="BR299" s="59"/>
      <c r="BS299" s="59"/>
      <c r="BT299" s="59">
        <v>77624.712</v>
      </c>
      <c r="BU299" s="59">
        <v>4.0309799999999996</v>
      </c>
      <c r="BV299" s="59">
        <v>-130.36099999999999</v>
      </c>
      <c r="BY299" s="59"/>
      <c r="BZ299" s="59"/>
      <c r="CA299" s="59"/>
      <c r="CC299" s="59"/>
    </row>
    <row r="300" spans="1:81" x14ac:dyDescent="0.25">
      <c r="A300">
        <f t="shared" ref="A300:A363" si="263">A299+5000</f>
        <v>430000</v>
      </c>
      <c r="B300">
        <f t="shared" si="243"/>
        <v>430</v>
      </c>
      <c r="C300">
        <f t="shared" si="212"/>
        <v>3.7038834074129579</v>
      </c>
      <c r="D300">
        <f t="shared" si="213"/>
        <v>1.2974169003535261</v>
      </c>
      <c r="F300">
        <f t="shared" si="214"/>
        <v>1.3863569077408739E-4</v>
      </c>
      <c r="G300">
        <f t="shared" si="215"/>
        <v>4.0055713419793106E-3</v>
      </c>
      <c r="H300">
        <f t="shared" si="216"/>
        <v>-3.1375870786580209</v>
      </c>
      <c r="J300">
        <f t="shared" si="217"/>
        <v>15</v>
      </c>
      <c r="M300">
        <f t="shared" si="218"/>
        <v>2.9586552762210024E-3</v>
      </c>
      <c r="N300">
        <f t="shared" si="219"/>
        <v>-1.5707963250000001</v>
      </c>
      <c r="O300">
        <f t="shared" si="220"/>
        <v>124.93383213955673</v>
      </c>
      <c r="P300">
        <f t="shared" si="221"/>
        <v>1.5627920043375569</v>
      </c>
      <c r="Q300">
        <f t="shared" si="222"/>
        <v>110.32319176466065</v>
      </c>
      <c r="R300">
        <f t="shared" si="223"/>
        <v>1.5617319253936035</v>
      </c>
      <c r="S300">
        <f t="shared" si="224"/>
        <v>0.28772426125966583</v>
      </c>
      <c r="T300">
        <f t="shared" si="225"/>
        <v>-1.2789465613829154</v>
      </c>
      <c r="U300">
        <f t="shared" si="226"/>
        <v>0.34773027181801924</v>
      </c>
      <c r="V300">
        <f t="shared" si="227"/>
        <v>-1.2156471122945851</v>
      </c>
      <c r="X300">
        <f t="shared" si="244"/>
        <v>-30.054323059690947</v>
      </c>
      <c r="Y300">
        <f t="shared" si="228"/>
        <v>-159.34163982244812</v>
      </c>
      <c r="Z300">
        <f t="shared" si="245"/>
        <v>20.658360177551884</v>
      </c>
      <c r="AC300">
        <v>1</v>
      </c>
      <c r="AD300">
        <f t="shared" si="229"/>
        <v>124.92982995696001</v>
      </c>
      <c r="AE300">
        <f t="shared" si="230"/>
        <v>-5.0629743987051057E-2</v>
      </c>
      <c r="AF300">
        <f t="shared" si="231"/>
        <v>1.8777299269050002E-2</v>
      </c>
      <c r="AG300">
        <f t="shared" si="246"/>
        <v>787.12214126491244</v>
      </c>
      <c r="AH300">
        <f t="shared" si="247"/>
        <v>-2175.5946855529219</v>
      </c>
      <c r="AJ300">
        <f t="shared" si="232"/>
        <v>18000</v>
      </c>
      <c r="AK300">
        <f t="shared" si="233"/>
        <v>59914.444401503992</v>
      </c>
      <c r="AL300">
        <v>1</v>
      </c>
      <c r="AM300">
        <f t="shared" si="234"/>
        <v>110.318659532928</v>
      </c>
      <c r="AN300">
        <f t="shared" si="248"/>
        <v>544.5377264921824</v>
      </c>
      <c r="AO300">
        <f t="shared" si="249"/>
        <v>-158.2276502217442</v>
      </c>
      <c r="AQ300">
        <f t="shared" si="235"/>
        <v>1.3520803784743395E-2</v>
      </c>
      <c r="AR300">
        <f t="shared" si="236"/>
        <v>-11.627891254879319</v>
      </c>
      <c r="AT300">
        <f t="shared" si="261"/>
        <v>-25286.935894276074</v>
      </c>
      <c r="AU300">
        <f t="shared" si="262"/>
        <v>-9181.9864517946517</v>
      </c>
      <c r="AV300">
        <f t="shared" si="250"/>
        <v>-2.7932849713732089</v>
      </c>
      <c r="AW300">
        <f t="shared" si="251"/>
        <v>-475.63510719367656</v>
      </c>
      <c r="AX300">
        <f t="shared" si="252"/>
        <v>-9058.7401438922316</v>
      </c>
      <c r="AY300">
        <f t="shared" si="260"/>
        <v>-1.6232538139583441</v>
      </c>
      <c r="BA300">
        <f t="shared" si="237"/>
        <v>2.9656853332237185</v>
      </c>
      <c r="BB300">
        <f t="shared" si="253"/>
        <v>9.4425013876961899</v>
      </c>
      <c r="BC300">
        <f t="shared" si="254"/>
        <v>-1.1700311574148647</v>
      </c>
      <c r="BD300">
        <f t="shared" si="238"/>
        <v>-247.03784729528053</v>
      </c>
      <c r="BF300">
        <f t="shared" si="239"/>
        <v>-32.825026271207946</v>
      </c>
      <c r="BG300">
        <f t="shared" si="240"/>
        <v>-172.47183221844011</v>
      </c>
      <c r="BH300">
        <f t="shared" si="255"/>
        <v>7.5281677815598869</v>
      </c>
      <c r="BI300">
        <f t="shared" si="256"/>
        <v>7.5281677815598869</v>
      </c>
      <c r="BJ300">
        <f t="shared" si="241"/>
        <v>0</v>
      </c>
      <c r="BK300">
        <f t="shared" si="257"/>
        <v>0</v>
      </c>
      <c r="BM300">
        <f t="shared" si="258"/>
        <v>-42.267527658904136</v>
      </c>
      <c r="BN300">
        <f t="shared" si="242"/>
        <v>-105.4339849231596</v>
      </c>
      <c r="BQ300" s="56">
        <f t="shared" si="259"/>
        <v>26.344462187981325</v>
      </c>
      <c r="BR300" s="59"/>
      <c r="BS300" s="59"/>
      <c r="BT300" s="59">
        <v>79432.823000000004</v>
      </c>
      <c r="BU300" s="59">
        <v>4.23407</v>
      </c>
      <c r="BV300" s="59">
        <v>-130.17400000000001</v>
      </c>
      <c r="BY300" s="59"/>
      <c r="BZ300" s="59"/>
      <c r="CA300" s="59"/>
      <c r="CC300" s="59"/>
    </row>
    <row r="301" spans="1:81" x14ac:dyDescent="0.25">
      <c r="A301">
        <f t="shared" si="263"/>
        <v>435000</v>
      </c>
      <c r="B301">
        <f t="shared" si="243"/>
        <v>435</v>
      </c>
      <c r="C301">
        <f t="shared" si="212"/>
        <v>3.7438291778185406</v>
      </c>
      <c r="D301">
        <f t="shared" si="213"/>
        <v>1.3004074507036893</v>
      </c>
      <c r="F301">
        <f t="shared" si="214"/>
        <v>1.3546657271220044E-4</v>
      </c>
      <c r="G301">
        <f t="shared" si="215"/>
        <v>3.9595181557403525E-3</v>
      </c>
      <c r="H301">
        <f t="shared" si="216"/>
        <v>-3.1376331318442601</v>
      </c>
      <c r="J301">
        <f t="shared" si="217"/>
        <v>15</v>
      </c>
      <c r="M301">
        <f t="shared" si="218"/>
        <v>2.9246477443104161E-3</v>
      </c>
      <c r="N301">
        <f t="shared" si="219"/>
        <v>-1.5707963250000001</v>
      </c>
      <c r="O301">
        <f t="shared" si="220"/>
        <v>126.38645858026625</v>
      </c>
      <c r="P301">
        <f t="shared" si="221"/>
        <v>1.5628840041817691</v>
      </c>
      <c r="Q301">
        <f t="shared" si="222"/>
        <v>111.6059147829944</v>
      </c>
      <c r="R301">
        <f t="shared" si="223"/>
        <v>1.5618361083065757</v>
      </c>
      <c r="S301">
        <f t="shared" si="224"/>
        <v>0.28468655130381176</v>
      </c>
      <c r="T301">
        <f t="shared" si="225"/>
        <v>-1.282116893370598</v>
      </c>
      <c r="U301">
        <f t="shared" si="226"/>
        <v>0.3442093487847897</v>
      </c>
      <c r="V301">
        <f t="shared" si="227"/>
        <v>-1.2193997819293578</v>
      </c>
      <c r="X301">
        <f t="shared" si="244"/>
        <v>-30.24219275984645</v>
      </c>
      <c r="Y301">
        <f t="shared" si="228"/>
        <v>-159.55835089294365</v>
      </c>
      <c r="Z301">
        <f t="shared" si="245"/>
        <v>20.44164910705635</v>
      </c>
      <c r="AC301">
        <v>1</v>
      </c>
      <c r="AD301">
        <f t="shared" si="229"/>
        <v>126.38250239832001</v>
      </c>
      <c r="AE301">
        <f t="shared" si="230"/>
        <v>-5.1814025451323624E-2</v>
      </c>
      <c r="AF301">
        <f t="shared" si="231"/>
        <v>1.8995639958225001E-2</v>
      </c>
      <c r="AG301">
        <f t="shared" si="246"/>
        <v>771.26291995379631</v>
      </c>
      <c r="AH301">
        <f t="shared" si="247"/>
        <v>-2156.4020298464211</v>
      </c>
      <c r="AJ301">
        <f t="shared" si="232"/>
        <v>18000</v>
      </c>
      <c r="AK301">
        <f t="shared" si="233"/>
        <v>60611.123987568004</v>
      </c>
      <c r="AL301">
        <v>1</v>
      </c>
      <c r="AM301">
        <f t="shared" si="234"/>
        <v>111.601434643776</v>
      </c>
      <c r="AN301">
        <f t="shared" si="248"/>
        <v>544.50494670479952</v>
      </c>
      <c r="AO301">
        <f t="shared" si="249"/>
        <v>-156.40923532042331</v>
      </c>
      <c r="AQ301">
        <f t="shared" si="235"/>
        <v>1.3211767457038635E-2</v>
      </c>
      <c r="AR301">
        <f t="shared" si="236"/>
        <v>-11.494237687623613</v>
      </c>
      <c r="AT301">
        <f t="shared" si="261"/>
        <v>-24776.007734782128</v>
      </c>
      <c r="AU301">
        <f t="shared" si="262"/>
        <v>-8893.5692037617773</v>
      </c>
      <c r="AV301">
        <f t="shared" si="250"/>
        <v>-2.7969590065562233</v>
      </c>
      <c r="AW301">
        <f t="shared" si="251"/>
        <v>-450.15542992216973</v>
      </c>
      <c r="AX301">
        <f t="shared" si="252"/>
        <v>-8960.1899126980916</v>
      </c>
      <c r="AY301">
        <f t="shared" si="260"/>
        <v>-1.6209936189287955</v>
      </c>
      <c r="BA301">
        <f t="shared" si="237"/>
        <v>2.9341690531149913</v>
      </c>
      <c r="BB301">
        <f t="shared" si="253"/>
        <v>9.3497026449504812</v>
      </c>
      <c r="BC301">
        <f t="shared" si="254"/>
        <v>-1.1759653876274279</v>
      </c>
      <c r="BD301">
        <f t="shared" si="238"/>
        <v>-247.3778536415079</v>
      </c>
      <c r="BF301">
        <f t="shared" si="239"/>
        <v>-33.025508813507948</v>
      </c>
      <c r="BG301">
        <f t="shared" si="240"/>
        <v>-172.64313130419364</v>
      </c>
      <c r="BH301">
        <f t="shared" si="255"/>
        <v>7.3568686958063552</v>
      </c>
      <c r="BI301">
        <f t="shared" si="256"/>
        <v>7.3568686958063552</v>
      </c>
      <c r="BJ301">
        <f t="shared" si="241"/>
        <v>0</v>
      </c>
      <c r="BK301">
        <f t="shared" si="257"/>
        <v>0</v>
      </c>
      <c r="BM301">
        <f t="shared" si="258"/>
        <v>-42.375211458458431</v>
      </c>
      <c r="BN301">
        <f t="shared" si="242"/>
        <v>-105.26527766268575</v>
      </c>
      <c r="BQ301" s="56">
        <f t="shared" si="259"/>
        <v>26.251663445235618</v>
      </c>
      <c r="BR301" s="59"/>
      <c r="BS301" s="59"/>
      <c r="BT301" s="59">
        <v>81283.051999999996</v>
      </c>
      <c r="BU301" s="59">
        <v>4.4202000000000004</v>
      </c>
      <c r="BV301" s="59">
        <v>-130.05699999999999</v>
      </c>
      <c r="BY301" s="59"/>
      <c r="BZ301" s="59"/>
      <c r="CA301" s="59"/>
      <c r="CC301" s="59"/>
    </row>
    <row r="302" spans="1:81" x14ac:dyDescent="0.25">
      <c r="A302">
        <f t="shared" si="263"/>
        <v>440000</v>
      </c>
      <c r="B302">
        <f t="shared" si="243"/>
        <v>440</v>
      </c>
      <c r="C302">
        <f t="shared" si="212"/>
        <v>3.7838077236291636</v>
      </c>
      <c r="D302">
        <f t="shared" si="213"/>
        <v>1.3033348323097111</v>
      </c>
      <c r="F302">
        <f t="shared" si="214"/>
        <v>1.3240489581282011E-4</v>
      </c>
      <c r="G302">
        <f t="shared" si="215"/>
        <v>3.9145120396004889E-3</v>
      </c>
      <c r="H302">
        <f t="shared" si="216"/>
        <v>-3.1376781379603997</v>
      </c>
      <c r="J302">
        <f t="shared" si="217"/>
        <v>15</v>
      </c>
      <c r="M302">
        <f t="shared" si="218"/>
        <v>2.8914131108523432E-3</v>
      </c>
      <c r="N302">
        <f t="shared" si="219"/>
        <v>-1.5707963250000001</v>
      </c>
      <c r="O302">
        <f t="shared" si="220"/>
        <v>127.83908606639658</v>
      </c>
      <c r="P302">
        <f t="shared" si="221"/>
        <v>1.5629739132498532</v>
      </c>
      <c r="Q302">
        <f t="shared" si="222"/>
        <v>112.88863898517845</v>
      </c>
      <c r="R302">
        <f t="shared" si="223"/>
        <v>1.5619379236140223</v>
      </c>
      <c r="S302">
        <f t="shared" si="224"/>
        <v>0.28170957043738198</v>
      </c>
      <c r="T302">
        <f t="shared" si="225"/>
        <v>-1.2852209513898514</v>
      </c>
      <c r="U302">
        <f t="shared" si="226"/>
        <v>0.34075435753164096</v>
      </c>
      <c r="V302">
        <f t="shared" si="227"/>
        <v>-1.2230771678656664</v>
      </c>
      <c r="X302">
        <f t="shared" si="244"/>
        <v>-30.428171555816775</v>
      </c>
      <c r="Y302">
        <f t="shared" si="228"/>
        <v>-159.77076606275466</v>
      </c>
      <c r="Z302">
        <f t="shared" si="245"/>
        <v>20.22923393724534</v>
      </c>
      <c r="AC302">
        <v>1</v>
      </c>
      <c r="AD302">
        <f t="shared" si="229"/>
        <v>127.83517483967999</v>
      </c>
      <c r="AE302">
        <f t="shared" si="230"/>
        <v>-5.3011998030790083E-2</v>
      </c>
      <c r="AF302">
        <f t="shared" si="231"/>
        <v>1.9213980647399997E-2</v>
      </c>
      <c r="AG302">
        <f t="shared" si="246"/>
        <v>755.8575674016048</v>
      </c>
      <c r="AH302">
        <f t="shared" si="247"/>
        <v>-2137.4810679956172</v>
      </c>
      <c r="AJ302">
        <f t="shared" si="232"/>
        <v>18000</v>
      </c>
      <c r="AK302">
        <f t="shared" si="233"/>
        <v>61307.803573631994</v>
      </c>
      <c r="AL302">
        <v>1</v>
      </c>
      <c r="AM302">
        <f t="shared" si="234"/>
        <v>112.884209754624</v>
      </c>
      <c r="AN302">
        <f t="shared" si="248"/>
        <v>544.47327793161776</v>
      </c>
      <c r="AO302">
        <f t="shared" si="249"/>
        <v>-154.63213818842686</v>
      </c>
      <c r="AQ302">
        <f t="shared" si="235"/>
        <v>1.2913206465384214E-2</v>
      </c>
      <c r="AR302">
        <f t="shared" si="236"/>
        <v>-11.363621689538107</v>
      </c>
      <c r="AT302">
        <f t="shared" si="261"/>
        <v>-24279.765680425793</v>
      </c>
      <c r="AU302">
        <f t="shared" si="262"/>
        <v>-8616.8811814732653</v>
      </c>
      <c r="AV302">
        <f t="shared" si="250"/>
        <v>-2.8005595450583796</v>
      </c>
      <c r="AW302">
        <f t="shared" si="251"/>
        <v>-425.6256135224674</v>
      </c>
      <c r="AX302">
        <f t="shared" si="252"/>
        <v>-8863.7239881322348</v>
      </c>
      <c r="AY302">
        <f t="shared" si="260"/>
        <v>-1.6187782956619938</v>
      </c>
      <c r="BA302">
        <f t="shared" si="237"/>
        <v>2.903276686241266</v>
      </c>
      <c r="BB302">
        <f t="shared" si="253"/>
        <v>9.2577685332490773</v>
      </c>
      <c r="BC302">
        <f t="shared" si="254"/>
        <v>-1.1817812493963857</v>
      </c>
      <c r="BD302">
        <f t="shared" si="238"/>
        <v>-247.71107797548146</v>
      </c>
      <c r="BF302">
        <f t="shared" si="239"/>
        <v>-33.223744220234501</v>
      </c>
      <c r="BG302">
        <f t="shared" si="240"/>
        <v>-172.81120768743628</v>
      </c>
      <c r="BH302">
        <f t="shared" si="255"/>
        <v>7.1887923125637201</v>
      </c>
      <c r="BI302">
        <f t="shared" si="256"/>
        <v>7.1887923125637201</v>
      </c>
      <c r="BJ302">
        <f t="shared" si="241"/>
        <v>0</v>
      </c>
      <c r="BK302">
        <f t="shared" si="257"/>
        <v>0</v>
      </c>
      <c r="BM302">
        <f t="shared" si="258"/>
        <v>-42.481512753483571</v>
      </c>
      <c r="BN302">
        <f t="shared" si="242"/>
        <v>-105.10012971195484</v>
      </c>
      <c r="BQ302" s="56">
        <f t="shared" si="259"/>
        <v>26.159729333534216</v>
      </c>
      <c r="BR302" s="59"/>
      <c r="BS302" s="59"/>
      <c r="BT302" s="59">
        <v>83176.376999999993</v>
      </c>
      <c r="BU302" s="59">
        <v>4.5639399999999997</v>
      </c>
      <c r="BV302" s="59">
        <v>-130.11600000000001</v>
      </c>
      <c r="BY302" s="59"/>
      <c r="BZ302" s="59"/>
      <c r="CA302" s="59"/>
      <c r="CC302" s="59"/>
    </row>
    <row r="303" spans="1:81" x14ac:dyDescent="0.25">
      <c r="A303">
        <f t="shared" si="263"/>
        <v>445000</v>
      </c>
      <c r="B303">
        <f t="shared" si="243"/>
        <v>445</v>
      </c>
      <c r="C303">
        <f t="shared" si="212"/>
        <v>3.823818016830796</v>
      </c>
      <c r="D303">
        <f t="shared" si="213"/>
        <v>1.3062009770830649</v>
      </c>
      <c r="F303">
        <f t="shared" si="214"/>
        <v>1.2944585749843134E-4</v>
      </c>
      <c r="G303">
        <f t="shared" si="215"/>
        <v>3.8705176810836708E-3</v>
      </c>
      <c r="H303">
        <f t="shared" si="216"/>
        <v>-3.1377221323189164</v>
      </c>
      <c r="J303">
        <f t="shared" si="217"/>
        <v>15</v>
      </c>
      <c r="M303">
        <f t="shared" si="218"/>
        <v>2.8589253230899571E-3</v>
      </c>
      <c r="N303">
        <f t="shared" si="219"/>
        <v>-1.5707963250000001</v>
      </c>
      <c r="O303">
        <f t="shared" si="220"/>
        <v>129.29171456271095</v>
      </c>
      <c r="P303">
        <f t="shared" si="221"/>
        <v>1.5630618020116902</v>
      </c>
      <c r="Q303">
        <f t="shared" si="222"/>
        <v>114.17136433131084</v>
      </c>
      <c r="R303">
        <f t="shared" si="223"/>
        <v>1.5620374511145665</v>
      </c>
      <c r="S303">
        <f t="shared" si="224"/>
        <v>0.27879160273608916</v>
      </c>
      <c r="T303">
        <f t="shared" si="225"/>
        <v>-1.2882607340885908</v>
      </c>
      <c r="U303">
        <f t="shared" si="226"/>
        <v>0.33736360868029075</v>
      </c>
      <c r="V303">
        <f t="shared" si="227"/>
        <v>-1.2266814165133171</v>
      </c>
      <c r="X303">
        <f t="shared" si="244"/>
        <v>-30.612294996310474</v>
      </c>
      <c r="Y303">
        <f t="shared" si="228"/>
        <v>-159.97900554932559</v>
      </c>
      <c r="Z303">
        <f t="shared" si="245"/>
        <v>20.020994450674408</v>
      </c>
      <c r="AC303">
        <v>1</v>
      </c>
      <c r="AD303">
        <f t="shared" si="229"/>
        <v>129.28784728104</v>
      </c>
      <c r="AE303">
        <f t="shared" si="230"/>
        <v>-5.4223661725450442E-2</v>
      </c>
      <c r="AF303">
        <f t="shared" si="231"/>
        <v>1.9432321336574999E-2</v>
      </c>
      <c r="AG303">
        <f t="shared" si="246"/>
        <v>740.88976631290382</v>
      </c>
      <c r="AH303">
        <f t="shared" si="247"/>
        <v>-2118.8284894662984</v>
      </c>
      <c r="AJ303">
        <f t="shared" si="232"/>
        <v>18000</v>
      </c>
      <c r="AK303">
        <f t="shared" si="233"/>
        <v>62004.483159695999</v>
      </c>
      <c r="AL303">
        <v>1</v>
      </c>
      <c r="AM303">
        <f t="shared" si="234"/>
        <v>114.166984865472</v>
      </c>
      <c r="AN303">
        <f t="shared" si="248"/>
        <v>544.44267052743476</v>
      </c>
      <c r="AO303">
        <f t="shared" si="249"/>
        <v>-152.89496652680472</v>
      </c>
      <c r="AQ303">
        <f t="shared" si="235"/>
        <v>1.2624652664243575E-2</v>
      </c>
      <c r="AR303">
        <f t="shared" si="236"/>
        <v>-11.235940871176782</v>
      </c>
      <c r="AT303">
        <f t="shared" si="261"/>
        <v>-23797.678147845949</v>
      </c>
      <c r="AU303">
        <f t="shared" si="262"/>
        <v>-8351.3430800863862</v>
      </c>
      <c r="AV303">
        <f t="shared" si="250"/>
        <v>-2.8040886730586356</v>
      </c>
      <c r="AW303">
        <f t="shared" si="251"/>
        <v>-401.99912628821875</v>
      </c>
      <c r="AX303">
        <f t="shared" si="252"/>
        <v>-8769.27751646652</v>
      </c>
      <c r="AY303">
        <f t="shared" si="260"/>
        <v>-1.6166060168274661</v>
      </c>
      <c r="BA303">
        <f t="shared" si="237"/>
        <v>2.8729912344323139</v>
      </c>
      <c r="BB303">
        <f t="shared" si="253"/>
        <v>9.1666860190141382</v>
      </c>
      <c r="BC303">
        <f t="shared" si="254"/>
        <v>-1.1874826562311696</v>
      </c>
      <c r="BD303">
        <f t="shared" si="238"/>
        <v>-248.03774452477489</v>
      </c>
      <c r="BF303">
        <f t="shared" si="239"/>
        <v>-33.419781361177684</v>
      </c>
      <c r="BG303">
        <f t="shared" si="240"/>
        <v>-172.97617692862369</v>
      </c>
      <c r="BH303">
        <f t="shared" si="255"/>
        <v>7.023823071376313</v>
      </c>
      <c r="BI303">
        <f t="shared" si="256"/>
        <v>7.023823071376313</v>
      </c>
      <c r="BJ303">
        <f t="shared" si="241"/>
        <v>0</v>
      </c>
      <c r="BK303">
        <f t="shared" si="257"/>
        <v>0</v>
      </c>
      <c r="BM303">
        <f t="shared" si="258"/>
        <v>-42.58646738019182</v>
      </c>
      <c r="BN303">
        <f t="shared" si="242"/>
        <v>-104.93843240384881</v>
      </c>
      <c r="BQ303" s="56">
        <f t="shared" si="259"/>
        <v>26.068646819299275</v>
      </c>
      <c r="BR303" s="59"/>
      <c r="BS303" s="59"/>
      <c r="BT303" s="59">
        <v>85113.804000000004</v>
      </c>
      <c r="BU303" s="59">
        <v>4.7605300000000002</v>
      </c>
      <c r="BV303" s="59">
        <v>-129.97300000000001</v>
      </c>
      <c r="BY303" s="59"/>
      <c r="BZ303" s="59"/>
      <c r="CA303" s="59"/>
      <c r="CC303" s="59"/>
    </row>
    <row r="304" spans="1:81" x14ac:dyDescent="0.25">
      <c r="A304">
        <f t="shared" si="263"/>
        <v>450000</v>
      </c>
      <c r="B304">
        <f t="shared" si="243"/>
        <v>450</v>
      </c>
      <c r="C304">
        <f t="shared" si="212"/>
        <v>3.8638590711900616</v>
      </c>
      <c r="D304">
        <f t="shared" si="213"/>
        <v>1.3090077409742333</v>
      </c>
      <c r="F304">
        <f t="shared" si="214"/>
        <v>1.2658492057540449E-4</v>
      </c>
      <c r="G304">
        <f t="shared" si="215"/>
        <v>3.8275013381396448E-3</v>
      </c>
      <c r="H304">
        <f t="shared" si="216"/>
        <v>-3.1377651486618605</v>
      </c>
      <c r="J304">
        <f t="shared" si="217"/>
        <v>15</v>
      </c>
      <c r="M304">
        <f t="shared" si="218"/>
        <v>2.8271594861667354E-3</v>
      </c>
      <c r="N304">
        <f t="shared" si="219"/>
        <v>-1.5707963250000001</v>
      </c>
      <c r="O304">
        <f t="shared" si="220"/>
        <v>130.74434403553855</v>
      </c>
      <c r="P304">
        <f t="shared" si="221"/>
        <v>1.5631477378054794</v>
      </c>
      <c r="Q304">
        <f t="shared" si="222"/>
        <v>115.45409078326286</v>
      </c>
      <c r="R304">
        <f t="shared" si="223"/>
        <v>1.5621347670606796</v>
      </c>
      <c r="S304">
        <f t="shared" si="224"/>
        <v>0.27593099256585085</v>
      </c>
      <c r="T304">
        <f t="shared" si="225"/>
        <v>-1.2912381629473078</v>
      </c>
      <c r="U304">
        <f t="shared" si="226"/>
        <v>0.33403546382799293</v>
      </c>
      <c r="V304">
        <f t="shared" si="227"/>
        <v>-1.2302145973527596</v>
      </c>
      <c r="X304">
        <f t="shared" si="244"/>
        <v>-30.794597690943363</v>
      </c>
      <c r="Y304">
        <f t="shared" si="228"/>
        <v>-160.18318538588264</v>
      </c>
      <c r="Z304">
        <f t="shared" si="245"/>
        <v>19.816814614117362</v>
      </c>
      <c r="AC304">
        <v>1</v>
      </c>
      <c r="AD304">
        <f t="shared" si="229"/>
        <v>130.74051972239999</v>
      </c>
      <c r="AE304">
        <f t="shared" si="230"/>
        <v>-5.5449016535304714E-2</v>
      </c>
      <c r="AF304">
        <f t="shared" si="231"/>
        <v>1.9650662025749999E-2</v>
      </c>
      <c r="AG304">
        <f t="shared" si="246"/>
        <v>726.3438834493993</v>
      </c>
      <c r="AH304">
        <f t="shared" si="247"/>
        <v>-2100.4408884350482</v>
      </c>
      <c r="AJ304">
        <f t="shared" si="232"/>
        <v>18000</v>
      </c>
      <c r="AK304">
        <f t="shared" si="233"/>
        <v>62701.162745759997</v>
      </c>
      <c r="AL304">
        <v>1</v>
      </c>
      <c r="AM304">
        <f t="shared" si="234"/>
        <v>115.44975997632</v>
      </c>
      <c r="AN304">
        <f t="shared" si="248"/>
        <v>544.41307758928656</v>
      </c>
      <c r="AO304">
        <f t="shared" si="249"/>
        <v>-151.19638989280745</v>
      </c>
      <c r="AQ304">
        <f t="shared" si="235"/>
        <v>1.2345663770785468E-2</v>
      </c>
      <c r="AR304">
        <f t="shared" si="236"/>
        <v>-11.111097393706922</v>
      </c>
      <c r="AT304">
        <f t="shared" si="261"/>
        <v>-23329.236083759082</v>
      </c>
      <c r="AU304">
        <f t="shared" si="262"/>
        <v>-8096.4089673086137</v>
      </c>
      <c r="AV304">
        <f t="shared" si="250"/>
        <v>-2.8075484024832096</v>
      </c>
      <c r="AW304">
        <f t="shared" si="251"/>
        <v>-379.232230808878</v>
      </c>
      <c r="AX304">
        <f t="shared" si="252"/>
        <v>-8676.7883106142235</v>
      </c>
      <c r="AY304">
        <f t="shared" si="260"/>
        <v>-1.6144750494109896</v>
      </c>
      <c r="BA304">
        <f t="shared" si="237"/>
        <v>2.8432962359370157</v>
      </c>
      <c r="BB304">
        <f t="shared" si="253"/>
        <v>9.0764422021134799</v>
      </c>
      <c r="BC304">
        <f t="shared" si="254"/>
        <v>-1.19307335307222</v>
      </c>
      <c r="BD304">
        <f t="shared" si="238"/>
        <v>-248.35806785867021</v>
      </c>
      <c r="BF304">
        <f t="shared" si="239"/>
        <v>-33.613667592772643</v>
      </c>
      <c r="BG304">
        <f t="shared" si="240"/>
        <v>-173.13814919218518</v>
      </c>
      <c r="BH304">
        <f t="shared" si="255"/>
        <v>6.8618508078148182</v>
      </c>
      <c r="BI304">
        <f t="shared" si="256"/>
        <v>6.8618508078148182</v>
      </c>
      <c r="BJ304">
        <f t="shared" si="241"/>
        <v>0</v>
      </c>
      <c r="BK304">
        <f t="shared" si="257"/>
        <v>0</v>
      </c>
      <c r="BM304">
        <f t="shared" si="258"/>
        <v>-42.690109794886126</v>
      </c>
      <c r="BN304">
        <f t="shared" si="242"/>
        <v>-104.78008133351499</v>
      </c>
      <c r="BQ304" s="56">
        <f t="shared" si="259"/>
        <v>25.978403002398615</v>
      </c>
      <c r="BR304" s="59"/>
      <c r="BS304" s="59"/>
      <c r="BT304" s="59">
        <v>87096.358999999997</v>
      </c>
      <c r="BU304" s="59">
        <v>4.9475499999999997</v>
      </c>
      <c r="BV304" s="59">
        <v>-129.96199999999999</v>
      </c>
      <c r="BY304" s="59"/>
      <c r="BZ304" s="59"/>
      <c r="CA304" s="59"/>
      <c r="CC304" s="59"/>
    </row>
    <row r="305" spans="1:81" x14ac:dyDescent="0.25">
      <c r="A305">
        <f t="shared" si="263"/>
        <v>455000</v>
      </c>
      <c r="B305">
        <f t="shared" si="243"/>
        <v>455</v>
      </c>
      <c r="C305">
        <f t="shared" si="212"/>
        <v>3.9039299401922518</v>
      </c>
      <c r="D305">
        <f t="shared" si="213"/>
        <v>1.3117569075648348</v>
      </c>
      <c r="F305">
        <f t="shared" si="214"/>
        <v>1.2381779582815253E-4</v>
      </c>
      <c r="G305">
        <f t="shared" si="215"/>
        <v>3.7854307527930915E-3</v>
      </c>
      <c r="H305">
        <f t="shared" si="216"/>
        <v>-3.1378072192472071</v>
      </c>
      <c r="J305">
        <f t="shared" si="217"/>
        <v>15</v>
      </c>
      <c r="M305">
        <f t="shared" si="218"/>
        <v>2.7960917995055626E-3</v>
      </c>
      <c r="N305">
        <f t="shared" si="219"/>
        <v>-1.5707963250000001</v>
      </c>
      <c r="O305">
        <f t="shared" si="220"/>
        <v>132.19697445268849</v>
      </c>
      <c r="P305">
        <f t="shared" si="221"/>
        <v>1.5632317850097872</v>
      </c>
      <c r="Q305">
        <f t="shared" si="222"/>
        <v>116.73681830458166</v>
      </c>
      <c r="R305">
        <f t="shared" si="223"/>
        <v>1.5622299443534955</v>
      </c>
      <c r="S305">
        <f t="shared" si="224"/>
        <v>0.27312614216445269</v>
      </c>
      <c r="T305">
        <f t="shared" si="225"/>
        <v>-1.2941550858439501</v>
      </c>
      <c r="U305">
        <f t="shared" si="226"/>
        <v>0.33076833399265726</v>
      </c>
      <c r="V305">
        <f t="shared" si="227"/>
        <v>-1.233678706153319</v>
      </c>
      <c r="X305">
        <f t="shared" si="244"/>
        <v>-30.975113341441272</v>
      </c>
      <c r="Y305">
        <f t="shared" si="228"/>
        <v>-160.38341758819197</v>
      </c>
      <c r="Z305">
        <f t="shared" si="245"/>
        <v>19.616582411808025</v>
      </c>
      <c r="AC305">
        <v>1</v>
      </c>
      <c r="AD305">
        <f t="shared" si="229"/>
        <v>132.19319216375999</v>
      </c>
      <c r="AE305">
        <f t="shared" si="230"/>
        <v>-5.6688062460352878E-2</v>
      </c>
      <c r="AF305">
        <f t="shared" si="231"/>
        <v>1.9869002714924998E-2</v>
      </c>
      <c r="AG305">
        <f t="shared" si="246"/>
        <v>712.204938148314</v>
      </c>
      <c r="AH305">
        <f t="shared" si="247"/>
        <v>-2082.3147800591337</v>
      </c>
      <c r="AJ305">
        <f t="shared" si="232"/>
        <v>18000</v>
      </c>
      <c r="AK305">
        <f t="shared" si="233"/>
        <v>63397.842331823995</v>
      </c>
      <c r="AL305">
        <v>1</v>
      </c>
      <c r="AM305">
        <f t="shared" si="234"/>
        <v>116.732535087168</v>
      </c>
      <c r="AN305">
        <f t="shared" si="248"/>
        <v>544.38445477667233</v>
      </c>
      <c r="AO305">
        <f t="shared" si="249"/>
        <v>-149.53513630273383</v>
      </c>
      <c r="AQ305">
        <f t="shared" si="235"/>
        <v>1.207582166909592E-2</v>
      </c>
      <c r="AR305">
        <f t="shared" si="236"/>
        <v>-10.988997718877286</v>
      </c>
      <c r="AT305">
        <f t="shared" si="261"/>
        <v>-22873.951908229352</v>
      </c>
      <c r="AU305">
        <f t="shared" si="262"/>
        <v>-7851.5641026278772</v>
      </c>
      <c r="AV305">
        <f t="shared" si="250"/>
        <v>-2.810940674076762</v>
      </c>
      <c r="AW305">
        <f t="shared" si="251"/>
        <v>-357.28378700302733</v>
      </c>
      <c r="AX305">
        <f t="shared" si="252"/>
        <v>-8586.1967127678945</v>
      </c>
      <c r="AY305">
        <f t="shared" si="260"/>
        <v>-1.6123837489635739</v>
      </c>
      <c r="BA305">
        <f t="shared" si="237"/>
        <v>2.8141757499145976</v>
      </c>
      <c r="BB305">
        <f t="shared" si="253"/>
        <v>8.9870243270397463</v>
      </c>
      <c r="BC305">
        <f t="shared" si="254"/>
        <v>-1.198556925113188</v>
      </c>
      <c r="BD305">
        <f t="shared" si="238"/>
        <v>-248.67225339363262</v>
      </c>
      <c r="BF305">
        <f t="shared" si="239"/>
        <v>-33.80544881627533</v>
      </c>
      <c r="BG305">
        <f t="shared" si="240"/>
        <v>-173.29722955113255</v>
      </c>
      <c r="BH305">
        <f t="shared" si="255"/>
        <v>6.7027704488674544</v>
      </c>
      <c r="BI305">
        <f t="shared" si="256"/>
        <v>6.7027704488674544</v>
      </c>
      <c r="BJ305">
        <f t="shared" si="241"/>
        <v>0</v>
      </c>
      <c r="BK305">
        <f t="shared" si="257"/>
        <v>0</v>
      </c>
      <c r="BM305">
        <f t="shared" si="258"/>
        <v>-42.792473143315071</v>
      </c>
      <c r="BN305">
        <f t="shared" si="242"/>
        <v>-104.62497615749992</v>
      </c>
      <c r="BQ305" s="56">
        <f t="shared" si="259"/>
        <v>25.888985127324883</v>
      </c>
      <c r="BR305" s="59"/>
      <c r="BS305" s="59"/>
      <c r="BT305" s="59">
        <v>89125.093999999997</v>
      </c>
      <c r="BU305" s="59">
        <v>5.2143100000000002</v>
      </c>
      <c r="BV305" s="59">
        <v>-129.73099999999999</v>
      </c>
      <c r="BY305" s="59"/>
      <c r="BZ305" s="59"/>
      <c r="CA305" s="59"/>
      <c r="CC305" s="59"/>
    </row>
    <row r="306" spans="1:81" x14ac:dyDescent="0.25">
      <c r="A306">
        <f t="shared" si="263"/>
        <v>460000</v>
      </c>
      <c r="B306">
        <f t="shared" si="243"/>
        <v>460</v>
      </c>
      <c r="C306">
        <f t="shared" si="212"/>
        <v>3.94402971509788</v>
      </c>
      <c r="D306">
        <f t="shared" si="213"/>
        <v>1.3144501914643445</v>
      </c>
      <c r="F306">
        <f t="shared" si="214"/>
        <v>1.2114042593079565E-4</v>
      </c>
      <c r="G306">
        <f t="shared" si="215"/>
        <v>3.7442750704291261E-3</v>
      </c>
      <c r="H306">
        <f t="shared" si="216"/>
        <v>-3.1378483749295709</v>
      </c>
      <c r="J306">
        <f t="shared" si="217"/>
        <v>15</v>
      </c>
      <c r="M306">
        <f t="shared" si="218"/>
        <v>2.7656994973370239E-3</v>
      </c>
      <c r="N306">
        <f t="shared" si="219"/>
        <v>-1.5707963250000001</v>
      </c>
      <c r="O306">
        <f t="shared" si="220"/>
        <v>133.64960578336945</v>
      </c>
      <c r="P306">
        <f t="shared" si="221"/>
        <v>1.5633140052043795</v>
      </c>
      <c r="Q306">
        <f t="shared" si="222"/>
        <v>118.0195468603991</v>
      </c>
      <c r="R306">
        <f t="shared" si="223"/>
        <v>1.5623230527249212</v>
      </c>
      <c r="S306">
        <f t="shared" si="224"/>
        <v>0.27037550932455101</v>
      </c>
      <c r="T306">
        <f t="shared" si="225"/>
        <v>-1.2970132804306673</v>
      </c>
      <c r="U306">
        <f t="shared" si="226"/>
        <v>0.32756067808835171</v>
      </c>
      <c r="V306">
        <f t="shared" si="227"/>
        <v>-1.2370756680433921</v>
      </c>
      <c r="X306">
        <f t="shared" si="244"/>
        <v>-31.153874771595362</v>
      </c>
      <c r="Y306">
        <f t="shared" si="228"/>
        <v>-160.57981031429944</v>
      </c>
      <c r="Z306">
        <f t="shared" si="245"/>
        <v>19.420189685700564</v>
      </c>
      <c r="AC306">
        <v>1</v>
      </c>
      <c r="AD306">
        <f t="shared" si="229"/>
        <v>133.64586460512001</v>
      </c>
      <c r="AE306">
        <f t="shared" si="230"/>
        <v>-5.7940799500594956E-2</v>
      </c>
      <c r="AF306">
        <f t="shared" si="231"/>
        <v>2.0087343404100001E-2</v>
      </c>
      <c r="AG306">
        <f t="shared" si="246"/>
        <v>698.45857232210494</v>
      </c>
      <c r="AH306">
        <f t="shared" si="247"/>
        <v>-2064.4466151717534</v>
      </c>
      <c r="AJ306">
        <f t="shared" si="232"/>
        <v>18000</v>
      </c>
      <c r="AK306">
        <f t="shared" si="233"/>
        <v>64094.521917888</v>
      </c>
      <c r="AL306">
        <v>1</v>
      </c>
      <c r="AM306">
        <f t="shared" si="234"/>
        <v>118.015310198016</v>
      </c>
      <c r="AN306">
        <f t="shared" si="248"/>
        <v>544.35676014538183</v>
      </c>
      <c r="AO306">
        <f t="shared" si="249"/>
        <v>-147.90998905621714</v>
      </c>
      <c r="AQ306">
        <f t="shared" si="235"/>
        <v>1.1814730842709308E-2</v>
      </c>
      <c r="AR306">
        <f t="shared" si="236"/>
        <v>-10.869552375292562</v>
      </c>
      <c r="AT306">
        <f t="shared" si="261"/>
        <v>-22431.358509568054</v>
      </c>
      <c r="AU306">
        <f t="shared" si="262"/>
        <v>-7616.3229149245835</v>
      </c>
      <c r="AV306">
        <f t="shared" si="250"/>
        <v>-2.8142673603351369</v>
      </c>
      <c r="AW306">
        <f t="shared" si="251"/>
        <v>-336.11507098145529</v>
      </c>
      <c r="AX306">
        <f t="shared" si="252"/>
        <v>-8497.4454656324451</v>
      </c>
      <c r="AY306">
        <f t="shared" si="260"/>
        <v>-1.6103305542477733</v>
      </c>
      <c r="BA306">
        <f t="shared" si="237"/>
        <v>2.7856143409250378</v>
      </c>
      <c r="BB306">
        <f t="shared" si="253"/>
        <v>8.8984197923561119</v>
      </c>
      <c r="BC306">
        <f t="shared" si="254"/>
        <v>-1.2039368060873636</v>
      </c>
      <c r="BD306">
        <f t="shared" si="238"/>
        <v>-248.98049786808787</v>
      </c>
      <c r="BF306">
        <f t="shared" si="239"/>
        <v>-33.995169533431159</v>
      </c>
      <c r="BG306">
        <f t="shared" si="240"/>
        <v>-173.4535182718441</v>
      </c>
      <c r="BH306">
        <f t="shared" si="255"/>
        <v>6.5464817281558965</v>
      </c>
      <c r="BI306">
        <f t="shared" si="256"/>
        <v>6.5464817281558965</v>
      </c>
      <c r="BJ306">
        <f t="shared" si="241"/>
        <v>0</v>
      </c>
      <c r="BK306">
        <f t="shared" si="257"/>
        <v>0</v>
      </c>
      <c r="BM306">
        <f t="shared" si="258"/>
        <v>-42.893589325787275</v>
      </c>
      <c r="BN306">
        <f t="shared" si="242"/>
        <v>-104.47302040375627</v>
      </c>
      <c r="BQ306" s="56">
        <f t="shared" si="259"/>
        <v>25.800380592641247</v>
      </c>
      <c r="BR306" s="59"/>
      <c r="BS306" s="59"/>
      <c r="BT306" s="59">
        <v>91201.084000000003</v>
      </c>
      <c r="BU306" s="59">
        <v>5.4050900000000004</v>
      </c>
      <c r="BV306" s="59">
        <v>-129.68299999999999</v>
      </c>
      <c r="BY306" s="59"/>
      <c r="BZ306" s="59"/>
      <c r="CA306" s="59"/>
      <c r="CC306" s="59"/>
    </row>
    <row r="307" spans="1:81" x14ac:dyDescent="0.25">
      <c r="A307">
        <f t="shared" si="263"/>
        <v>465000</v>
      </c>
      <c r="B307">
        <f t="shared" si="243"/>
        <v>465</v>
      </c>
      <c r="C307">
        <f t="shared" si="212"/>
        <v>3.984157523110059</v>
      </c>
      <c r="D307">
        <f t="shared" si="213"/>
        <v>1.3170892415232247</v>
      </c>
      <c r="F307">
        <f t="shared" si="214"/>
        <v>1.1854897056357564E-4</v>
      </c>
      <c r="G307">
        <f t="shared" si="215"/>
        <v>3.7040047642904815E-3</v>
      </c>
      <c r="H307">
        <f t="shared" si="216"/>
        <v>-3.1378886452357095</v>
      </c>
      <c r="J307">
        <f t="shared" si="217"/>
        <v>15</v>
      </c>
      <c r="M307">
        <f t="shared" si="218"/>
        <v>2.7359607930645827E-3</v>
      </c>
      <c r="N307">
        <f t="shared" si="219"/>
        <v>-1.5707963250000001</v>
      </c>
      <c r="O307">
        <f t="shared" si="220"/>
        <v>135.10223799811433</v>
      </c>
      <c r="P307">
        <f t="shared" si="221"/>
        <v>1.5633944573206771</v>
      </c>
      <c r="Q307">
        <f t="shared" si="222"/>
        <v>119.30227641734669</v>
      </c>
      <c r="R307">
        <f t="shared" si="223"/>
        <v>1.5624141589080007</v>
      </c>
      <c r="S307">
        <f t="shared" si="224"/>
        <v>0.26767760517429395</v>
      </c>
      <c r="T307">
        <f t="shared" si="225"/>
        <v>-1.2998144573333441</v>
      </c>
      <c r="U307">
        <f t="shared" si="226"/>
        <v>0.32441100143321971</v>
      </c>
      <c r="V307">
        <f t="shared" si="227"/>
        <v>-1.2404073404395961</v>
      </c>
      <c r="X307">
        <f t="shared" si="244"/>
        <v>-31.330913956030425</v>
      </c>
      <c r="Y307">
        <f t="shared" si="228"/>
        <v>-160.77246801752432</v>
      </c>
      <c r="Z307">
        <f t="shared" si="245"/>
        <v>19.227531982475682</v>
      </c>
      <c r="AC307">
        <v>1</v>
      </c>
      <c r="AD307">
        <f t="shared" si="229"/>
        <v>135.09853704648</v>
      </c>
      <c r="AE307">
        <f t="shared" si="230"/>
        <v>-5.9207227656030925E-2</v>
      </c>
      <c r="AF307">
        <f t="shared" si="231"/>
        <v>2.0305684093275E-2</v>
      </c>
      <c r="AG307">
        <f t="shared" si="246"/>
        <v>685.09102187786573</v>
      </c>
      <c r="AH307">
        <f t="shared" si="247"/>
        <v>-2046.8327935423072</v>
      </c>
      <c r="AJ307">
        <f t="shared" si="232"/>
        <v>18000</v>
      </c>
      <c r="AK307">
        <f t="shared" si="233"/>
        <v>64791.20150395199</v>
      </c>
      <c r="AL307">
        <v>1</v>
      </c>
      <c r="AM307">
        <f t="shared" si="234"/>
        <v>119.298085308864</v>
      </c>
      <c r="AN307">
        <f t="shared" si="248"/>
        <v>544.32995399375727</v>
      </c>
      <c r="AO307">
        <f t="shared" si="249"/>
        <v>-146.31978376529122</v>
      </c>
      <c r="AQ307">
        <f t="shared" si="235"/>
        <v>1.1562016924480374E-2</v>
      </c>
      <c r="AR307">
        <f t="shared" si="236"/>
        <v>-10.752675739766747</v>
      </c>
      <c r="AT307">
        <f t="shared" si="261"/>
        <v>-22001.008288491605</v>
      </c>
      <c r="AU307">
        <f t="shared" si="262"/>
        <v>-7390.2271258786541</v>
      </c>
      <c r="AV307">
        <f t="shared" si="250"/>
        <v>-2.8175302683059171</v>
      </c>
      <c r="AW307">
        <f t="shared" si="251"/>
        <v>-315.68960831892679</v>
      </c>
      <c r="AX307">
        <f t="shared" si="252"/>
        <v>-8410.479591614152</v>
      </c>
      <c r="AY307">
        <f t="shared" si="260"/>
        <v>-1.6083139822511507</v>
      </c>
      <c r="BA307">
        <f t="shared" si="237"/>
        <v>2.7575970635001505</v>
      </c>
      <c r="BB307">
        <f t="shared" si="253"/>
        <v>8.8106161586044411</v>
      </c>
      <c r="BC307">
        <f t="shared" si="254"/>
        <v>-1.2092162860547664</v>
      </c>
      <c r="BD307">
        <f t="shared" si="238"/>
        <v>-249.28298978858953</v>
      </c>
      <c r="BF307">
        <f t="shared" si="239"/>
        <v>-34.182872899742854</v>
      </c>
      <c r="BG307">
        <f t="shared" si="240"/>
        <v>-173.6071110804595</v>
      </c>
      <c r="BH307">
        <f t="shared" si="255"/>
        <v>6.3928889195404963</v>
      </c>
      <c r="BI307">
        <f t="shared" si="256"/>
        <v>6.3928889195404963</v>
      </c>
      <c r="BJ307">
        <f t="shared" si="241"/>
        <v>0</v>
      </c>
      <c r="BK307">
        <f t="shared" si="257"/>
        <v>0</v>
      </c>
      <c r="BM307">
        <f t="shared" si="258"/>
        <v>-42.993489058347294</v>
      </c>
      <c r="BN307">
        <f t="shared" si="242"/>
        <v>-104.32412129186999</v>
      </c>
      <c r="BQ307" s="56">
        <f t="shared" si="259"/>
        <v>25.712576958889578</v>
      </c>
      <c r="BR307" s="59"/>
      <c r="BS307" s="59"/>
      <c r="BT307" s="59">
        <v>93325.43</v>
      </c>
      <c r="BU307" s="59">
        <v>5.6014999999999997</v>
      </c>
      <c r="BV307" s="59">
        <v>-129.64400000000001</v>
      </c>
      <c r="BY307" s="59"/>
      <c r="BZ307" s="59"/>
      <c r="CA307" s="59"/>
      <c r="CC307" s="59"/>
    </row>
    <row r="308" spans="1:81" x14ac:dyDescent="0.25">
      <c r="A308">
        <f t="shared" si="263"/>
        <v>470000</v>
      </c>
      <c r="B308">
        <f t="shared" si="243"/>
        <v>470</v>
      </c>
      <c r="C308">
        <f t="shared" si="212"/>
        <v>4.0243125256455583</v>
      </c>
      <c r="D308">
        <f t="shared" si="213"/>
        <v>1.3196756438735098</v>
      </c>
      <c r="F308">
        <f t="shared" si="214"/>
        <v>1.1603979263200486E-4</v>
      </c>
      <c r="G308">
        <f t="shared" si="215"/>
        <v>3.6645915647979506E-3</v>
      </c>
      <c r="H308">
        <f t="shared" si="216"/>
        <v>-3.1379280584352021</v>
      </c>
      <c r="J308">
        <f t="shared" si="217"/>
        <v>15</v>
      </c>
      <c r="M308">
        <f t="shared" si="218"/>
        <v>2.7068548271809174E-3</v>
      </c>
      <c r="N308">
        <f t="shared" si="219"/>
        <v>-1.5707963250000001</v>
      </c>
      <c r="O308">
        <f t="shared" si="220"/>
        <v>136.55487106870982</v>
      </c>
      <c r="P308">
        <f t="shared" si="221"/>
        <v>1.56347319778261</v>
      </c>
      <c r="Q308">
        <f t="shared" si="222"/>
        <v>120.58500694347565</v>
      </c>
      <c r="R308">
        <f t="shared" si="223"/>
        <v>1.5625033267964068</v>
      </c>
      <c r="S308">
        <f t="shared" si="224"/>
        <v>0.26503099205186503</v>
      </c>
      <c r="T308">
        <f t="shared" si="225"/>
        <v>-1.3025602631841777</v>
      </c>
      <c r="U308">
        <f t="shared" si="226"/>
        <v>0.3213178542913997</v>
      </c>
      <c r="V308">
        <f t="shared" si="227"/>
        <v>-1.2436755158415607</v>
      </c>
      <c r="X308">
        <f t="shared" si="244"/>
        <v>-31.506262047843272</v>
      </c>
      <c r="Y308">
        <f t="shared" si="228"/>
        <v>-160.96149159297102</v>
      </c>
      <c r="Z308">
        <f t="shared" si="245"/>
        <v>19.038508407028985</v>
      </c>
      <c r="AC308">
        <v>1</v>
      </c>
      <c r="AD308">
        <f t="shared" si="229"/>
        <v>136.55120948784</v>
      </c>
      <c r="AE308">
        <f t="shared" si="230"/>
        <v>-6.048734692666078E-2</v>
      </c>
      <c r="AF308">
        <f t="shared" si="231"/>
        <v>2.0524024782449999E-2</v>
      </c>
      <c r="AG308">
        <f t="shared" si="246"/>
        <v>672.08908949567638</v>
      </c>
      <c r="AH308">
        <f t="shared" si="247"/>
        <v>-2029.4696758291648</v>
      </c>
      <c r="AJ308">
        <f t="shared" si="232"/>
        <v>18000</v>
      </c>
      <c r="AK308">
        <f t="shared" si="233"/>
        <v>65487.881090016002</v>
      </c>
      <c r="AL308">
        <v>1</v>
      </c>
      <c r="AM308">
        <f t="shared" si="234"/>
        <v>120.580860419712</v>
      </c>
      <c r="AN308">
        <f t="shared" si="248"/>
        <v>544.30399872034491</v>
      </c>
      <c r="AO308">
        <f t="shared" si="249"/>
        <v>-144.76340557299656</v>
      </c>
      <c r="AQ308">
        <f t="shared" si="235"/>
        <v>1.131732535386447E-2</v>
      </c>
      <c r="AR308">
        <f t="shared" si="236"/>
        <v>-10.638285832632603</v>
      </c>
      <c r="AT308">
        <f t="shared" si="261"/>
        <v>-21582.472249238279</v>
      </c>
      <c r="AU308">
        <f t="shared" si="262"/>
        <v>-7172.8440076659599</v>
      </c>
      <c r="AV308">
        <f t="shared" si="250"/>
        <v>-2.8207311422628334</v>
      </c>
      <c r="AW308">
        <f t="shared" si="251"/>
        <v>-295.97302045398965</v>
      </c>
      <c r="AX308">
        <f t="shared" si="252"/>
        <v>-8325.2462793818668</v>
      </c>
      <c r="AY308">
        <f t="shared" si="260"/>
        <v>-1.6063326235391691</v>
      </c>
      <c r="BA308">
        <f t="shared" si="237"/>
        <v>2.7301094468627545</v>
      </c>
      <c r="BB308">
        <f t="shared" si="253"/>
        <v>8.7236011548502042</v>
      </c>
      <c r="BC308">
        <f t="shared" si="254"/>
        <v>-1.2143985187236643</v>
      </c>
      <c r="BD308">
        <f t="shared" si="238"/>
        <v>-249.57990984931149</v>
      </c>
      <c r="BF308">
        <f t="shared" si="239"/>
        <v>-34.368600775440719</v>
      </c>
      <c r="BG308">
        <f t="shared" si="240"/>
        <v>-173.75809941220871</v>
      </c>
      <c r="BH308">
        <f t="shared" si="255"/>
        <v>6.2419005877912923</v>
      </c>
      <c r="BI308">
        <f t="shared" si="256"/>
        <v>6.2419005877912923</v>
      </c>
      <c r="BJ308">
        <f t="shared" si="241"/>
        <v>0</v>
      </c>
      <c r="BK308">
        <f t="shared" si="257"/>
        <v>0</v>
      </c>
      <c r="BM308">
        <f t="shared" si="258"/>
        <v>-43.092201930290919</v>
      </c>
      <c r="BN308">
        <f t="shared" si="242"/>
        <v>-104.17818956289722</v>
      </c>
      <c r="BQ308" s="56">
        <f t="shared" si="259"/>
        <v>25.625561955135339</v>
      </c>
      <c r="BR308" s="59"/>
      <c r="BS308" s="59"/>
      <c r="BT308" s="59">
        <v>95499.259000000005</v>
      </c>
      <c r="BU308" s="59">
        <v>5.7946099999999996</v>
      </c>
      <c r="BV308" s="59">
        <v>-129.63</v>
      </c>
      <c r="BY308" s="59"/>
      <c r="BZ308" s="59"/>
      <c r="CA308" s="59"/>
      <c r="CC308" s="59"/>
    </row>
    <row r="309" spans="1:81" x14ac:dyDescent="0.25">
      <c r="A309">
        <f t="shared" si="263"/>
        <v>475000</v>
      </c>
      <c r="B309">
        <f t="shared" si="243"/>
        <v>475</v>
      </c>
      <c r="C309">
        <f t="shared" si="212"/>
        <v>4.0644939167028911</v>
      </c>
      <c r="D309">
        <f t="shared" si="213"/>
        <v>1.3222109248071723</v>
      </c>
      <c r="F309">
        <f t="shared" si="214"/>
        <v>1.1360944549635135E-4</v>
      </c>
      <c r="G309">
        <f t="shared" si="215"/>
        <v>3.6260083933383276E-3</v>
      </c>
      <c r="H309">
        <f t="shared" si="216"/>
        <v>-3.1379666416066621</v>
      </c>
      <c r="J309">
        <f t="shared" si="217"/>
        <v>15</v>
      </c>
      <c r="M309">
        <f t="shared" si="218"/>
        <v>2.6783616184737498E-3</v>
      </c>
      <c r="N309">
        <f t="shared" si="219"/>
        <v>-1.5707963250000001</v>
      </c>
      <c r="O309">
        <f t="shared" si="220"/>
        <v>138.00750496813052</v>
      </c>
      <c r="P309">
        <f t="shared" si="221"/>
        <v>1.5635502806385757</v>
      </c>
      <c r="Q309">
        <f t="shared" si="222"/>
        <v>121.86773840818238</v>
      </c>
      <c r="R309">
        <f t="shared" si="223"/>
        <v>1.5625906175938611</v>
      </c>
      <c r="S309">
        <f t="shared" si="224"/>
        <v>0.26243428147030001</v>
      </c>
      <c r="T309">
        <f t="shared" si="225"/>
        <v>-1.3052522834969162</v>
      </c>
      <c r="U309">
        <f t="shared" si="226"/>
        <v>0.31827983045015285</v>
      </c>
      <c r="V309">
        <f t="shared" si="227"/>
        <v>-1.246881924498763</v>
      </c>
      <c r="X309">
        <f t="shared" si="244"/>
        <v>-31.679949405164152</v>
      </c>
      <c r="Y309">
        <f t="shared" si="228"/>
        <v>-161.1469785178202</v>
      </c>
      <c r="Z309">
        <f t="shared" si="245"/>
        <v>18.853021482179798</v>
      </c>
      <c r="AC309">
        <v>1</v>
      </c>
      <c r="AD309">
        <f t="shared" si="229"/>
        <v>138.00388192919999</v>
      </c>
      <c r="AE309">
        <f t="shared" si="230"/>
        <v>-6.1781157312484562E-2</v>
      </c>
      <c r="AF309">
        <f t="shared" si="231"/>
        <v>2.0742365471624998E-2</v>
      </c>
      <c r="AG309">
        <f t="shared" si="246"/>
        <v>659.44011870640963</v>
      </c>
      <c r="AH309">
        <f t="shared" si="247"/>
        <v>-2012.3535943412396</v>
      </c>
      <c r="AJ309">
        <f t="shared" si="232"/>
        <v>18000</v>
      </c>
      <c r="AK309">
        <f t="shared" si="233"/>
        <v>66184.56067608</v>
      </c>
      <c r="AL309">
        <v>1</v>
      </c>
      <c r="AM309">
        <f t="shared" si="234"/>
        <v>121.86363553056</v>
      </c>
      <c r="AN309">
        <f t="shared" si="248"/>
        <v>544.27885869197144</v>
      </c>
      <c r="AO309">
        <f t="shared" si="249"/>
        <v>-143.23978654756792</v>
      </c>
      <c r="AQ309">
        <f t="shared" si="235"/>
        <v>1.1080320132609272E-2</v>
      </c>
      <c r="AR309">
        <f t="shared" si="236"/>
        <v>-10.526304125978807</v>
      </c>
      <c r="AT309">
        <f t="shared" si="261"/>
        <v>-21175.339135418919</v>
      </c>
      <c r="AU309">
        <f t="shared" si="262"/>
        <v>-6963.7647644205426</v>
      </c>
      <c r="AV309">
        <f t="shared" si="250"/>
        <v>-2.8238716662598162</v>
      </c>
      <c r="AW309">
        <f t="shared" si="251"/>
        <v>-276.93288306142483</v>
      </c>
      <c r="AX309">
        <f t="shared" si="252"/>
        <v>-8241.6947772663807</v>
      </c>
      <c r="AY309">
        <f t="shared" si="260"/>
        <v>-1.6043851379220375</v>
      </c>
      <c r="BA309">
        <f t="shared" si="237"/>
        <v>2.7031374798493228</v>
      </c>
      <c r="BB309">
        <f t="shared" si="253"/>
        <v>8.6373626840195286</v>
      </c>
      <c r="BC309">
        <f t="shared" si="254"/>
        <v>-1.2194865283377787</v>
      </c>
      <c r="BD309">
        <f t="shared" si="238"/>
        <v>-249.87143132665534</v>
      </c>
      <c r="BF309">
        <f t="shared" si="239"/>
        <v>-34.552393774255641</v>
      </c>
      <c r="BG309">
        <f t="shared" si="240"/>
        <v>-173.90657064489511</v>
      </c>
      <c r="BH309">
        <f t="shared" si="255"/>
        <v>6.0934293551048881</v>
      </c>
      <c r="BI309">
        <f t="shared" si="256"/>
        <v>6.0934293551048881</v>
      </c>
      <c r="BJ309">
        <f t="shared" si="241"/>
        <v>0</v>
      </c>
      <c r="BK309">
        <f t="shared" si="257"/>
        <v>0</v>
      </c>
      <c r="BM309">
        <f t="shared" si="258"/>
        <v>-43.18975645827517</v>
      </c>
      <c r="BN309">
        <f t="shared" si="242"/>
        <v>-104.0351393182398</v>
      </c>
      <c r="BQ309" s="56">
        <f t="shared" si="259"/>
        <v>25.539323484304667</v>
      </c>
      <c r="BR309" s="59"/>
      <c r="BS309" s="59"/>
      <c r="BT309" s="59">
        <v>97723.721999999994</v>
      </c>
      <c r="BU309" s="59">
        <v>5.9855799999999997</v>
      </c>
      <c r="BV309" s="59">
        <v>-129.62100000000001</v>
      </c>
      <c r="BY309" s="59"/>
      <c r="BZ309" s="59"/>
      <c r="CA309" s="59"/>
      <c r="CC309" s="59"/>
    </row>
    <row r="310" spans="1:81" x14ac:dyDescent="0.25">
      <c r="A310">
        <f t="shared" si="263"/>
        <v>480000</v>
      </c>
      <c r="B310">
        <f t="shared" si="243"/>
        <v>480</v>
      </c>
      <c r="C310">
        <f t="shared" si="212"/>
        <v>4.1047009213212746</v>
      </c>
      <c r="D310">
        <f t="shared" si="213"/>
        <v>1.3246965535019324</v>
      </c>
      <c r="F310">
        <f t="shared" si="214"/>
        <v>1.1125466112768134E-4</v>
      </c>
      <c r="G310">
        <f t="shared" si="215"/>
        <v>3.588229300193826E-3</v>
      </c>
      <c r="H310">
        <f t="shared" si="216"/>
        <v>-3.1380044206998066</v>
      </c>
      <c r="J310">
        <f t="shared" si="217"/>
        <v>15</v>
      </c>
      <c r="M310">
        <f t="shared" si="218"/>
        <v>2.650462018281315E-3</v>
      </c>
      <c r="N310">
        <f t="shared" si="219"/>
        <v>-1.5707963250000001</v>
      </c>
      <c r="O310">
        <f t="shared" si="220"/>
        <v>139.46013967047699</v>
      </c>
      <c r="P310">
        <f t="shared" si="221"/>
        <v>1.5636257576851531</v>
      </c>
      <c r="Q310">
        <f t="shared" si="222"/>
        <v>123.15047078213826</v>
      </c>
      <c r="R310">
        <f t="shared" si="223"/>
        <v>1.562676089954216</v>
      </c>
      <c r="S310">
        <f t="shared" si="224"/>
        <v>0.25988613216898887</v>
      </c>
      <c r="T310">
        <f t="shared" si="225"/>
        <v>-1.3078920453937883</v>
      </c>
      <c r="U310">
        <f t="shared" si="226"/>
        <v>0.31529556583307217</v>
      </c>
      <c r="V310">
        <f t="shared" si="227"/>
        <v>-1.2500282369555271</v>
      </c>
      <c r="X310">
        <f t="shared" si="244"/>
        <v>-31.852005616691677</v>
      </c>
      <c r="Y310">
        <f t="shared" si="228"/>
        <v>-161.32902298565273</v>
      </c>
      <c r="Z310">
        <f t="shared" si="245"/>
        <v>18.670977014347272</v>
      </c>
      <c r="AC310">
        <v>1</v>
      </c>
      <c r="AD310">
        <f t="shared" si="229"/>
        <v>139.45655437056001</v>
      </c>
      <c r="AE310">
        <f t="shared" si="230"/>
        <v>-6.3088658813502244E-2</v>
      </c>
      <c r="AF310">
        <f t="shared" si="231"/>
        <v>2.0960706160799997E-2</v>
      </c>
      <c r="AG310">
        <f t="shared" si="246"/>
        <v>647.13196921093947</v>
      </c>
      <c r="AH310">
        <f t="shared" si="247"/>
        <v>-1995.4808627145233</v>
      </c>
      <c r="AJ310">
        <f t="shared" si="232"/>
        <v>18000</v>
      </c>
      <c r="AK310">
        <f t="shared" si="233"/>
        <v>66881.240262143998</v>
      </c>
      <c r="AL310">
        <v>1</v>
      </c>
      <c r="AM310">
        <f t="shared" si="234"/>
        <v>123.14641064140801</v>
      </c>
      <c r="AN310">
        <f t="shared" si="248"/>
        <v>544.25450012139379</v>
      </c>
      <c r="AO310">
        <f t="shared" si="249"/>
        <v>-141.74790323940718</v>
      </c>
      <c r="AQ310">
        <f t="shared" si="235"/>
        <v>1.0850682670700227E-2</v>
      </c>
      <c r="AR310">
        <f t="shared" si="236"/>
        <v>-10.416655363872218</v>
      </c>
      <c r="AT310">
        <f t="shared" si="261"/>
        <v>-20779.214608455626</v>
      </c>
      <c r="AU310">
        <f t="shared" si="262"/>
        <v>-6762.6030278310946</v>
      </c>
      <c r="AV310">
        <f t="shared" si="250"/>
        <v>-2.8269534665702603</v>
      </c>
      <c r="AW310">
        <f t="shared" si="251"/>
        <v>-258.53859535388909</v>
      </c>
      <c r="AX310">
        <f t="shared" si="252"/>
        <v>-8159.7762930092276</v>
      </c>
      <c r="AY310">
        <f t="shared" si="260"/>
        <v>-1.6024702504120898</v>
      </c>
      <c r="BA310">
        <f t="shared" si="237"/>
        <v>2.6766675960811281</v>
      </c>
      <c r="BB310">
        <f t="shared" si="253"/>
        <v>8.5518888271666853</v>
      </c>
      <c r="BC310">
        <f t="shared" si="254"/>
        <v>-1.2244832161581705</v>
      </c>
      <c r="BD310">
        <f t="shared" si="238"/>
        <v>-250.15772045063534</v>
      </c>
      <c r="BF310">
        <f t="shared" si="239"/>
        <v>-34.734291310091706</v>
      </c>
      <c r="BG310">
        <f t="shared" si="240"/>
        <v>-174.05260831765952</v>
      </c>
      <c r="BH310">
        <f t="shared" si="255"/>
        <v>5.9473916823404807</v>
      </c>
      <c r="BI310">
        <f t="shared" si="256"/>
        <v>5.9473916823404807</v>
      </c>
      <c r="BJ310">
        <f t="shared" si="241"/>
        <v>0</v>
      </c>
      <c r="BK310">
        <f t="shared" si="257"/>
        <v>0</v>
      </c>
      <c r="BM310">
        <f t="shared" si="258"/>
        <v>-43.286180137258398</v>
      </c>
      <c r="BN310">
        <f t="shared" si="242"/>
        <v>-103.89488786702418</v>
      </c>
      <c r="BQ310" s="56">
        <f t="shared" si="259"/>
        <v>25.45384962745182</v>
      </c>
      <c r="BR310" s="59"/>
      <c r="BS310" s="59"/>
      <c r="BT310" s="59">
        <v>100000</v>
      </c>
      <c r="BU310" s="59">
        <v>6.1811499999999997</v>
      </c>
      <c r="BV310" s="59">
        <v>-129.59</v>
      </c>
      <c r="BY310" s="59"/>
      <c r="BZ310" s="59"/>
      <c r="CA310" s="59"/>
      <c r="CC310" s="59"/>
    </row>
    <row r="311" spans="1:81" x14ac:dyDescent="0.25">
      <c r="A311">
        <f t="shared" si="263"/>
        <v>485000</v>
      </c>
      <c r="B311">
        <f t="shared" si="243"/>
        <v>485</v>
      </c>
      <c r="C311">
        <f t="shared" si="212"/>
        <v>4.1449327941247089</v>
      </c>
      <c r="D311">
        <f t="shared" si="213"/>
        <v>1.3271339446035431</v>
      </c>
      <c r="F311">
        <f t="shared" si="214"/>
        <v>1.0897233911441579E-4</v>
      </c>
      <c r="G311">
        <f t="shared" si="215"/>
        <v>3.5512294063138358E-3</v>
      </c>
      <c r="H311">
        <f t="shared" si="216"/>
        <v>-3.1380414205936864</v>
      </c>
      <c r="J311">
        <f t="shared" si="217"/>
        <v>15</v>
      </c>
      <c r="M311">
        <f t="shared" si="218"/>
        <v>2.6231376675773838E-3</v>
      </c>
      <c r="N311">
        <f t="shared" si="219"/>
        <v>-1.5707963250000001</v>
      </c>
      <c r="O311">
        <f t="shared" si="220"/>
        <v>140.91277515091778</v>
      </c>
      <c r="P311">
        <f t="shared" si="221"/>
        <v>1.5636996785831623</v>
      </c>
      <c r="Q311">
        <f t="shared" si="222"/>
        <v>124.43320403722406</v>
      </c>
      <c r="R311">
        <f t="shared" si="223"/>
        <v>1.5627598001128746</v>
      </c>
      <c r="S311">
        <f t="shared" si="224"/>
        <v>0.25738524824835129</v>
      </c>
      <c r="T311">
        <f t="shared" si="225"/>
        <v>-1.3104810201926045</v>
      </c>
      <c r="U311">
        <f t="shared" si="226"/>
        <v>0.31236373714995636</v>
      </c>
      <c r="V311">
        <f t="shared" si="227"/>
        <v>-1.2531160664800267</v>
      </c>
      <c r="X311">
        <f t="shared" si="244"/>
        <v>-32.022459526248213</v>
      </c>
      <c r="Y311">
        <f t="shared" si="228"/>
        <v>-161.50771603505399</v>
      </c>
      <c r="Z311">
        <f t="shared" si="245"/>
        <v>18.492283964946012</v>
      </c>
      <c r="AC311">
        <v>1</v>
      </c>
      <c r="AD311">
        <f t="shared" si="229"/>
        <v>140.90922681192001</v>
      </c>
      <c r="AE311">
        <f t="shared" si="230"/>
        <v>-6.4409851429713824E-2</v>
      </c>
      <c r="AF311">
        <f t="shared" si="231"/>
        <v>2.1179046849975E-2</v>
      </c>
      <c r="AG311">
        <f t="shared" si="246"/>
        <v>635.15299338431362</v>
      </c>
      <c r="AH311">
        <f t="shared" si="247"/>
        <v>-1978.8477846004257</v>
      </c>
      <c r="AJ311">
        <f t="shared" si="232"/>
        <v>18000</v>
      </c>
      <c r="AK311">
        <f t="shared" si="233"/>
        <v>67577.919848207996</v>
      </c>
      <c r="AL311">
        <v>1</v>
      </c>
      <c r="AM311">
        <f t="shared" si="234"/>
        <v>124.429185752256</v>
      </c>
      <c r="AN311">
        <f t="shared" si="248"/>
        <v>544.23089095372711</v>
      </c>
      <c r="AO311">
        <f t="shared" si="249"/>
        <v>-140.28677438910094</v>
      </c>
      <c r="AQ311">
        <f t="shared" si="235"/>
        <v>1.0628110715154942E-2</v>
      </c>
      <c r="AR311">
        <f t="shared" si="236"/>
        <v>-10.309267393700294</v>
      </c>
      <c r="AT311">
        <f t="shared" si="261"/>
        <v>-20393.720466542483</v>
      </c>
      <c r="AU311">
        <f t="shared" si="262"/>
        <v>-6568.9934580512145</v>
      </c>
      <c r="AV311">
        <f t="shared" si="250"/>
        <v>-2.8299781140168334</v>
      </c>
      <c r="AW311">
        <f t="shared" si="251"/>
        <v>-240.76125936945905</v>
      </c>
      <c r="AX311">
        <f t="shared" si="252"/>
        <v>-8079.4438994126012</v>
      </c>
      <c r="AY311">
        <f t="shared" si="260"/>
        <v>-1.6005867474501645</v>
      </c>
      <c r="BA311">
        <f t="shared" si="237"/>
        <v>2.6506866594200629</v>
      </c>
      <c r="BB311">
        <f t="shared" si="253"/>
        <v>8.4671678467953093</v>
      </c>
      <c r="BC311">
        <f t="shared" si="254"/>
        <v>-1.2293913665666689</v>
      </c>
      <c r="BD311">
        <f t="shared" si="238"/>
        <v>-250.43893675457906</v>
      </c>
      <c r="BF311">
        <f t="shared" si="239"/>
        <v>-34.91433164169208</v>
      </c>
      <c r="BG311">
        <f t="shared" si="240"/>
        <v>-174.19629233606278</v>
      </c>
      <c r="BH311">
        <f t="shared" si="255"/>
        <v>5.8037076639372174</v>
      </c>
      <c r="BI311">
        <f t="shared" si="256"/>
        <v>5.8037076639372174</v>
      </c>
      <c r="BJ311">
        <f t="shared" si="241"/>
        <v>0</v>
      </c>
      <c r="BK311">
        <f t="shared" si="257"/>
        <v>0</v>
      </c>
      <c r="BM311">
        <f t="shared" si="258"/>
        <v>-43.381499488487393</v>
      </c>
      <c r="BN311">
        <f t="shared" si="242"/>
        <v>-103.75735558148372</v>
      </c>
      <c r="BQ311" s="56">
        <f t="shared" si="259"/>
        <v>25.369128647080444</v>
      </c>
      <c r="BR311" s="59"/>
      <c r="BS311" s="59"/>
      <c r="BT311" s="59">
        <v>102329.299</v>
      </c>
      <c r="BU311" s="59">
        <v>6.3762999999999996</v>
      </c>
      <c r="BV311" s="59">
        <v>-129.61099999999999</v>
      </c>
      <c r="BY311" s="59"/>
      <c r="BZ311" s="59"/>
      <c r="CA311" s="59"/>
      <c r="CC311" s="59"/>
    </row>
    <row r="312" spans="1:81" x14ac:dyDescent="0.25">
      <c r="A312">
        <f t="shared" si="263"/>
        <v>490000</v>
      </c>
      <c r="B312">
        <f t="shared" si="243"/>
        <v>490</v>
      </c>
      <c r="C312">
        <f t="shared" si="212"/>
        <v>4.1851888179458578</v>
      </c>
      <c r="D312">
        <f t="shared" si="213"/>
        <v>1.3295244606730074</v>
      </c>
      <c r="F312">
        <f t="shared" si="214"/>
        <v>1.0675953645030746E-4</v>
      </c>
      <c r="G312">
        <f t="shared" si="215"/>
        <v>3.5149848486543253E-3</v>
      </c>
      <c r="H312">
        <f t="shared" si="216"/>
        <v>-3.138077665151346</v>
      </c>
      <c r="J312">
        <f t="shared" si="217"/>
        <v>15</v>
      </c>
      <c r="M312">
        <f t="shared" si="218"/>
        <v>2.5963709566837368E-3</v>
      </c>
      <c r="N312">
        <f t="shared" si="219"/>
        <v>-1.5707963250000001</v>
      </c>
      <c r="O312">
        <f t="shared" si="220"/>
        <v>142.36541138563484</v>
      </c>
      <c r="P312">
        <f t="shared" si="221"/>
        <v>1.5637720909666211</v>
      </c>
      <c r="Q312">
        <f t="shared" si="222"/>
        <v>125.7159381464681</v>
      </c>
      <c r="R312">
        <f t="shared" si="223"/>
        <v>1.5628418020101644</v>
      </c>
      <c r="S312">
        <f t="shared" si="224"/>
        <v>0.25493037738425917</v>
      </c>
      <c r="T312">
        <f t="shared" si="225"/>
        <v>-1.3130206258619816</v>
      </c>
      <c r="U312">
        <f t="shared" si="226"/>
        <v>0.30948306058368702</v>
      </c>
      <c r="V312">
        <f t="shared" si="227"/>
        <v>-1.2561469713828672</v>
      </c>
      <c r="X312">
        <f t="shared" si="244"/>
        <v>-32.191339256400383</v>
      </c>
      <c r="Y312">
        <f t="shared" si="228"/>
        <v>-161.68314567273779</v>
      </c>
      <c r="Z312">
        <f t="shared" si="245"/>
        <v>18.316854327262206</v>
      </c>
      <c r="AC312">
        <v>1</v>
      </c>
      <c r="AD312">
        <f t="shared" si="229"/>
        <v>142.36189925328</v>
      </c>
      <c r="AE312">
        <f t="shared" si="230"/>
        <v>-6.5744735161119311E-2</v>
      </c>
      <c r="AF312">
        <f t="shared" si="231"/>
        <v>2.1397387539149999E-2</v>
      </c>
      <c r="AG312">
        <f t="shared" si="246"/>
        <v>623.49201391020745</v>
      </c>
      <c r="AH312">
        <f t="shared" si="247"/>
        <v>-1962.4506614543279</v>
      </c>
      <c r="AJ312">
        <f t="shared" si="232"/>
        <v>18000</v>
      </c>
      <c r="AK312">
        <f t="shared" si="233"/>
        <v>68274.599434272008</v>
      </c>
      <c r="AL312">
        <v>1</v>
      </c>
      <c r="AM312">
        <f t="shared" si="234"/>
        <v>125.71196086310401</v>
      </c>
      <c r="AN312">
        <f t="shared" si="248"/>
        <v>544.2080007609427</v>
      </c>
      <c r="AO312">
        <f t="shared" si="249"/>
        <v>-138.85545877569925</v>
      </c>
      <c r="AQ312">
        <f t="shared" si="235"/>
        <v>1.0412317354938198E-2</v>
      </c>
      <c r="AR312">
        <f t="shared" si="236"/>
        <v>-10.204071007839433</v>
      </c>
      <c r="AT312">
        <f t="shared" si="261"/>
        <v>-20018.493902144324</v>
      </c>
      <c r="AU312">
        <f t="shared" si="262"/>
        <v>-6382.5904418410391</v>
      </c>
      <c r="AV312">
        <f t="shared" si="250"/>
        <v>-2.8329471261969346</v>
      </c>
      <c r="AW312">
        <f t="shared" si="251"/>
        <v>-223.57356839145319</v>
      </c>
      <c r="AX312">
        <f t="shared" si="252"/>
        <v>-8000.6524454791434</v>
      </c>
      <c r="AY312">
        <f t="shared" si="260"/>
        <v>-1.5987334733811767</v>
      </c>
      <c r="BA312">
        <f t="shared" si="237"/>
        <v>2.625181949737796</v>
      </c>
      <c r="BB312">
        <f t="shared" si="253"/>
        <v>8.3831881893434339</v>
      </c>
      <c r="BC312">
        <f t="shared" si="254"/>
        <v>-1.2342136528157579</v>
      </c>
      <c r="BD312">
        <f t="shared" si="238"/>
        <v>-250.71523340457153</v>
      </c>
      <c r="BF312">
        <f t="shared" si="239"/>
        <v>-35.09255191538805</v>
      </c>
      <c r="BG312">
        <f t="shared" si="240"/>
        <v>-174.33769916444683</v>
      </c>
      <c r="BH312">
        <f t="shared" si="255"/>
        <v>5.6623008355531681</v>
      </c>
      <c r="BI312">
        <f t="shared" si="256"/>
        <v>5.6623008355531681</v>
      </c>
      <c r="BJ312">
        <f t="shared" si="241"/>
        <v>0</v>
      </c>
      <c r="BK312">
        <f t="shared" si="257"/>
        <v>0</v>
      </c>
      <c r="BM312">
        <f t="shared" si="258"/>
        <v>-43.475740104731486</v>
      </c>
      <c r="BN312">
        <f t="shared" si="242"/>
        <v>-103.62246575987531</v>
      </c>
      <c r="BQ312" s="56">
        <f t="shared" si="259"/>
        <v>25.285148989628571</v>
      </c>
      <c r="BR312" s="59"/>
      <c r="BS312" s="59"/>
      <c r="BT312" s="59">
        <v>104712.855</v>
      </c>
      <c r="BU312" s="59">
        <v>6.5692300000000001</v>
      </c>
      <c r="BV312" s="59">
        <v>-129.61699999999999</v>
      </c>
      <c r="BY312" s="59"/>
      <c r="BZ312" s="59"/>
      <c r="CA312" s="59"/>
      <c r="CC312" s="59"/>
    </row>
    <row r="313" spans="1:81" x14ac:dyDescent="0.25">
      <c r="A313">
        <f t="shared" si="263"/>
        <v>495000</v>
      </c>
      <c r="B313">
        <f t="shared" si="243"/>
        <v>495</v>
      </c>
      <c r="C313">
        <f t="shared" si="212"/>
        <v>4.2254683025247566</v>
      </c>
      <c r="D313">
        <f t="shared" si="213"/>
        <v>1.3318694145066392</v>
      </c>
      <c r="F313">
        <f t="shared" si="214"/>
        <v>1.0461345804099689E-4</v>
      </c>
      <c r="G313">
        <f t="shared" si="215"/>
        <v>3.4794727288324349E-3</v>
      </c>
      <c r="H313">
        <f t="shared" si="216"/>
        <v>-3.1381131772711677</v>
      </c>
      <c r="J313">
        <f t="shared" si="217"/>
        <v>15</v>
      </c>
      <c r="M313">
        <f t="shared" si="218"/>
        <v>2.570144987424305E-3</v>
      </c>
      <c r="N313">
        <f t="shared" si="219"/>
        <v>-1.5707963250000001</v>
      </c>
      <c r="O313">
        <f t="shared" si="220"/>
        <v>143.8180483517724</v>
      </c>
      <c r="P313">
        <f t="shared" si="221"/>
        <v>1.5638430405450994</v>
      </c>
      <c r="Q313">
        <f t="shared" si="222"/>
        <v>126.99867308398849</v>
      </c>
      <c r="R313">
        <f t="shared" si="223"/>
        <v>1.5629221474072355</v>
      </c>
      <c r="S313">
        <f t="shared" si="224"/>
        <v>0.25252030911887396</v>
      </c>
      <c r="T313">
        <f t="shared" si="225"/>
        <v>-1.3155122293521668</v>
      </c>
      <c r="U313">
        <f t="shared" si="226"/>
        <v>0.30665229051423187</v>
      </c>
      <c r="V313">
        <f t="shared" si="227"/>
        <v>-1.2591224572305648</v>
      </c>
      <c r="X313">
        <f t="shared" si="244"/>
        <v>-32.358672231186588</v>
      </c>
      <c r="Y313">
        <f t="shared" si="228"/>
        <v>-161.85539699142296</v>
      </c>
      <c r="Z313">
        <f t="shared" si="245"/>
        <v>18.144603008577036</v>
      </c>
      <c r="AC313">
        <v>1</v>
      </c>
      <c r="AD313">
        <f t="shared" si="229"/>
        <v>143.81457169463999</v>
      </c>
      <c r="AE313">
        <f t="shared" si="230"/>
        <v>-6.7093310007718704E-2</v>
      </c>
      <c r="AF313">
        <f t="shared" si="231"/>
        <v>2.1615728228324999E-2</v>
      </c>
      <c r="AG313">
        <f t="shared" si="246"/>
        <v>612.13830249279317</v>
      </c>
      <c r="AH313">
        <f t="shared" si="247"/>
        <v>-1946.2857995049696</v>
      </c>
      <c r="AJ313">
        <f t="shared" si="232"/>
        <v>18000</v>
      </c>
      <c r="AK313">
        <f t="shared" si="233"/>
        <v>68971.279020335991</v>
      </c>
      <c r="AL313">
        <v>1</v>
      </c>
      <c r="AM313">
        <f t="shared" si="234"/>
        <v>126.994735973952</v>
      </c>
      <c r="AN313">
        <f t="shared" si="248"/>
        <v>544.18580064378637</v>
      </c>
      <c r="AO313">
        <f t="shared" si="249"/>
        <v>-137.45305319534339</v>
      </c>
      <c r="AQ313">
        <f t="shared" si="235"/>
        <v>1.0203030095877873E-2</v>
      </c>
      <c r="AR313">
        <f t="shared" si="236"/>
        <v>-10.100999794919096</v>
      </c>
      <c r="AT313">
        <f t="shared" si="261"/>
        <v>-19653.186796130474</v>
      </c>
      <c r="AU313">
        <f t="shared" si="262"/>
        <v>-6203.0668805293562</v>
      </c>
      <c r="AV313">
        <f t="shared" si="250"/>
        <v>-2.8358619696086942</v>
      </c>
      <c r="AW313">
        <f t="shared" si="251"/>
        <v>-206.94970372730666</v>
      </c>
      <c r="AX313">
        <f t="shared" si="252"/>
        <v>-7923.3584726635618</v>
      </c>
      <c r="AY313">
        <f t="shared" si="260"/>
        <v>-1.5969093271606414</v>
      </c>
      <c r="BA313">
        <f t="shared" si="237"/>
        <v>2.6001411490203692</v>
      </c>
      <c r="BB313">
        <f t="shared" si="253"/>
        <v>8.2999384869301771</v>
      </c>
      <c r="BC313">
        <f t="shared" si="254"/>
        <v>-1.2389526424480528</v>
      </c>
      <c r="BD313">
        <f t="shared" si="238"/>
        <v>-250.98675750996856</v>
      </c>
      <c r="BF313">
        <f t="shared" si="239"/>
        <v>-35.268988206018129</v>
      </c>
      <c r="BG313">
        <f t="shared" si="240"/>
        <v>-174.47690200645988</v>
      </c>
      <c r="BH313">
        <f t="shared" si="255"/>
        <v>5.5230979935401194</v>
      </c>
      <c r="BI313">
        <f t="shared" si="256"/>
        <v>5.5230979935401194</v>
      </c>
      <c r="BJ313">
        <f t="shared" si="241"/>
        <v>0</v>
      </c>
      <c r="BK313">
        <f t="shared" si="257"/>
        <v>0</v>
      </c>
      <c r="BM313">
        <f t="shared" si="258"/>
        <v>-43.568926692948303</v>
      </c>
      <c r="BN313">
        <f t="shared" si="242"/>
        <v>-103.49014449649133</v>
      </c>
      <c r="BQ313" s="56">
        <f t="shared" si="259"/>
        <v>25.201899287215316</v>
      </c>
      <c r="BR313" s="59"/>
      <c r="BS313" s="59"/>
      <c r="BT313" s="59">
        <v>107151.931</v>
      </c>
      <c r="BU313" s="59">
        <v>6.77081</v>
      </c>
      <c r="BV313" s="59">
        <v>-129.57599999999999</v>
      </c>
      <c r="BY313" s="59"/>
      <c r="BZ313" s="59"/>
      <c r="CA313" s="59"/>
      <c r="CC313" s="59"/>
    </row>
    <row r="314" spans="1:81" x14ac:dyDescent="0.25">
      <c r="A314">
        <f t="shared" si="263"/>
        <v>500000</v>
      </c>
      <c r="B314">
        <f t="shared" si="243"/>
        <v>500</v>
      </c>
      <c r="C314">
        <f t="shared" si="212"/>
        <v>4.2657705832777371</v>
      </c>
      <c r="D314">
        <f t="shared" si="213"/>
        <v>1.3341700713363775</v>
      </c>
      <c r="F314">
        <f t="shared" si="214"/>
        <v>1.0253144787193359E-4</v>
      </c>
      <c r="G314">
        <f t="shared" si="215"/>
        <v>3.4446710648639873E-3</v>
      </c>
      <c r="H314">
        <f t="shared" si="216"/>
        <v>-3.1381479789351361</v>
      </c>
      <c r="J314">
        <f t="shared" si="217"/>
        <v>15</v>
      </c>
      <c r="M314">
        <f t="shared" si="218"/>
        <v>2.5444435375500622E-3</v>
      </c>
      <c r="N314">
        <f t="shared" si="219"/>
        <v>-1.5707963250000001</v>
      </c>
      <c r="O314">
        <f t="shared" si="220"/>
        <v>145.27068602738896</v>
      </c>
      <c r="P314">
        <f t="shared" si="221"/>
        <v>1.5639125711999311</v>
      </c>
      <c r="Q314">
        <f t="shared" si="222"/>
        <v>128.28140882493844</v>
      </c>
      <c r="R314">
        <f t="shared" si="223"/>
        <v>1.5630008859950062</v>
      </c>
      <c r="S314">
        <f t="shared" si="224"/>
        <v>0.2501538732246647</v>
      </c>
      <c r="T314">
        <f t="shared" si="225"/>
        <v>-1.3179571488084718</v>
      </c>
      <c r="U314">
        <f t="shared" si="226"/>
        <v>0.30387021827971711</v>
      </c>
      <c r="V314">
        <f t="shared" si="227"/>
        <v>-1.2620439789589852</v>
      </c>
      <c r="X314">
        <f t="shared" si="244"/>
        <v>-32.524485197991204</v>
      </c>
      <c r="Y314">
        <f t="shared" si="228"/>
        <v>-162.02455228268693</v>
      </c>
      <c r="Z314">
        <f t="shared" si="245"/>
        <v>17.975447717313074</v>
      </c>
      <c r="AC314">
        <v>1</v>
      </c>
      <c r="AD314">
        <f t="shared" si="229"/>
        <v>145.26724413599999</v>
      </c>
      <c r="AE314">
        <f t="shared" si="230"/>
        <v>-6.8455575969512003E-2</v>
      </c>
      <c r="AF314">
        <f t="shared" si="231"/>
        <v>2.1834068917500001E-2</v>
      </c>
      <c r="AG314">
        <f t="shared" si="246"/>
        <v>601.08155959506701</v>
      </c>
      <c r="AH314">
        <f t="shared" si="247"/>
        <v>-1930.3495159782951</v>
      </c>
      <c r="AJ314">
        <f t="shared" si="232"/>
        <v>18000</v>
      </c>
      <c r="AK314">
        <f t="shared" si="233"/>
        <v>69667.958606399989</v>
      </c>
      <c r="AL314">
        <v>1</v>
      </c>
      <c r="AM314">
        <f t="shared" si="234"/>
        <v>128.27751108480001</v>
      </c>
      <c r="AN314">
        <f t="shared" si="248"/>
        <v>544.16426314052796</v>
      </c>
      <c r="AO314">
        <f t="shared" si="249"/>
        <v>-136.07869056112258</v>
      </c>
      <c r="AQ314">
        <f t="shared" si="235"/>
        <v>9.9999900000099992E-3</v>
      </c>
      <c r="AR314">
        <f t="shared" si="236"/>
        <v>-9.9999900000099995</v>
      </c>
      <c r="AT314">
        <f t="shared" si="261"/>
        <v>-19297.465046721951</v>
      </c>
      <c r="AU314">
        <f t="shared" si="262"/>
        <v>-6030.1130609973916</v>
      </c>
      <c r="AV314">
        <f t="shared" si="250"/>
        <v>-2.8387240616821803</v>
      </c>
      <c r="AW314">
        <f t="shared" si="251"/>
        <v>-190.86523914541672</v>
      </c>
      <c r="AX314">
        <f t="shared" si="252"/>
        <v>-7847.5201358884024</v>
      </c>
      <c r="AY314">
        <f t="shared" si="260"/>
        <v>-1.5951132592753665</v>
      </c>
      <c r="BA314">
        <f t="shared" si="237"/>
        <v>2.5755523278249486</v>
      </c>
      <c r="BB314">
        <f t="shared" si="253"/>
        <v>8.2174075584516455</v>
      </c>
      <c r="BC314">
        <f t="shared" si="254"/>
        <v>-1.2436108024068138</v>
      </c>
      <c r="BD314">
        <f t="shared" si="238"/>
        <v>-251.25365041620734</v>
      </c>
      <c r="BF314">
        <f t="shared" si="239"/>
        <v>-35.443675556100139</v>
      </c>
      <c r="BG314">
        <f t="shared" si="240"/>
        <v>-174.61397097456378</v>
      </c>
      <c r="BH314">
        <f t="shared" si="255"/>
        <v>5.3860290254362155</v>
      </c>
      <c r="BI314">
        <f t="shared" si="256"/>
        <v>5.3860290254362155</v>
      </c>
      <c r="BJ314">
        <f t="shared" si="241"/>
        <v>0</v>
      </c>
      <c r="BK314">
        <f t="shared" si="257"/>
        <v>0</v>
      </c>
      <c r="BM314">
        <f t="shared" si="258"/>
        <v>-43.661083114551786</v>
      </c>
      <c r="BN314">
        <f t="shared" si="242"/>
        <v>-103.36032055835645</v>
      </c>
      <c r="BQ314" s="56">
        <f t="shared" si="259"/>
        <v>25.119368358736782</v>
      </c>
      <c r="BR314" s="59"/>
      <c r="BS314" s="59"/>
      <c r="BT314" s="59">
        <v>109647.82</v>
      </c>
      <c r="BU314" s="59">
        <v>6.9849899999999998</v>
      </c>
      <c r="BV314" s="59">
        <v>-129.52799999999999</v>
      </c>
      <c r="BY314" s="59"/>
      <c r="BZ314" s="59"/>
      <c r="CA314" s="59"/>
      <c r="CC314" s="59"/>
    </row>
    <row r="315" spans="1:81" x14ac:dyDescent="0.25">
      <c r="A315">
        <f t="shared" si="263"/>
        <v>505000</v>
      </c>
      <c r="B315">
        <f t="shared" si="243"/>
        <v>505</v>
      </c>
      <c r="C315">
        <f t="shared" si="212"/>
        <v>4.3060950201322497</v>
      </c>
      <c r="D315">
        <f t="shared" si="213"/>
        <v>1.3364276509172868</v>
      </c>
      <c r="F315">
        <f t="shared" si="214"/>
        <v>1.0051098078552407E-4</v>
      </c>
      <c r="G315">
        <f t="shared" si="215"/>
        <v>3.4105587457700956E-3</v>
      </c>
      <c r="H315">
        <f t="shared" si="216"/>
        <v>-3.13818209125423</v>
      </c>
      <c r="J315">
        <f t="shared" si="217"/>
        <v>15</v>
      </c>
      <c r="M315">
        <f t="shared" si="218"/>
        <v>2.5192510272772891E-3</v>
      </c>
      <c r="N315">
        <f t="shared" si="219"/>
        <v>-1.5707963250000001</v>
      </c>
      <c r="O315">
        <f t="shared" si="220"/>
        <v>146.72332439141186</v>
      </c>
      <c r="P315">
        <f t="shared" si="221"/>
        <v>1.5639807250747135</v>
      </c>
      <c r="Q315">
        <f t="shared" si="222"/>
        <v>129.56414534545513</v>
      </c>
      <c r="R315">
        <f t="shared" si="223"/>
        <v>1.563078065496637</v>
      </c>
      <c r="S315">
        <f t="shared" si="224"/>
        <v>0.24782993813847698</v>
      </c>
      <c r="T315">
        <f t="shared" si="225"/>
        <v>-1.3203566556739068</v>
      </c>
      <c r="U315">
        <f t="shared" si="226"/>
        <v>0.30113567097435384</v>
      </c>
      <c r="V315">
        <f t="shared" si="227"/>
        <v>-1.2649129428915693</v>
      </c>
      <c r="X315">
        <f t="shared" si="244"/>
        <v>-32.688804248603269</v>
      </c>
      <c r="Y315">
        <f t="shared" si="228"/>
        <v>-162.19069114501283</v>
      </c>
      <c r="Z315">
        <f t="shared" si="245"/>
        <v>17.809308854987165</v>
      </c>
      <c r="AC315">
        <v>1</v>
      </c>
      <c r="AD315">
        <f t="shared" si="229"/>
        <v>146.71991657736001</v>
      </c>
      <c r="AE315">
        <f t="shared" si="230"/>
        <v>-6.9831533046499181E-2</v>
      </c>
      <c r="AF315">
        <f t="shared" si="231"/>
        <v>2.2052409606675E-2</v>
      </c>
      <c r="AG315">
        <f t="shared" si="246"/>
        <v>590.31189515459175</v>
      </c>
      <c r="AH315">
        <f t="shared" si="247"/>
        <v>-1914.6381446428975</v>
      </c>
      <c r="AJ315">
        <f t="shared" si="232"/>
        <v>18000</v>
      </c>
      <c r="AK315">
        <f t="shared" si="233"/>
        <v>70364.638192464001</v>
      </c>
      <c r="AL315">
        <v>1</v>
      </c>
      <c r="AM315">
        <f t="shared" si="234"/>
        <v>129.56028619564799</v>
      </c>
      <c r="AN315">
        <f t="shared" si="248"/>
        <v>544.14336214200091</v>
      </c>
      <c r="AO315">
        <f t="shared" si="249"/>
        <v>-134.73153811576213</v>
      </c>
      <c r="AQ315">
        <f t="shared" si="235"/>
        <v>9.8029508842751838E-3</v>
      </c>
      <c r="AR315">
        <f t="shared" si="236"/>
        <v>-9.900980393117937</v>
      </c>
      <c r="AT315">
        <f t="shared" si="261"/>
        <v>-18951.00793151043</v>
      </c>
      <c r="AU315">
        <f t="shared" si="262"/>
        <v>-5863.4356034429984</v>
      </c>
      <c r="AV315">
        <f t="shared" si="250"/>
        <v>-2.8415347727202778</v>
      </c>
      <c r="AW315">
        <f t="shared" si="251"/>
        <v>-175.29705233371536</v>
      </c>
      <c r="AX315">
        <f t="shared" si="252"/>
        <v>-7773.0971290037151</v>
      </c>
      <c r="AY315">
        <f t="shared" si="260"/>
        <v>-1.5933442688628467</v>
      </c>
      <c r="BA315">
        <f t="shared" si="237"/>
        <v>2.5514039321007203</v>
      </c>
      <c r="BB315">
        <f t="shared" si="253"/>
        <v>8.1355844101041068</v>
      </c>
      <c r="BC315">
        <f t="shared" si="254"/>
        <v>-1.248190503857431</v>
      </c>
      <c r="BD315">
        <f t="shared" si="238"/>
        <v>-251.51604798105751</v>
      </c>
      <c r="BF315">
        <f t="shared" si="239"/>
        <v>-35.616648013336082</v>
      </c>
      <c r="BG315">
        <f t="shared" si="240"/>
        <v>-174.74897324928082</v>
      </c>
      <c r="BH315">
        <f t="shared" si="255"/>
        <v>5.251026750719177</v>
      </c>
      <c r="BI315">
        <f t="shared" si="256"/>
        <v>5.251026750719177</v>
      </c>
      <c r="BJ315">
        <f t="shared" si="241"/>
        <v>0</v>
      </c>
      <c r="BK315">
        <f t="shared" si="257"/>
        <v>0</v>
      </c>
      <c r="BM315">
        <f t="shared" si="258"/>
        <v>-43.752232423440191</v>
      </c>
      <c r="BN315">
        <f t="shared" si="242"/>
        <v>-103.23292526822335</v>
      </c>
      <c r="BQ315" s="56">
        <f t="shared" si="259"/>
        <v>25.037545210389244</v>
      </c>
      <c r="BR315" s="59"/>
      <c r="BS315" s="59"/>
      <c r="BT315" s="59">
        <v>112201.845</v>
      </c>
      <c r="BU315" s="59">
        <v>7.2120699999999998</v>
      </c>
      <c r="BV315" s="59">
        <v>-129.44300000000001</v>
      </c>
      <c r="BY315" s="59"/>
      <c r="BZ315" s="59"/>
      <c r="CA315" s="59"/>
      <c r="CC315" s="59"/>
    </row>
    <row r="316" spans="1:81" x14ac:dyDescent="0.25">
      <c r="A316">
        <f t="shared" si="263"/>
        <v>510000</v>
      </c>
      <c r="B316">
        <f t="shared" si="243"/>
        <v>510</v>
      </c>
      <c r="C316">
        <f t="shared" si="212"/>
        <v>4.3464409964235857</v>
      </c>
      <c r="D316">
        <f t="shared" si="213"/>
        <v>1.3386433295087443</v>
      </c>
      <c r="F316">
        <f t="shared" si="214"/>
        <v>9.8549654819947297E-5</v>
      </c>
      <c r="G316">
        <f t="shared" si="215"/>
        <v>3.3771154888557987E-3</v>
      </c>
      <c r="H316">
        <f t="shared" si="216"/>
        <v>-3.1382155345111444</v>
      </c>
      <c r="J316">
        <f t="shared" si="217"/>
        <v>15</v>
      </c>
      <c r="M316">
        <f t="shared" si="218"/>
        <v>2.4945524877941785E-3</v>
      </c>
      <c r="N316">
        <f t="shared" si="219"/>
        <v>-1.5707963250000001</v>
      </c>
      <c r="O316">
        <f t="shared" si="220"/>
        <v>148.17596342359479</v>
      </c>
      <c r="P316">
        <f t="shared" si="221"/>
        <v>1.5640475426604812</v>
      </c>
      <c r="Q316">
        <f t="shared" si="222"/>
        <v>130.84688262261153</v>
      </c>
      <c r="R316">
        <f t="shared" si="223"/>
        <v>1.5631537317639776</v>
      </c>
      <c r="S316">
        <f t="shared" si="224"/>
        <v>0.24554740946262912</v>
      </c>
      <c r="T316">
        <f t="shared" si="225"/>
        <v>-1.322711976687206</v>
      </c>
      <c r="U316">
        <f t="shared" si="226"/>
        <v>0.29844751028287642</v>
      </c>
      <c r="V316">
        <f t="shared" si="227"/>
        <v>-1.2677307086669374</v>
      </c>
      <c r="X316">
        <f t="shared" si="244"/>
        <v>-32.851654839494785</v>
      </c>
      <c r="Y316">
        <f t="shared" si="228"/>
        <v>-162.35389058723931</v>
      </c>
      <c r="Z316">
        <f t="shared" si="245"/>
        <v>17.646109412760694</v>
      </c>
      <c r="AC316">
        <v>1</v>
      </c>
      <c r="AD316">
        <f t="shared" si="229"/>
        <v>148.17258901872</v>
      </c>
      <c r="AE316">
        <f t="shared" si="230"/>
        <v>-7.1221181238680265E-2</v>
      </c>
      <c r="AF316">
        <f t="shared" si="231"/>
        <v>2.227075029585E-2</v>
      </c>
      <c r="AG316">
        <f t="shared" si="246"/>
        <v>579.81981022955756</v>
      </c>
      <c r="AH316">
        <f t="shared" si="247"/>
        <v>-1899.1480407383478</v>
      </c>
      <c r="AJ316">
        <f t="shared" si="232"/>
        <v>18000</v>
      </c>
      <c r="AK316">
        <f t="shared" si="233"/>
        <v>71061.317778527999</v>
      </c>
      <c r="AL316">
        <v>1</v>
      </c>
      <c r="AM316">
        <f t="shared" si="234"/>
        <v>130.843061306496</v>
      </c>
      <c r="AN316">
        <f t="shared" si="248"/>
        <v>544.12307281244262</v>
      </c>
      <c r="AO316">
        <f t="shared" si="249"/>
        <v>-133.41079574940306</v>
      </c>
      <c r="AQ316">
        <f t="shared" si="235"/>
        <v>9.6116785739344731E-3</v>
      </c>
      <c r="AR316">
        <f t="shared" si="236"/>
        <v>-9.8039121454131628</v>
      </c>
      <c r="AT316">
        <f t="shared" si="261"/>
        <v>-18613.507500885575</v>
      </c>
      <c r="AU316">
        <f t="shared" si="262"/>
        <v>-5702.7564801926092</v>
      </c>
      <c r="AV316">
        <f t="shared" si="250"/>
        <v>-2.8442954277534938</v>
      </c>
      <c r="AW316">
        <f t="shared" si="251"/>
        <v>-160.22324280198865</v>
      </c>
      <c r="AX316">
        <f t="shared" si="252"/>
        <v>-7700.0506143954299</v>
      </c>
      <c r="AY316">
        <f t="shared" si="260"/>
        <v>-1.5916014010151043</v>
      </c>
      <c r="BA316">
        <f t="shared" si="237"/>
        <v>2.5276847703819456</v>
      </c>
      <c r="BB316">
        <f t="shared" si="253"/>
        <v>8.0544582354038745</v>
      </c>
      <c r="BC316">
        <f t="shared" si="254"/>
        <v>-1.2526940267383895</v>
      </c>
      <c r="BD316">
        <f t="shared" si="238"/>
        <v>-251.77408083537185</v>
      </c>
      <c r="BF316">
        <f t="shared" si="239"/>
        <v>-35.787938666526152</v>
      </c>
      <c r="BG316">
        <f t="shared" si="240"/>
        <v>-174.88197322887868</v>
      </c>
      <c r="BH316">
        <f t="shared" si="255"/>
        <v>5.1180267711213219</v>
      </c>
      <c r="BI316">
        <f t="shared" si="256"/>
        <v>5.1180267711213219</v>
      </c>
      <c r="BJ316">
        <f t="shared" si="241"/>
        <v>0</v>
      </c>
      <c r="BK316">
        <f t="shared" si="257"/>
        <v>0</v>
      </c>
      <c r="BM316">
        <f t="shared" si="258"/>
        <v>-43.842396901930023</v>
      </c>
      <c r="BN316">
        <f t="shared" si="242"/>
        <v>-103.10789239350683</v>
      </c>
      <c r="BQ316" s="56">
        <f t="shared" si="259"/>
        <v>24.956419035689009</v>
      </c>
      <c r="BR316" s="59"/>
      <c r="BS316" s="59"/>
      <c r="BT316" s="59">
        <v>114815.36199999999</v>
      </c>
      <c r="BU316" s="59">
        <v>7.47248</v>
      </c>
      <c r="BV316" s="59">
        <v>-129.58500000000001</v>
      </c>
      <c r="BY316" s="59"/>
      <c r="BZ316" s="59"/>
      <c r="CA316" s="59"/>
      <c r="CC316" s="59"/>
    </row>
    <row r="317" spans="1:81" x14ac:dyDescent="0.25">
      <c r="A317">
        <f t="shared" si="263"/>
        <v>515000</v>
      </c>
      <c r="B317">
        <f t="shared" si="243"/>
        <v>515</v>
      </c>
      <c r="C317">
        <f t="shared" si="212"/>
        <v>4.3868079178497652</v>
      </c>
      <c r="D317">
        <f t="shared" si="213"/>
        <v>1.3408182417554027</v>
      </c>
      <c r="F317">
        <f t="shared" si="214"/>
        <v>9.664518406621383E-5</v>
      </c>
      <c r="G317">
        <f t="shared" si="215"/>
        <v>3.3443217994790012E-3</v>
      </c>
      <c r="H317">
        <f t="shared" si="216"/>
        <v>-3.1382483282005214</v>
      </c>
      <c r="J317">
        <f t="shared" si="217"/>
        <v>15</v>
      </c>
      <c r="M317">
        <f t="shared" si="218"/>
        <v>2.4703335316020019E-3</v>
      </c>
      <c r="N317">
        <f t="shared" si="219"/>
        <v>-1.5707963250000001</v>
      </c>
      <c r="O317">
        <f t="shared" si="220"/>
        <v>149.62860310447766</v>
      </c>
      <c r="P317">
        <f t="shared" si="221"/>
        <v>1.564113062875921</v>
      </c>
      <c r="Q317">
        <f t="shared" si="222"/>
        <v>132.12962063437081</v>
      </c>
      <c r="R317">
        <f t="shared" si="223"/>
        <v>1.5632279288683972</v>
      </c>
      <c r="S317">
        <f t="shared" si="224"/>
        <v>0.24330522853011929</v>
      </c>
      <c r="T317">
        <f t="shared" si="225"/>
        <v>-1.3250242957820513</v>
      </c>
      <c r="U317">
        <f t="shared" si="226"/>
        <v>0.29580463135103569</v>
      </c>
      <c r="V317">
        <f t="shared" si="227"/>
        <v>-1.2704985910802449</v>
      </c>
      <c r="X317">
        <f t="shared" si="244"/>
        <v>-33.013061811352763</v>
      </c>
      <c r="Y317">
        <f t="shared" si="228"/>
        <v>-162.51422512761397</v>
      </c>
      <c r="Z317">
        <f t="shared" si="245"/>
        <v>17.485774872386031</v>
      </c>
      <c r="AC317">
        <v>1</v>
      </c>
      <c r="AD317">
        <f t="shared" si="229"/>
        <v>149.62526146008</v>
      </c>
      <c r="AE317">
        <f t="shared" si="230"/>
        <v>-7.2624520546055255E-2</v>
      </c>
      <c r="AF317">
        <f t="shared" si="231"/>
        <v>2.2489090985024999E-2</v>
      </c>
      <c r="AG317">
        <f t="shared" si="246"/>
        <v>569.5961795300027</v>
      </c>
      <c r="AH317">
        <f t="shared" si="247"/>
        <v>-1883.8755853423465</v>
      </c>
      <c r="AJ317">
        <f t="shared" si="232"/>
        <v>18000</v>
      </c>
      <c r="AK317">
        <f t="shared" si="233"/>
        <v>71757.997364591996</v>
      </c>
      <c r="AL317">
        <v>1</v>
      </c>
      <c r="AM317">
        <f t="shared" si="234"/>
        <v>132.125836417344</v>
      </c>
      <c r="AN317">
        <f t="shared" si="248"/>
        <v>544.10337151568945</v>
      </c>
      <c r="AO317">
        <f t="shared" si="249"/>
        <v>-132.11569441533462</v>
      </c>
      <c r="AQ317">
        <f t="shared" si="235"/>
        <v>9.4259502064754398E-3</v>
      </c>
      <c r="AR317">
        <f t="shared" si="236"/>
        <v>-9.7087287126697017</v>
      </c>
      <c r="AT317">
        <f t="shared" si="261"/>
        <v>-18284.668001284634</v>
      </c>
      <c r="AU317">
        <f t="shared" si="262"/>
        <v>-5547.8121002925345</v>
      </c>
      <c r="AV317">
        <f t="shared" si="250"/>
        <v>-2.8470073083127563</v>
      </c>
      <c r="AW317">
        <f t="shared" si="251"/>
        <v>-145.62305570244035</v>
      </c>
      <c r="AX317">
        <f t="shared" si="252"/>
        <v>-7628.3431564700468</v>
      </c>
      <c r="AY317">
        <f t="shared" si="260"/>
        <v>-1.589883744253838</v>
      </c>
      <c r="BA317">
        <f t="shared" si="237"/>
        <v>2.5043840013579151</v>
      </c>
      <c r="BB317">
        <f t="shared" si="253"/>
        <v>7.9740184147662205</v>
      </c>
      <c r="BC317">
        <f t="shared" si="254"/>
        <v>-1.2571235640589182</v>
      </c>
      <c r="BD317">
        <f t="shared" si="238"/>
        <v>-252.02787462932383</v>
      </c>
      <c r="BF317">
        <f t="shared" si="239"/>
        <v>-35.957579679964724</v>
      </c>
      <c r="BG317">
        <f t="shared" si="240"/>
        <v>-175.01303267014154</v>
      </c>
      <c r="BH317">
        <f t="shared" si="255"/>
        <v>4.9869673298584587</v>
      </c>
      <c r="BI317">
        <f t="shared" si="256"/>
        <v>4.9869673298584587</v>
      </c>
      <c r="BJ317">
        <f t="shared" si="241"/>
        <v>0</v>
      </c>
      <c r="BK317">
        <f t="shared" si="257"/>
        <v>0</v>
      </c>
      <c r="BM317">
        <f t="shared" si="258"/>
        <v>-43.931598094730944</v>
      </c>
      <c r="BN317">
        <f t="shared" si="242"/>
        <v>-102.98515804081772</v>
      </c>
      <c r="BQ317" s="56">
        <f t="shared" si="259"/>
        <v>24.875979215051359</v>
      </c>
      <c r="BR317" s="59"/>
      <c r="BS317" s="59"/>
      <c r="BT317" s="59">
        <v>117489.755</v>
      </c>
      <c r="BU317" s="59">
        <v>7.6753600000000004</v>
      </c>
      <c r="BV317" s="59">
        <v>-129.61699999999999</v>
      </c>
      <c r="BY317" s="59"/>
      <c r="BZ317" s="59"/>
      <c r="CA317" s="59"/>
      <c r="CC317" s="59"/>
    </row>
    <row r="318" spans="1:81" x14ac:dyDescent="0.25">
      <c r="A318">
        <f t="shared" si="263"/>
        <v>520000</v>
      </c>
      <c r="B318">
        <f t="shared" si="243"/>
        <v>520</v>
      </c>
      <c r="C318">
        <f t="shared" si="212"/>
        <v>4.4271952114810738</v>
      </c>
      <c r="D318">
        <f t="shared" si="213"/>
        <v>1.3429534824736313</v>
      </c>
      <c r="F318">
        <f t="shared" si="214"/>
        <v>9.4795392003787222E-5</v>
      </c>
      <c r="G318">
        <f t="shared" si="215"/>
        <v>3.3121589331419638E-3</v>
      </c>
      <c r="H318">
        <f t="shared" si="216"/>
        <v>-3.1382804910668582</v>
      </c>
      <c r="J318">
        <f t="shared" si="217"/>
        <v>15</v>
      </c>
      <c r="M318">
        <f t="shared" si="218"/>
        <v>2.4465803245673672E-3</v>
      </c>
      <c r="N318">
        <f t="shared" si="219"/>
        <v>-1.5707963250000001</v>
      </c>
      <c r="O318">
        <f t="shared" si="220"/>
        <v>151.08124341534878</v>
      </c>
      <c r="P318">
        <f t="shared" si="221"/>
        <v>1.5641773231429585</v>
      </c>
      <c r="Q318">
        <f t="shared" si="222"/>
        <v>133.41235935954379</v>
      </c>
      <c r="R318">
        <f t="shared" si="223"/>
        <v>1.5633006991863736</v>
      </c>
      <c r="S318">
        <f t="shared" si="224"/>
        <v>0.24110237103113386</v>
      </c>
      <c r="T318">
        <f t="shared" si="225"/>
        <v>-1.327294755892966</v>
      </c>
      <c r="U318">
        <f t="shared" si="226"/>
        <v>0.29320596169160107</v>
      </c>
      <c r="V318">
        <f t="shared" si="227"/>
        <v>-1.2732178618424459</v>
      </c>
      <c r="X318">
        <f t="shared" si="244"/>
        <v>-33.173049407896649</v>
      </c>
      <c r="Y318">
        <f t="shared" si="228"/>
        <v>-162.67176688864328</v>
      </c>
      <c r="Z318">
        <f t="shared" si="245"/>
        <v>17.328233111356724</v>
      </c>
      <c r="AC318">
        <v>1</v>
      </c>
      <c r="AD318">
        <f t="shared" si="229"/>
        <v>151.07793390143999</v>
      </c>
      <c r="AE318">
        <f t="shared" si="230"/>
        <v>-7.4041550968624165E-2</v>
      </c>
      <c r="AF318">
        <f t="shared" si="231"/>
        <v>2.2707431674199998E-2</v>
      </c>
      <c r="AG318">
        <f t="shared" si="246"/>
        <v>559.63223479094518</v>
      </c>
      <c r="AH318">
        <f t="shared" si="247"/>
        <v>-1868.8171892277144</v>
      </c>
      <c r="AJ318">
        <f t="shared" si="232"/>
        <v>18000</v>
      </c>
      <c r="AK318">
        <f t="shared" si="233"/>
        <v>72454.676950655994</v>
      </c>
      <c r="AL318">
        <v>1</v>
      </c>
      <c r="AM318">
        <f t="shared" si="234"/>
        <v>133.40861152819201</v>
      </c>
      <c r="AN318">
        <f t="shared" si="248"/>
        <v>544.08423574631274</v>
      </c>
      <c r="AO318">
        <f t="shared" si="249"/>
        <v>-130.84549463709013</v>
      </c>
      <c r="AQ318">
        <f t="shared" si="235"/>
        <v>9.2455535821435071E-3</v>
      </c>
      <c r="AR318">
        <f t="shared" si="236"/>
        <v>-9.6153757254292476</v>
      </c>
      <c r="AT318">
        <f t="shared" si="261"/>
        <v>-17964.205326752028</v>
      </c>
      <c r="AU318">
        <f t="shared" si="262"/>
        <v>-5398.3524550348111</v>
      </c>
      <c r="AV318">
        <f t="shared" si="250"/>
        <v>-2.8496716541240739</v>
      </c>
      <c r="AW318">
        <f t="shared" si="251"/>
        <v>-131.47681109028716</v>
      </c>
      <c r="AX318">
        <f t="shared" si="252"/>
        <v>-7557.9386587639165</v>
      </c>
      <c r="AY318">
        <f t="shared" si="260"/>
        <v>-1.588190428164755</v>
      </c>
      <c r="BA318">
        <f t="shared" si="237"/>
        <v>2.4814911218216529</v>
      </c>
      <c r="BB318">
        <f t="shared" si="253"/>
        <v>7.8942545146985745</v>
      </c>
      <c r="BC318">
        <f t="shared" si="254"/>
        <v>-1.2614812259593189</v>
      </c>
      <c r="BD318">
        <f t="shared" si="238"/>
        <v>-252.27755026504707</v>
      </c>
      <c r="BF318">
        <f t="shared" si="239"/>
        <v>-36.125602326388389</v>
      </c>
      <c r="BG318">
        <f t="shared" si="240"/>
        <v>-175.14221082082622</v>
      </c>
      <c r="BH318">
        <f t="shared" si="255"/>
        <v>4.8577891791737784</v>
      </c>
      <c r="BI318">
        <f t="shared" si="256"/>
        <v>4.8577891791737784</v>
      </c>
      <c r="BJ318">
        <f t="shared" si="241"/>
        <v>0</v>
      </c>
      <c r="BK318">
        <f t="shared" si="257"/>
        <v>0</v>
      </c>
      <c r="BM318">
        <f t="shared" si="258"/>
        <v>-44.019856841086956</v>
      </c>
      <c r="BN318">
        <f t="shared" si="242"/>
        <v>-102.86466055577918</v>
      </c>
      <c r="BQ318" s="56">
        <f t="shared" si="259"/>
        <v>24.796215314983712</v>
      </c>
      <c r="BR318" s="59"/>
      <c r="BS318" s="59"/>
      <c r="BT318" s="59">
        <v>120226.443</v>
      </c>
      <c r="BU318" s="59">
        <v>7.9446199999999996</v>
      </c>
      <c r="BV318" s="59">
        <v>-129.863</v>
      </c>
      <c r="BY318" s="59"/>
      <c r="BZ318" s="59"/>
      <c r="CA318" s="59"/>
      <c r="CC318" s="59"/>
    </row>
    <row r="319" spans="1:81" x14ac:dyDescent="0.25">
      <c r="A319">
        <f t="shared" si="263"/>
        <v>525000</v>
      </c>
      <c r="B319">
        <f t="shared" si="243"/>
        <v>525</v>
      </c>
      <c r="C319">
        <f t="shared" si="212"/>
        <v>4.4676023248210388</v>
      </c>
      <c r="D319">
        <f t="shared" si="213"/>
        <v>1.3450501083487876</v>
      </c>
      <c r="F319">
        <f t="shared" si="214"/>
        <v>9.2998205278470484E-5</v>
      </c>
      <c r="G319">
        <f t="shared" si="215"/>
        <v>3.2806088597504049E-3</v>
      </c>
      <c r="H319">
        <f t="shared" si="216"/>
        <v>-3.1383120411402499</v>
      </c>
      <c r="J319">
        <f t="shared" si="217"/>
        <v>15</v>
      </c>
      <c r="M319">
        <f t="shared" si="218"/>
        <v>2.4232795595714876E-3</v>
      </c>
      <c r="N319">
        <f t="shared" si="219"/>
        <v>-1.5707963250000001</v>
      </c>
      <c r="O319">
        <f t="shared" si="220"/>
        <v>152.5338843382093</v>
      </c>
      <c r="P319">
        <f t="shared" si="221"/>
        <v>1.5642403594580265</v>
      </c>
      <c r="Q319">
        <f t="shared" si="222"/>
        <v>134.69509877774829</v>
      </c>
      <c r="R319">
        <f t="shared" si="223"/>
        <v>1.5633720834801943</v>
      </c>
      <c r="S319">
        <f t="shared" si="224"/>
        <v>0.23893784569815713</v>
      </c>
      <c r="T319">
        <f t="shared" si="225"/>
        <v>-1.3295244606730074</v>
      </c>
      <c r="U319">
        <f t="shared" si="226"/>
        <v>0.29065046012524931</v>
      </c>
      <c r="V319">
        <f t="shared" si="227"/>
        <v>-1.2758897512614209</v>
      </c>
      <c r="X319">
        <f t="shared" si="244"/>
        <v>-33.331641294011682</v>
      </c>
      <c r="Y319">
        <f t="shared" si="228"/>
        <v>-162.82658568792505</v>
      </c>
      <c r="Z319">
        <f t="shared" si="245"/>
        <v>17.173414312074954</v>
      </c>
      <c r="AC319">
        <v>1</v>
      </c>
      <c r="AD319">
        <f t="shared" si="229"/>
        <v>152.53060634280001</v>
      </c>
      <c r="AE319">
        <f t="shared" si="230"/>
        <v>-7.5472272506386967E-2</v>
      </c>
      <c r="AF319">
        <f t="shared" si="231"/>
        <v>2.2925772363375001E-2</v>
      </c>
      <c r="AG319">
        <f t="shared" si="246"/>
        <v>549.91954894606897</v>
      </c>
      <c r="AH319">
        <f t="shared" si="247"/>
        <v>-1853.9692962558047</v>
      </c>
      <c r="AJ319">
        <f t="shared" si="232"/>
        <v>18000</v>
      </c>
      <c r="AK319">
        <f t="shared" si="233"/>
        <v>73151.356536720006</v>
      </c>
      <c r="AL319">
        <v>1</v>
      </c>
      <c r="AM319">
        <f t="shared" si="234"/>
        <v>134.69138663903999</v>
      </c>
      <c r="AN319">
        <f t="shared" si="248"/>
        <v>544.06564406532368</v>
      </c>
      <c r="AO319">
        <f t="shared" si="249"/>
        <v>-129.59948510081725</v>
      </c>
      <c r="AQ319">
        <f t="shared" si="235"/>
        <v>9.0702865575632129E-3</v>
      </c>
      <c r="AR319">
        <f t="shared" si="236"/>
        <v>-9.5238008854413732</v>
      </c>
      <c r="AT319">
        <f t="shared" si="261"/>
        <v>-17651.846497369606</v>
      </c>
      <c r="AU319">
        <f t="shared" si="262"/>
        <v>-5254.1403199600563</v>
      </c>
      <c r="AV319">
        <f t="shared" si="250"/>
        <v>-2.8522896647287523</v>
      </c>
      <c r="AW319">
        <f t="shared" si="251"/>
        <v>-117.76583818879479</v>
      </c>
      <c r="AX319">
        <f t="shared" si="252"/>
        <v>-7488.8023044444435</v>
      </c>
      <c r="AY319">
        <f t="shared" si="260"/>
        <v>-1.5865206211798992</v>
      </c>
      <c r="BA319">
        <f t="shared" si="237"/>
        <v>2.4589959549969187</v>
      </c>
      <c r="BB319">
        <f t="shared" si="253"/>
        <v>7.8151562866575288</v>
      </c>
      <c r="BC319">
        <f t="shared" si="254"/>
        <v>-1.2657690435488531</v>
      </c>
      <c r="BD319">
        <f t="shared" si="238"/>
        <v>-252.52322411653006</v>
      </c>
      <c r="BF319">
        <f t="shared" si="239"/>
        <v>-36.292037018542295</v>
      </c>
      <c r="BG319">
        <f t="shared" si="240"/>
        <v>-175.2695645443583</v>
      </c>
      <c r="BH319">
        <f t="shared" si="255"/>
        <v>4.7304354556416968</v>
      </c>
      <c r="BI319">
        <f t="shared" si="256"/>
        <v>4.7304354556416968</v>
      </c>
      <c r="BJ319">
        <f t="shared" si="241"/>
        <v>0</v>
      </c>
      <c r="BK319">
        <f t="shared" si="257"/>
        <v>0</v>
      </c>
      <c r="BM319">
        <f t="shared" si="258"/>
        <v>-44.107193305199822</v>
      </c>
      <c r="BN319">
        <f t="shared" si="242"/>
        <v>-102.74634042782829</v>
      </c>
      <c r="BQ319" s="56">
        <f t="shared" si="259"/>
        <v>24.717117086942665</v>
      </c>
      <c r="BR319" s="59"/>
      <c r="BS319" s="59"/>
      <c r="BT319" s="59">
        <v>123026.87699999999</v>
      </c>
      <c r="BU319" s="59">
        <v>8.1865900000000007</v>
      </c>
      <c r="BV319" s="59">
        <v>-130.31299999999999</v>
      </c>
      <c r="BY319" s="59"/>
      <c r="BZ319" s="59"/>
      <c r="CA319" s="59"/>
      <c r="CC319" s="59"/>
    </row>
    <row r="320" spans="1:81" x14ac:dyDescent="0.25">
      <c r="A320">
        <f t="shared" si="263"/>
        <v>530000</v>
      </c>
      <c r="B320">
        <f t="shared" si="243"/>
        <v>530</v>
      </c>
      <c r="C320">
        <f t="shared" si="212"/>
        <v>4.5080287249157562</v>
      </c>
      <c r="D320">
        <f t="shared" si="213"/>
        <v>1.347109139548337</v>
      </c>
      <c r="F320">
        <f t="shared" si="214"/>
        <v>9.1251647889329599E-5</v>
      </c>
      <c r="G320">
        <f t="shared" si="215"/>
        <v>3.2496542298969494E-3</v>
      </c>
      <c r="H320">
        <f t="shared" si="216"/>
        <v>-3.1383429957701034</v>
      </c>
      <c r="J320">
        <f t="shared" si="217"/>
        <v>15</v>
      </c>
      <c r="M320">
        <f t="shared" si="218"/>
        <v>2.4004184316510019E-3</v>
      </c>
      <c r="N320">
        <f t="shared" si="219"/>
        <v>-1.5707963250000001</v>
      </c>
      <c r="O320">
        <f t="shared" si="220"/>
        <v>153.9865258557395</v>
      </c>
      <c r="P320">
        <f t="shared" si="221"/>
        <v>1.5643022064592993</v>
      </c>
      <c r="Q320">
        <f t="shared" si="222"/>
        <v>135.97783886937131</v>
      </c>
      <c r="R320">
        <f t="shared" si="223"/>
        <v>1.5634421209740881</v>
      </c>
      <c r="S320">
        <f t="shared" si="224"/>
        <v>0.23681069304708682</v>
      </c>
      <c r="T320">
        <f t="shared" si="225"/>
        <v>-1.3317144761280884</v>
      </c>
      <c r="U320">
        <f t="shared" si="226"/>
        <v>0.28813711575565343</v>
      </c>
      <c r="V320">
        <f t="shared" si="227"/>
        <v>-1.2785154498487279</v>
      </c>
      <c r="X320">
        <f t="shared" si="244"/>
        <v>-33.48886057322698</v>
      </c>
      <c r="Y320">
        <f t="shared" si="228"/>
        <v>-162.97874912514041</v>
      </c>
      <c r="Z320">
        <f t="shared" si="245"/>
        <v>17.021250874859589</v>
      </c>
      <c r="AC320">
        <v>1</v>
      </c>
      <c r="AD320">
        <f t="shared" si="229"/>
        <v>153.98327878416001</v>
      </c>
      <c r="AE320">
        <f t="shared" si="230"/>
        <v>-7.6916685159343676E-2</v>
      </c>
      <c r="AF320">
        <f t="shared" si="231"/>
        <v>2.314411305255E-2</v>
      </c>
      <c r="AG320">
        <f t="shared" si="246"/>
        <v>540.45002106246034</v>
      </c>
      <c r="AH320">
        <f t="shared" si="247"/>
        <v>-1839.3283863488402</v>
      </c>
      <c r="AJ320">
        <f t="shared" si="232"/>
        <v>18000</v>
      </c>
      <c r="AK320">
        <f t="shared" si="233"/>
        <v>73848.036122784004</v>
      </c>
      <c r="AL320">
        <v>1</v>
      </c>
      <c r="AM320">
        <f t="shared" si="234"/>
        <v>135.974161749888</v>
      </c>
      <c r="AN320">
        <f t="shared" si="248"/>
        <v>544.04757604010183</v>
      </c>
      <c r="AO320">
        <f t="shared" si="249"/>
        <v>-128.37698132729454</v>
      </c>
      <c r="AQ320">
        <f t="shared" si="235"/>
        <v>8.8999564792128158E-3</v>
      </c>
      <c r="AR320">
        <f t="shared" si="236"/>
        <v>-9.4339538679655863</v>
      </c>
      <c r="AT320">
        <f t="shared" si="261"/>
        <v>-17347.329163187893</v>
      </c>
      <c r="AU320">
        <f t="shared" si="262"/>
        <v>-5114.9505092337658</v>
      </c>
      <c r="AV320">
        <f t="shared" si="250"/>
        <v>-2.8548625010326796</v>
      </c>
      <c r="AW320">
        <f t="shared" si="251"/>
        <v>-104.47241426167353</v>
      </c>
      <c r="AX320">
        <f t="shared" si="252"/>
        <v>-7420.900499987838</v>
      </c>
      <c r="AY320">
        <f t="shared" si="260"/>
        <v>-1.5848735284976461</v>
      </c>
      <c r="BA320">
        <f t="shared" si="237"/>
        <v>2.4368886392410913</v>
      </c>
      <c r="BB320">
        <f t="shared" si="253"/>
        <v>7.7367136656138094</v>
      </c>
      <c r="BC320">
        <f t="shared" si="254"/>
        <v>-1.2699889725350335</v>
      </c>
      <c r="BD320">
        <f t="shared" si="238"/>
        <v>-252.76500823755939</v>
      </c>
      <c r="BF320">
        <f t="shared" si="239"/>
        <v>-36.456913339428837</v>
      </c>
      <c r="BG320">
        <f t="shared" si="240"/>
        <v>-175.39514843728193</v>
      </c>
      <c r="BH320">
        <f t="shared" si="255"/>
        <v>4.6048515627180677</v>
      </c>
      <c r="BI320">
        <f t="shared" si="256"/>
        <v>4.6048515627180677</v>
      </c>
      <c r="BJ320">
        <f t="shared" si="241"/>
        <v>0</v>
      </c>
      <c r="BK320">
        <f t="shared" si="257"/>
        <v>0</v>
      </c>
      <c r="BM320">
        <f t="shared" si="258"/>
        <v>-44.19362700504265</v>
      </c>
      <c r="BN320">
        <f t="shared" si="242"/>
        <v>-102.63014019972256</v>
      </c>
      <c r="BQ320" s="56">
        <f t="shared" si="259"/>
        <v>24.638674465898948</v>
      </c>
      <c r="BR320" s="59"/>
      <c r="BS320" s="59"/>
      <c r="BT320" s="59">
        <v>125892.541</v>
      </c>
      <c r="BU320" s="59">
        <v>8.4445800000000002</v>
      </c>
      <c r="BV320" s="59">
        <v>-130.77099999999999</v>
      </c>
      <c r="BY320" s="59"/>
      <c r="BZ320" s="59"/>
      <c r="CA320" s="59"/>
      <c r="CC320" s="59"/>
    </row>
    <row r="321" spans="1:81" x14ac:dyDescent="0.25">
      <c r="A321">
        <f t="shared" si="263"/>
        <v>535000</v>
      </c>
      <c r="B321">
        <f t="shared" si="243"/>
        <v>535</v>
      </c>
      <c r="C321">
        <f t="shared" si="212"/>
        <v>4.5484738975087708</v>
      </c>
      <c r="D321">
        <f t="shared" si="213"/>
        <v>1.3491315612555255</v>
      </c>
      <c r="F321">
        <f t="shared" si="214"/>
        <v>8.9553835754208272E-5</v>
      </c>
      <c r="G321">
        <f t="shared" si="215"/>
        <v>3.2192783430364099E-3</v>
      </c>
      <c r="H321">
        <f t="shared" si="216"/>
        <v>-3.138373371656964</v>
      </c>
      <c r="J321">
        <f t="shared" si="217"/>
        <v>15</v>
      </c>
      <c r="M321">
        <f t="shared" si="218"/>
        <v>2.3779846145327685E-3</v>
      </c>
      <c r="N321">
        <f t="shared" si="219"/>
        <v>-1.5707963250000001</v>
      </c>
      <c r="O321">
        <f t="shared" si="220"/>
        <v>155.43916795126714</v>
      </c>
      <c r="P321">
        <f t="shared" si="221"/>
        <v>1.5643628974901567</v>
      </c>
      <c r="Q321">
        <f t="shared" si="222"/>
        <v>137.260579615533</v>
      </c>
      <c r="R321">
        <f t="shared" si="223"/>
        <v>1.5635108494260903</v>
      </c>
      <c r="S321">
        <f t="shared" si="224"/>
        <v>0.23471998417186568</v>
      </c>
      <c r="T321">
        <f t="shared" si="225"/>
        <v>-1.3338658321724681</v>
      </c>
      <c r="U321">
        <f t="shared" si="226"/>
        <v>0.28566494697803801</v>
      </c>
      <c r="V321">
        <f t="shared" si="227"/>
        <v>-1.2810961098555502</v>
      </c>
      <c r="X321">
        <f t="shared" si="244"/>
        <v>-33.644729804565671</v>
      </c>
      <c r="Y321">
        <f t="shared" si="228"/>
        <v>-163.12832266537731</v>
      </c>
      <c r="Z321">
        <f t="shared" si="245"/>
        <v>16.871677334622689</v>
      </c>
      <c r="AC321">
        <v>1</v>
      </c>
      <c r="AD321">
        <f t="shared" si="229"/>
        <v>155.43595122552</v>
      </c>
      <c r="AE321">
        <f t="shared" si="230"/>
        <v>-7.837478892749429E-2</v>
      </c>
      <c r="AF321">
        <f t="shared" si="231"/>
        <v>2.3362453741724999E-2</v>
      </c>
      <c r="AG321">
        <f t="shared" si="246"/>
        <v>531.21586199868966</v>
      </c>
      <c r="AH321">
        <f t="shared" si="247"/>
        <v>-1824.8909780799547</v>
      </c>
      <c r="AJ321">
        <f t="shared" si="232"/>
        <v>18000</v>
      </c>
      <c r="AK321">
        <f t="shared" si="233"/>
        <v>74544.715708847987</v>
      </c>
      <c r="AL321">
        <v>1</v>
      </c>
      <c r="AM321">
        <f t="shared" si="234"/>
        <v>137.256936860736</v>
      </c>
      <c r="AN321">
        <f t="shared" si="248"/>
        <v>544.03001218823761</v>
      </c>
      <c r="AO321">
        <f t="shared" si="249"/>
        <v>-127.17732441838611</v>
      </c>
      <c r="AQ321">
        <f t="shared" si="235"/>
        <v>8.7343796537866589E-3</v>
      </c>
      <c r="AR321">
        <f t="shared" si="236"/>
        <v>-9.3457862295517256</v>
      </c>
      <c r="AT321">
        <f t="shared" si="261"/>
        <v>-17050.401132356008</v>
      </c>
      <c r="AU321">
        <f t="shared" si="262"/>
        <v>-4980.5691786161242</v>
      </c>
      <c r="AV321">
        <f t="shared" si="250"/>
        <v>-2.8573912867880336</v>
      </c>
      <c r="AW321">
        <f t="shared" si="251"/>
        <v>-91.579707730528924</v>
      </c>
      <c r="AX321">
        <f t="shared" si="252"/>
        <v>-7354.2008218338779</v>
      </c>
      <c r="AY321">
        <f t="shared" si="260"/>
        <v>-1.5832483901308172</v>
      </c>
      <c r="BA321">
        <f t="shared" si="237"/>
        <v>2.415159617119861</v>
      </c>
      <c r="BB321">
        <f t="shared" si="253"/>
        <v>7.6589167683645041</v>
      </c>
      <c r="BC321">
        <f t="shared" si="254"/>
        <v>-1.2741428966572164</v>
      </c>
      <c r="BD321">
        <f t="shared" si="238"/>
        <v>-253.00301055845</v>
      </c>
      <c r="BF321">
        <f t="shared" si="239"/>
        <v>-36.620260071298873</v>
      </c>
      <c r="BG321">
        <f t="shared" si="240"/>
        <v>-175.51901493994066</v>
      </c>
      <c r="BH321">
        <f t="shared" si="255"/>
        <v>4.4809850600593393</v>
      </c>
      <c r="BI321">
        <f t="shared" si="256"/>
        <v>4.4809850600593393</v>
      </c>
      <c r="BJ321">
        <f t="shared" si="241"/>
        <v>0</v>
      </c>
      <c r="BK321">
        <f t="shared" si="257"/>
        <v>0</v>
      </c>
      <c r="BM321">
        <f t="shared" si="258"/>
        <v>-44.279176839663364</v>
      </c>
      <c r="BN321">
        <f t="shared" si="242"/>
        <v>-102.51600438149067</v>
      </c>
      <c r="BQ321" s="56">
        <f t="shared" si="259"/>
        <v>24.560877568649641</v>
      </c>
      <c r="BR321" s="59"/>
      <c r="BS321" s="59"/>
      <c r="BT321" s="59">
        <v>128824.955</v>
      </c>
      <c r="BU321" s="59">
        <v>8.6780500000000007</v>
      </c>
      <c r="BV321" s="59">
        <v>-131.42599999999999</v>
      </c>
      <c r="BY321" s="59"/>
      <c r="BZ321" s="59"/>
      <c r="CA321" s="59"/>
      <c r="CC321" s="59"/>
    </row>
    <row r="322" spans="1:81" x14ac:dyDescent="0.25">
      <c r="A322">
        <f t="shared" si="263"/>
        <v>540000</v>
      </c>
      <c r="B322">
        <f t="shared" si="243"/>
        <v>540</v>
      </c>
      <c r="C322">
        <f t="shared" si="212"/>
        <v>4.5889373462388354</v>
      </c>
      <c r="D322">
        <f t="shared" si="213"/>
        <v>1.3511183251280248</v>
      </c>
      <c r="F322">
        <f t="shared" si="214"/>
        <v>8.7902971625913678E-5</v>
      </c>
      <c r="G322">
        <f t="shared" si="215"/>
        <v>3.1894651174301865E-3</v>
      </c>
      <c r="H322">
        <f t="shared" si="216"/>
        <v>-3.13840318488257</v>
      </c>
      <c r="J322">
        <f t="shared" si="217"/>
        <v>15</v>
      </c>
      <c r="M322">
        <f t="shared" si="218"/>
        <v>2.3559662384722798E-3</v>
      </c>
      <c r="N322">
        <f t="shared" si="219"/>
        <v>-1.5707963250000001</v>
      </c>
      <c r="O322">
        <f t="shared" si="220"/>
        <v>156.8918106087373</v>
      </c>
      <c r="P322">
        <f t="shared" si="221"/>
        <v>1.564422464659124</v>
      </c>
      <c r="Q322">
        <f t="shared" si="222"/>
        <v>138.54332099805265</v>
      </c>
      <c r="R322">
        <f t="shared" si="223"/>
        <v>1.5635783051959138</v>
      </c>
      <c r="S322">
        <f t="shared" si="224"/>
        <v>0.23266481959024307</v>
      </c>
      <c r="T322">
        <f t="shared" si="225"/>
        <v>-1.3359795241096784</v>
      </c>
      <c r="U322">
        <f t="shared" si="226"/>
        <v>0.28323300052042738</v>
      </c>
      <c r="V322">
        <f t="shared" si="227"/>
        <v>-1.2836328467412388</v>
      </c>
      <c r="X322">
        <f t="shared" si="244"/>
        <v>-33.79927101879322</v>
      </c>
      <c r="Y322">
        <f t="shared" si="228"/>
        <v>-163.27536971894699</v>
      </c>
      <c r="Z322">
        <f t="shared" si="245"/>
        <v>16.72463028105301</v>
      </c>
      <c r="AC322">
        <v>1</v>
      </c>
      <c r="AD322">
        <f t="shared" si="229"/>
        <v>156.88862366688002</v>
      </c>
      <c r="AE322">
        <f t="shared" si="230"/>
        <v>-7.9846583810838784E-2</v>
      </c>
      <c r="AF322">
        <f t="shared" si="231"/>
        <v>2.3580794430900002E-2</v>
      </c>
      <c r="AG322">
        <f t="shared" si="246"/>
        <v>522.20958075028818</v>
      </c>
      <c r="AH322">
        <f t="shared" si="247"/>
        <v>-1810.6536309163387</v>
      </c>
      <c r="AJ322">
        <f t="shared" si="232"/>
        <v>18000</v>
      </c>
      <c r="AK322">
        <f t="shared" si="233"/>
        <v>75241.395294911999</v>
      </c>
      <c r="AL322">
        <v>1</v>
      </c>
      <c r="AM322">
        <f t="shared" si="234"/>
        <v>138.53971197158401</v>
      </c>
      <c r="AN322">
        <f t="shared" si="248"/>
        <v>544.01293392499451</v>
      </c>
      <c r="AO322">
        <f t="shared" si="249"/>
        <v>-125.99987987311114</v>
      </c>
      <c r="AQ322">
        <f t="shared" si="235"/>
        <v>8.5733808527256056E-3</v>
      </c>
      <c r="AR322">
        <f t="shared" si="236"/>
        <v>-9.2592513209436547</v>
      </c>
      <c r="AT322">
        <f t="shared" si="261"/>
        <v>-16760.819922212817</v>
      </c>
      <c r="AU322">
        <f t="shared" si="262"/>
        <v>-4850.7931735417542</v>
      </c>
      <c r="AV322">
        <f t="shared" si="250"/>
        <v>-2.8598771100105926</v>
      </c>
      <c r="AW322">
        <f t="shared" si="251"/>
        <v>-79.071725206530672</v>
      </c>
      <c r="AX322">
        <f t="shared" si="252"/>
        <v>-7288.6719658326765</v>
      </c>
      <c r="AY322">
        <f t="shared" si="260"/>
        <v>-1.5816444790741011</v>
      </c>
      <c r="BA322">
        <f t="shared" si="237"/>
        <v>2.3937996248483686</v>
      </c>
      <c r="BB322">
        <f t="shared" si="253"/>
        <v>7.5817558916277008</v>
      </c>
      <c r="BC322">
        <f t="shared" si="254"/>
        <v>-1.2782326309364915</v>
      </c>
      <c r="BD322">
        <f t="shared" si="238"/>
        <v>-253.2373350722502</v>
      </c>
      <c r="BF322">
        <f t="shared" si="239"/>
        <v>-36.782105223443693</v>
      </c>
      <c r="BG322">
        <f t="shared" si="240"/>
        <v>-175.64121444083037</v>
      </c>
      <c r="BH322">
        <f t="shared" si="255"/>
        <v>4.3587855591696325</v>
      </c>
      <c r="BI322">
        <f t="shared" si="256"/>
        <v>4.3587855591696325</v>
      </c>
      <c r="BJ322">
        <f t="shared" si="241"/>
        <v>0</v>
      </c>
      <c r="BK322">
        <f t="shared" si="257"/>
        <v>0</v>
      </c>
      <c r="BM322">
        <f t="shared" si="258"/>
        <v>-44.363861115071394</v>
      </c>
      <c r="BN322">
        <f t="shared" si="242"/>
        <v>-102.40387936858016</v>
      </c>
      <c r="BQ322" s="56">
        <f t="shared" si="259"/>
        <v>24.483716691912836</v>
      </c>
      <c r="BR322" s="59"/>
      <c r="BS322" s="59"/>
      <c r="BT322" s="59">
        <v>131825.674</v>
      </c>
      <c r="BU322" s="59">
        <v>8.8889499999999995</v>
      </c>
      <c r="BV322" s="59">
        <v>-132.06399999999999</v>
      </c>
      <c r="BY322" s="59"/>
      <c r="BZ322" s="59"/>
      <c r="CA322" s="59"/>
      <c r="CC322" s="59"/>
    </row>
    <row r="323" spans="1:81" x14ac:dyDescent="0.25">
      <c r="A323">
        <f t="shared" si="263"/>
        <v>545000</v>
      </c>
      <c r="B323">
        <f t="shared" si="243"/>
        <v>545</v>
      </c>
      <c r="C323">
        <f t="shared" si="212"/>
        <v>4.6294185918780606</v>
      </c>
      <c r="D323">
        <f t="shared" si="213"/>
        <v>1.3530703506856945</v>
      </c>
      <c r="F323">
        <f t="shared" si="214"/>
        <v>8.6297340333449008E-5</v>
      </c>
      <c r="G323">
        <f t="shared" si="215"/>
        <v>3.1601990617460985E-3</v>
      </c>
      <c r="H323">
        <f t="shared" si="216"/>
        <v>-3.1384324509382542</v>
      </c>
      <c r="J323">
        <f t="shared" si="217"/>
        <v>15</v>
      </c>
      <c r="M323">
        <f t="shared" si="218"/>
        <v>2.3343518693119836E-3</v>
      </c>
      <c r="N323">
        <f t="shared" si="219"/>
        <v>-1.5707963250000001</v>
      </c>
      <c r="O323">
        <f t="shared" si="220"/>
        <v>158.34445381268438</v>
      </c>
      <c r="P323">
        <f t="shared" si="221"/>
        <v>1.5644809388965117</v>
      </c>
      <c r="Q323">
        <f t="shared" si="222"/>
        <v>139.82606299941679</v>
      </c>
      <c r="R323">
        <f t="shared" si="223"/>
        <v>1.5636445233090861</v>
      </c>
      <c r="S323">
        <f t="shared" si="224"/>
        <v>0.23064432813837743</v>
      </c>
      <c r="T323">
        <f t="shared" si="225"/>
        <v>-1.3380565140429057</v>
      </c>
      <c r="U323">
        <f t="shared" si="226"/>
        <v>0.28084035051678202</v>
      </c>
      <c r="V323">
        <f t="shared" si="227"/>
        <v>-1.286126740577676</v>
      </c>
      <c r="X323">
        <f t="shared" si="244"/>
        <v>-33.952505734088795</v>
      </c>
      <c r="Y323">
        <f t="shared" si="228"/>
        <v>-163.41995171785172</v>
      </c>
      <c r="Z323">
        <f t="shared" si="245"/>
        <v>16.580048282148283</v>
      </c>
      <c r="AC323">
        <v>1</v>
      </c>
      <c r="AD323">
        <f t="shared" si="229"/>
        <v>158.34129610823999</v>
      </c>
      <c r="AE323">
        <f t="shared" si="230"/>
        <v>-8.1332069809377211E-2</v>
      </c>
      <c r="AF323">
        <f t="shared" si="231"/>
        <v>2.3799135120074998E-2</v>
      </c>
      <c r="AG323">
        <f t="shared" si="246"/>
        <v>513.42397144836787</v>
      </c>
      <c r="AH323">
        <f t="shared" si="247"/>
        <v>-1796.6129471477873</v>
      </c>
      <c r="AJ323">
        <f t="shared" si="232"/>
        <v>18000</v>
      </c>
      <c r="AK323">
        <f t="shared" si="233"/>
        <v>75938.074880975997</v>
      </c>
      <c r="AL323">
        <v>1</v>
      </c>
      <c r="AM323">
        <f t="shared" si="234"/>
        <v>139.82248708243199</v>
      </c>
      <c r="AN323">
        <f t="shared" si="248"/>
        <v>543.99632351412947</v>
      </c>
      <c r="AO323">
        <f t="shared" si="249"/>
        <v>-124.8440364688602</v>
      </c>
      <c r="AQ323">
        <f t="shared" si="235"/>
        <v>8.4167928484194521E-3</v>
      </c>
      <c r="AR323">
        <f t="shared" si="236"/>
        <v>-9.1743042047772025</v>
      </c>
      <c r="AT323">
        <f t="shared" si="261"/>
        <v>-16478.352332164013</v>
      </c>
      <c r="AU323">
        <f t="shared" si="262"/>
        <v>-4725.4294190971032</v>
      </c>
      <c r="AV323">
        <f t="shared" si="250"/>
        <v>-2.8623210243356914</v>
      </c>
      <c r="AW323">
        <f t="shared" si="251"/>
        <v>-66.933262133936708</v>
      </c>
      <c r="AX323">
        <f t="shared" si="252"/>
        <v>-7224.2836993117344</v>
      </c>
      <c r="AY323">
        <f t="shared" si="260"/>
        <v>-1.5800610995826163</v>
      </c>
      <c r="BA323">
        <f t="shared" si="237"/>
        <v>2.3727996820923325</v>
      </c>
      <c r="BB323">
        <f t="shared" si="253"/>
        <v>7.5052215099508448</v>
      </c>
      <c r="BC323">
        <f t="shared" si="254"/>
        <v>-1.282259924753075</v>
      </c>
      <c r="BD323">
        <f t="shared" si="238"/>
        <v>-253.46808201106325</v>
      </c>
      <c r="BF323">
        <f t="shared" si="239"/>
        <v>-36.942476058842693</v>
      </c>
      <c r="BG323">
        <f t="shared" si="240"/>
        <v>-175.76179537503509</v>
      </c>
      <c r="BH323">
        <f t="shared" si="255"/>
        <v>4.2382046249649079</v>
      </c>
      <c r="BI323">
        <f t="shared" si="256"/>
        <v>4.2382046249649079</v>
      </c>
      <c r="BJ323">
        <f t="shared" si="241"/>
        <v>0</v>
      </c>
      <c r="BK323">
        <f t="shared" si="257"/>
        <v>0</v>
      </c>
      <c r="BM323">
        <f t="shared" si="258"/>
        <v>-44.447697568793537</v>
      </c>
      <c r="BN323">
        <f t="shared" si="242"/>
        <v>-102.29371336397185</v>
      </c>
      <c r="BQ323" s="56">
        <f t="shared" si="259"/>
        <v>24.407182310235982</v>
      </c>
      <c r="BR323" s="59"/>
      <c r="BS323" s="59"/>
      <c r="BT323" s="59">
        <v>134896.288</v>
      </c>
      <c r="BU323" s="59">
        <v>9.0986999999999991</v>
      </c>
      <c r="BV323" s="59">
        <v>-132.62899999999999</v>
      </c>
      <c r="BY323" s="59"/>
      <c r="BZ323" s="59"/>
      <c r="CA323" s="59"/>
      <c r="CC323" s="59"/>
    </row>
    <row r="324" spans="1:81" x14ac:dyDescent="0.25">
      <c r="A324">
        <f t="shared" si="263"/>
        <v>550000</v>
      </c>
      <c r="B324">
        <f t="shared" si="243"/>
        <v>550</v>
      </c>
      <c r="C324">
        <f t="shared" si="212"/>
        <v>4.669917171608164</v>
      </c>
      <c r="D324">
        <f t="shared" si="213"/>
        <v>1.3549885266313579</v>
      </c>
      <c r="F324">
        <f t="shared" si="214"/>
        <v>8.4735304324755345E-5</v>
      </c>
      <c r="G324">
        <f t="shared" si="215"/>
        <v>3.1314652482082287E-3</v>
      </c>
      <c r="H324">
        <f t="shared" si="216"/>
        <v>-3.138461184751792</v>
      </c>
      <c r="J324">
        <f t="shared" si="217"/>
        <v>15</v>
      </c>
      <c r="M324">
        <f t="shared" si="218"/>
        <v>2.3131304886818745E-3</v>
      </c>
      <c r="N324">
        <f t="shared" si="219"/>
        <v>-1.5707963250000001</v>
      </c>
      <c r="O324">
        <f t="shared" si="220"/>
        <v>159.79709754820502</v>
      </c>
      <c r="P324">
        <f t="shared" si="221"/>
        <v>1.564538350007967</v>
      </c>
      <c r="Q324">
        <f t="shared" si="222"/>
        <v>141.10880560274862</v>
      </c>
      <c r="R324">
        <f t="shared" si="223"/>
        <v>1.5637095375175878</v>
      </c>
      <c r="S324">
        <f t="shared" si="224"/>
        <v>0.2286576659120938</v>
      </c>
      <c r="T324">
        <f t="shared" si="225"/>
        <v>-1.3400977322186085</v>
      </c>
      <c r="U324">
        <f t="shared" si="226"/>
        <v>0.2784860976111988</v>
      </c>
      <c r="V324">
        <f t="shared" si="227"/>
        <v>-1.2885788373925267</v>
      </c>
      <c r="X324">
        <f t="shared" si="244"/>
        <v>-34.104454971163179</v>
      </c>
      <c r="Y324">
        <f t="shared" si="228"/>
        <v>-163.56212818905166</v>
      </c>
      <c r="Z324">
        <f t="shared" si="245"/>
        <v>16.437871810948337</v>
      </c>
      <c r="AC324">
        <v>1</v>
      </c>
      <c r="AD324">
        <f t="shared" si="229"/>
        <v>159.79396854960001</v>
      </c>
      <c r="AE324">
        <f t="shared" si="230"/>
        <v>-8.2831246923109503E-2</v>
      </c>
      <c r="AF324">
        <f t="shared" si="231"/>
        <v>2.4017475809249997E-2</v>
      </c>
      <c r="AG324">
        <f t="shared" si="246"/>
        <v>504.85210097877615</v>
      </c>
      <c r="AH324">
        <f t="shared" si="247"/>
        <v>-1782.7655735301312</v>
      </c>
      <c r="AJ324">
        <f t="shared" si="232"/>
        <v>18000</v>
      </c>
      <c r="AK324">
        <f t="shared" si="233"/>
        <v>76634.754467039995</v>
      </c>
      <c r="AL324">
        <v>1</v>
      </c>
      <c r="AM324">
        <f t="shared" si="234"/>
        <v>141.10526219328</v>
      </c>
      <c r="AN324">
        <f t="shared" si="248"/>
        <v>543.98016402182873</v>
      </c>
      <c r="AO324">
        <f t="shared" si="249"/>
        <v>-123.70920520361355</v>
      </c>
      <c r="AQ324">
        <f t="shared" si="235"/>
        <v>8.264455979788447E-3</v>
      </c>
      <c r="AR324">
        <f t="shared" si="236"/>
        <v>-9.0909015777672906</v>
      </c>
      <c r="AT324">
        <f t="shared" si="261"/>
        <v>-16202.774037229436</v>
      </c>
      <c r="AU324">
        <f t="shared" si="262"/>
        <v>-4604.2943489318095</v>
      </c>
      <c r="AV324">
        <f t="shared" si="250"/>
        <v>-2.8647240503157003</v>
      </c>
      <c r="AW324">
        <f t="shared" si="251"/>
        <v>-55.149856768915797</v>
      </c>
      <c r="AX324">
        <f t="shared" si="252"/>
        <v>-7161.0068156038369</v>
      </c>
      <c r="AY324">
        <f t="shared" si="260"/>
        <v>-1.5784975855540762</v>
      </c>
      <c r="BA324">
        <f t="shared" si="237"/>
        <v>2.3521510821218294</v>
      </c>
      <c r="BB324">
        <f t="shared" si="253"/>
        <v>7.429304273460704</v>
      </c>
      <c r="BC324">
        <f t="shared" si="254"/>
        <v>-1.2862264647616242</v>
      </c>
      <c r="BD324">
        <f t="shared" si="238"/>
        <v>-253.69534801308259</v>
      </c>
      <c r="BF324">
        <f t="shared" si="239"/>
        <v>-37.101399119719204</v>
      </c>
      <c r="BG324">
        <f t="shared" si="240"/>
        <v>-175.88080431712572</v>
      </c>
      <c r="BH324">
        <f t="shared" si="255"/>
        <v>4.1191956828742775</v>
      </c>
      <c r="BI324">
        <f t="shared" si="256"/>
        <v>4.1191956828742775</v>
      </c>
      <c r="BJ324">
        <f t="shared" si="241"/>
        <v>0</v>
      </c>
      <c r="BK324">
        <f t="shared" si="257"/>
        <v>0</v>
      </c>
      <c r="BM324">
        <f t="shared" si="258"/>
        <v>-44.530703393179905</v>
      </c>
      <c r="BN324">
        <f t="shared" si="242"/>
        <v>-102.18545630404316</v>
      </c>
      <c r="BQ324" s="56">
        <f t="shared" si="259"/>
        <v>24.331265073745843</v>
      </c>
      <c r="BR324" s="59"/>
      <c r="BS324" s="59"/>
      <c r="BT324" s="59">
        <v>138038.42600000001</v>
      </c>
      <c r="BU324" s="59">
        <v>9.3196600000000007</v>
      </c>
      <c r="BV324" s="59">
        <v>-133.267</v>
      </c>
      <c r="BY324" s="59"/>
      <c r="BZ324" s="59"/>
      <c r="CA324" s="59"/>
      <c r="CC324" s="59"/>
    </row>
    <row r="325" spans="1:81" x14ac:dyDescent="0.25">
      <c r="A325">
        <f t="shared" si="263"/>
        <v>555000</v>
      </c>
      <c r="B325">
        <f t="shared" si="243"/>
        <v>555</v>
      </c>
      <c r="C325">
        <f t="shared" si="212"/>
        <v>4.7104326383326178</v>
      </c>
      <c r="D325">
        <f t="shared" si="213"/>
        <v>1.3568737121082459</v>
      </c>
      <c r="F325">
        <f t="shared" si="214"/>
        <v>8.321529948932617E-5</v>
      </c>
      <c r="G325">
        <f t="shared" si="215"/>
        <v>3.1032492871989688E-3</v>
      </c>
      <c r="H325">
        <f t="shared" si="216"/>
        <v>-3.138489400712801</v>
      </c>
      <c r="J325">
        <f t="shared" si="217"/>
        <v>15</v>
      </c>
      <c r="M325">
        <f t="shared" si="218"/>
        <v>2.2922914752703263E-3</v>
      </c>
      <c r="N325">
        <f t="shared" si="219"/>
        <v>-1.5707963250000001</v>
      </c>
      <c r="O325">
        <f t="shared" si="220"/>
        <v>161.24974180093295</v>
      </c>
      <c r="P325">
        <f t="shared" si="221"/>
        <v>1.564594726725129</v>
      </c>
      <c r="Q325">
        <f t="shared" si="222"/>
        <v>142.39154879177963</v>
      </c>
      <c r="R325">
        <f t="shared" si="223"/>
        <v>1.5637733803572136</v>
      </c>
      <c r="S325">
        <f t="shared" si="224"/>
        <v>0.22670401525269926</v>
      </c>
      <c r="T325">
        <f t="shared" si="225"/>
        <v>-1.342104078306924</v>
      </c>
      <c r="U325">
        <f t="shared" si="226"/>
        <v>0.27616936809233406</v>
      </c>
      <c r="V325">
        <f t="shared" si="227"/>
        <v>-1.290990150454292</v>
      </c>
      <c r="X325">
        <f t="shared" si="244"/>
        <v>-34.255139267845948</v>
      </c>
      <c r="Y325">
        <f t="shared" si="228"/>
        <v>-163.70195682467522</v>
      </c>
      <c r="Z325">
        <f t="shared" si="245"/>
        <v>16.298043175324779</v>
      </c>
      <c r="AC325">
        <v>1</v>
      </c>
      <c r="AD325">
        <f t="shared" si="229"/>
        <v>161.24664099096</v>
      </c>
      <c r="AE325">
        <f t="shared" si="230"/>
        <v>-8.4344115152035715E-2</v>
      </c>
      <c r="AF325">
        <f t="shared" si="231"/>
        <v>2.4235816498424999E-2</v>
      </c>
      <c r="AG325">
        <f t="shared" si="246"/>
        <v>496.48729719074447</v>
      </c>
      <c r="AH325">
        <f t="shared" si="247"/>
        <v>-1769.108202670435</v>
      </c>
      <c r="AJ325">
        <f t="shared" si="232"/>
        <v>18000</v>
      </c>
      <c r="AK325">
        <f t="shared" si="233"/>
        <v>77331.434053103992</v>
      </c>
      <c r="AL325">
        <v>1</v>
      </c>
      <c r="AM325">
        <f t="shared" si="234"/>
        <v>142.38803730412801</v>
      </c>
      <c r="AN325">
        <f t="shared" si="248"/>
        <v>543.96443927353596</v>
      </c>
      <c r="AO325">
        <f t="shared" si="249"/>
        <v>-122.59481829531751</v>
      </c>
      <c r="AQ325">
        <f t="shared" si="235"/>
        <v>8.1162177451361544E-3</v>
      </c>
      <c r="AR325">
        <f t="shared" si="236"/>
        <v>-9.0090016971011302</v>
      </c>
      <c r="AT325">
        <f t="shared" si="261"/>
        <v>-15933.869201201785</v>
      </c>
      <c r="AU325">
        <f t="shared" si="262"/>
        <v>-4487.2133703681493</v>
      </c>
      <c r="AV325">
        <f t="shared" si="250"/>
        <v>-2.8670871766617854</v>
      </c>
      <c r="AW325">
        <f t="shared" si="251"/>
        <v>-43.707747240525613</v>
      </c>
      <c r="AX325">
        <f t="shared" si="252"/>
        <v>-7098.8130908875064</v>
      </c>
      <c r="AY325">
        <f t="shared" si="260"/>
        <v>-1.5769532990075712</v>
      </c>
      <c r="BA325">
        <f t="shared" si="237"/>
        <v>2.3318453823097207</v>
      </c>
      <c r="BB325">
        <f t="shared" si="253"/>
        <v>7.3539950054797645</v>
      </c>
      <c r="BC325">
        <f t="shared" si="254"/>
        <v>-1.2901338776542142</v>
      </c>
      <c r="BD325">
        <f t="shared" si="238"/>
        <v>-253.91922628089881</v>
      </c>
      <c r="BF325">
        <f t="shared" si="239"/>
        <v>-37.258900252054644</v>
      </c>
      <c r="BG325">
        <f t="shared" si="240"/>
        <v>-175.99828606887604</v>
      </c>
      <c r="BH325">
        <f t="shared" si="255"/>
        <v>4.0017139311239589</v>
      </c>
      <c r="BI325">
        <f t="shared" si="256"/>
        <v>4.0017139311239589</v>
      </c>
      <c r="BJ325">
        <f t="shared" si="241"/>
        <v>0</v>
      </c>
      <c r="BK325">
        <f t="shared" si="257"/>
        <v>0</v>
      </c>
      <c r="BM325">
        <f t="shared" si="258"/>
        <v>-44.612895257534404</v>
      </c>
      <c r="BN325">
        <f t="shared" si="242"/>
        <v>-102.07905978797726</v>
      </c>
      <c r="BQ325" s="56">
        <f t="shared" si="259"/>
        <v>24.255955805764906</v>
      </c>
      <c r="BR325" s="59"/>
      <c r="BS325" s="59"/>
      <c r="BT325" s="59">
        <v>141253.75399999999</v>
      </c>
      <c r="BU325" s="59">
        <v>9.5290400000000002</v>
      </c>
      <c r="BV325" s="59">
        <v>-133.959</v>
      </c>
      <c r="BY325" s="59"/>
      <c r="BZ325" s="59"/>
      <c r="CA325" s="59"/>
      <c r="CC325" s="59"/>
    </row>
    <row r="326" spans="1:81" x14ac:dyDescent="0.25">
      <c r="A326">
        <f t="shared" si="263"/>
        <v>560000</v>
      </c>
      <c r="B326">
        <f t="shared" si="243"/>
        <v>560</v>
      </c>
      <c r="C326">
        <f t="shared" si="212"/>
        <v>4.7509645600226698</v>
      </c>
      <c r="D326">
        <f t="shared" si="213"/>
        <v>1.3587267378975496</v>
      </c>
      <c r="F326">
        <f t="shared" si="214"/>
        <v>8.1735831240788945E-5</v>
      </c>
      <c r="G326">
        <f t="shared" si="215"/>
        <v>3.0755373032224382E-3</v>
      </c>
      <c r="H326">
        <f t="shared" si="216"/>
        <v>-3.1385171126967779</v>
      </c>
      <c r="J326">
        <f t="shared" si="217"/>
        <v>15</v>
      </c>
      <c r="M326">
        <f t="shared" si="218"/>
        <v>2.2718245870982697E-3</v>
      </c>
      <c r="N326">
        <f t="shared" si="219"/>
        <v>-1.5707963250000001</v>
      </c>
      <c r="O326">
        <f t="shared" si="220"/>
        <v>162.7023865570149</v>
      </c>
      <c r="P326">
        <f t="shared" si="221"/>
        <v>1.5646500967535735</v>
      </c>
      <c r="Q326">
        <f t="shared" si="222"/>
        <v>143.67429255082214</v>
      </c>
      <c r="R326">
        <f t="shared" si="223"/>
        <v>1.563836083201861</v>
      </c>
      <c r="S326">
        <f t="shared" si="224"/>
        <v>0.22478258377535645</v>
      </c>
      <c r="T326">
        <f t="shared" si="225"/>
        <v>-1.3440764226222202</v>
      </c>
      <c r="U326">
        <f t="shared" si="226"/>
        <v>0.2738893130572006</v>
      </c>
      <c r="V326">
        <f t="shared" si="227"/>
        <v>-1.2933616615019308</v>
      </c>
      <c r="X326">
        <f t="shared" si="244"/>
        <v>-34.404578693163138</v>
      </c>
      <c r="Y326">
        <f t="shared" si="228"/>
        <v>-163.83949354930849</v>
      </c>
      <c r="Z326">
        <f t="shared" si="245"/>
        <v>16.160506450691514</v>
      </c>
      <c r="AC326">
        <v>1</v>
      </c>
      <c r="AD326">
        <f t="shared" si="229"/>
        <v>162.69931343232</v>
      </c>
      <c r="AE326">
        <f t="shared" si="230"/>
        <v>-8.5870674496155833E-2</v>
      </c>
      <c r="AF326">
        <f t="shared" si="231"/>
        <v>2.4454157187599999E-2</v>
      </c>
      <c r="AG326">
        <f t="shared" si="246"/>
        <v>488.32313766553301</v>
      </c>
      <c r="AH326">
        <f t="shared" si="247"/>
        <v>-1755.6375741785282</v>
      </c>
      <c r="AJ326">
        <f t="shared" si="232"/>
        <v>18000</v>
      </c>
      <c r="AK326">
        <f t="shared" si="233"/>
        <v>78028.113639168005</v>
      </c>
      <c r="AL326">
        <v>1</v>
      </c>
      <c r="AM326">
        <f t="shared" si="234"/>
        <v>143.67081241497601</v>
      </c>
      <c r="AN326">
        <f t="shared" si="248"/>
        <v>543.94913381346385</v>
      </c>
      <c r="AO326">
        <f t="shared" si="249"/>
        <v>-121.50032823484574</v>
      </c>
      <c r="AQ326">
        <f t="shared" si="235"/>
        <v>7.971932420334487E-3</v>
      </c>
      <c r="AR326">
        <f t="shared" si="236"/>
        <v>-8.9285643107746253</v>
      </c>
      <c r="AT326">
        <f t="shared" si="261"/>
        <v>-15671.430108412591</v>
      </c>
      <c r="AU326">
        <f t="shared" si="262"/>
        <v>-4374.0203631819131</v>
      </c>
      <c r="AV326">
        <f t="shared" si="250"/>
        <v>-2.8694113614325532</v>
      </c>
      <c r="AW326">
        <f t="shared" si="251"/>
        <v>-32.593831461916956</v>
      </c>
      <c r="AX326">
        <f t="shared" si="252"/>
        <v>-7037.6752432020803</v>
      </c>
      <c r="AY326">
        <f t="shared" si="260"/>
        <v>-1.5754276286524957</v>
      </c>
      <c r="BA326">
        <f t="shared" si="237"/>
        <v>2.3118743949662153</v>
      </c>
      <c r="BB326">
        <f t="shared" si="253"/>
        <v>7.2792847000312921</v>
      </c>
      <c r="BC326">
        <f t="shared" si="254"/>
        <v>-1.2939837327800574</v>
      </c>
      <c r="BD326">
        <f t="shared" si="238"/>
        <v>-254.13980673159847</v>
      </c>
      <c r="BF326">
        <f t="shared" si="239"/>
        <v>-37.41500462910841</v>
      </c>
      <c r="BG326">
        <f t="shared" si="240"/>
        <v>-176.11428374212403</v>
      </c>
      <c r="BH326">
        <f t="shared" si="255"/>
        <v>3.8857162578759699</v>
      </c>
      <c r="BI326">
        <f t="shared" si="256"/>
        <v>3.8857162578759699</v>
      </c>
      <c r="BJ326">
        <f t="shared" si="241"/>
        <v>0</v>
      </c>
      <c r="BK326">
        <f t="shared" si="257"/>
        <v>0</v>
      </c>
      <c r="BM326">
        <f t="shared" si="258"/>
        <v>-44.6942893291397</v>
      </c>
      <c r="BN326">
        <f t="shared" si="242"/>
        <v>-101.97447701052556</v>
      </c>
      <c r="BQ326" s="56">
        <f t="shared" si="259"/>
        <v>24.181245500316429</v>
      </c>
      <c r="BR326" s="59"/>
      <c r="BS326" s="59"/>
      <c r="BT326" s="59">
        <v>144543.97700000001</v>
      </c>
      <c r="BU326" s="59">
        <v>9.7312899999999996</v>
      </c>
      <c r="BV326" s="59">
        <v>-134.75200000000001</v>
      </c>
      <c r="BY326" s="59"/>
      <c r="BZ326" s="59"/>
      <c r="CA326" s="59"/>
      <c r="CC326" s="59"/>
    </row>
    <row r="327" spans="1:81" x14ac:dyDescent="0.25">
      <c r="A327">
        <f t="shared" si="263"/>
        <v>565000</v>
      </c>
      <c r="B327">
        <f t="shared" si="243"/>
        <v>565</v>
      </c>
      <c r="C327">
        <f t="shared" si="212"/>
        <v>4.791512519095348</v>
      </c>
      <c r="D327">
        <f t="shared" si="213"/>
        <v>1.3605484075593108</v>
      </c>
      <c r="F327">
        <f t="shared" si="214"/>
        <v>8.0295470841126914E-5</v>
      </c>
      <c r="G327">
        <f t="shared" si="215"/>
        <v>3.0483159121449032E-3</v>
      </c>
      <c r="H327">
        <f t="shared" si="216"/>
        <v>-3.1385443340878552</v>
      </c>
      <c r="J327">
        <f t="shared" si="217"/>
        <v>15</v>
      </c>
      <c r="M327">
        <f t="shared" si="218"/>
        <v>2.251719944734568E-3</v>
      </c>
      <c r="N327">
        <f t="shared" si="219"/>
        <v>-1.5707963250000001</v>
      </c>
      <c r="O327">
        <f t="shared" si="220"/>
        <v>164.15503180308801</v>
      </c>
      <c r="P327">
        <f t="shared" si="221"/>
        <v>1.564704486818209</v>
      </c>
      <c r="Q327">
        <f t="shared" si="222"/>
        <v>144.95703686474391</v>
      </c>
      <c r="R327">
        <f t="shared" si="223"/>
        <v>1.5638976763149373</v>
      </c>
      <c r="S327">
        <f t="shared" si="224"/>
        <v>0.22289260343810063</v>
      </c>
      <c r="T327">
        <f t="shared" si="225"/>
        <v>-1.3460156072869431</v>
      </c>
      <c r="U327">
        <f t="shared" si="226"/>
        <v>0.27164510760348548</v>
      </c>
      <c r="V327">
        <f t="shared" si="227"/>
        <v>-1.2956943219216794</v>
      </c>
      <c r="X327">
        <f t="shared" si="244"/>
        <v>-34.552792860926125</v>
      </c>
      <c r="Y327">
        <f t="shared" si="228"/>
        <v>-163.97479258449491</v>
      </c>
      <c r="Z327">
        <f t="shared" si="245"/>
        <v>16.025207415505093</v>
      </c>
      <c r="AC327">
        <v>1</v>
      </c>
      <c r="AD327">
        <f t="shared" si="229"/>
        <v>164.15198587367999</v>
      </c>
      <c r="AE327">
        <f t="shared" si="230"/>
        <v>-8.7410924955469857E-2</v>
      </c>
      <c r="AF327">
        <f t="shared" si="231"/>
        <v>2.4672497876775001E-2</v>
      </c>
      <c r="AG327">
        <f t="shared" si="246"/>
        <v>480.35343901700674</v>
      </c>
      <c r="AH327">
        <f t="shared" si="247"/>
        <v>-1742.3504756072359</v>
      </c>
      <c r="AJ327">
        <f t="shared" si="232"/>
        <v>18000</v>
      </c>
      <c r="AK327">
        <f t="shared" si="233"/>
        <v>78724.793225232002</v>
      </c>
      <c r="AL327">
        <v>1</v>
      </c>
      <c r="AM327">
        <f t="shared" si="234"/>
        <v>144.95358752582399</v>
      </c>
      <c r="AN327">
        <f t="shared" si="248"/>
        <v>543.93423286660402</v>
      </c>
      <c r="AO327">
        <f t="shared" si="249"/>
        <v>-120.42520688922953</v>
      </c>
      <c r="AQ327">
        <f t="shared" si="235"/>
        <v>7.8314607005554853E-3</v>
      </c>
      <c r="AR327">
        <f t="shared" si="236"/>
        <v>-8.8495505916276986</v>
      </c>
      <c r="AT327">
        <f t="shared" si="261"/>
        <v>-15415.256813152777</v>
      </c>
      <c r="AU327">
        <f t="shared" si="262"/>
        <v>-4264.5572097196646</v>
      </c>
      <c r="AV327">
        <f t="shared" si="250"/>
        <v>-2.871697533172068</v>
      </c>
      <c r="AW327">
        <f t="shared" si="251"/>
        <v>-21.795629679156708</v>
      </c>
      <c r="AX327">
        <f t="shared" si="252"/>
        <v>-6977.5668935089943</v>
      </c>
      <c r="AY327">
        <f t="shared" si="260"/>
        <v>-1.5739199885416331</v>
      </c>
      <c r="BA327">
        <f t="shared" si="237"/>
        <v>2.2922301785006041</v>
      </c>
      <c r="BB327">
        <f t="shared" si="253"/>
        <v>7.2051645192525973</v>
      </c>
      <c r="BC327">
        <f t="shared" si="254"/>
        <v>-1.2977775446304349</v>
      </c>
      <c r="BD327">
        <f t="shared" si="238"/>
        <v>-254.35717613914022</v>
      </c>
      <c r="BF327">
        <f t="shared" si="239"/>
        <v>-37.569736773989035</v>
      </c>
      <c r="BG327">
        <f t="shared" si="240"/>
        <v>-176.22883883708354</v>
      </c>
      <c r="BH327">
        <f t="shared" si="255"/>
        <v>3.7711611629164565</v>
      </c>
      <c r="BI327">
        <f t="shared" si="256"/>
        <v>3.7711611629164565</v>
      </c>
      <c r="BJ327">
        <f t="shared" si="241"/>
        <v>0</v>
      </c>
      <c r="BK327">
        <f t="shared" si="257"/>
        <v>0</v>
      </c>
      <c r="BM327">
        <f t="shared" si="258"/>
        <v>-44.774901293241633</v>
      </c>
      <c r="BN327">
        <f t="shared" si="242"/>
        <v>-101.87166269794335</v>
      </c>
      <c r="BQ327" s="56">
        <f t="shared" si="259"/>
        <v>24.107125319537733</v>
      </c>
      <c r="BR327" s="59"/>
      <c r="BS327" s="59"/>
      <c r="BT327" s="59">
        <v>147910.83900000001</v>
      </c>
      <c r="BU327" s="59">
        <v>9.9010099999999994</v>
      </c>
      <c r="BV327" s="59">
        <v>-135.72399999999999</v>
      </c>
      <c r="BY327" s="59"/>
      <c r="BZ327" s="59"/>
      <c r="CA327" s="59"/>
      <c r="CC327" s="59"/>
    </row>
    <row r="328" spans="1:81" x14ac:dyDescent="0.25">
      <c r="A328">
        <f t="shared" si="263"/>
        <v>570000</v>
      </c>
      <c r="B328">
        <f t="shared" si="243"/>
        <v>570</v>
      </c>
      <c r="C328">
        <f t="shared" si="212"/>
        <v>4.8320761118216389</v>
      </c>
      <c r="D328">
        <f t="shared" si="213"/>
        <v>1.3623394985196891</v>
      </c>
      <c r="F328">
        <f t="shared" si="214"/>
        <v>7.8892851949654693E-5</v>
      </c>
      <c r="G328">
        <f t="shared" si="215"/>
        <v>3.0215721996337121E-3</v>
      </c>
      <c r="H328">
        <f t="shared" si="216"/>
        <v>-3.1385710778003664</v>
      </c>
      <c r="J328">
        <f t="shared" si="217"/>
        <v>15</v>
      </c>
      <c r="M328">
        <f t="shared" si="218"/>
        <v>2.2319680153947913E-3</v>
      </c>
      <c r="N328">
        <f t="shared" si="219"/>
        <v>-1.5707963250000001</v>
      </c>
      <c r="O328">
        <f t="shared" si="220"/>
        <v>165.60767752625824</v>
      </c>
      <c r="P328">
        <f t="shared" si="221"/>
        <v>1.5647579227062862</v>
      </c>
      <c r="Q328">
        <f t="shared" si="222"/>
        <v>146.2397817189435</v>
      </c>
      <c r="R328">
        <f t="shared" si="223"/>
        <v>1.5639581888980594</v>
      </c>
      <c r="S328">
        <f t="shared" si="224"/>
        <v>0.2210333296496724</v>
      </c>
      <c r="T328">
        <f t="shared" si="225"/>
        <v>-1.3479224473417357</v>
      </c>
      <c r="U328">
        <f t="shared" si="226"/>
        <v>0.26943595004953697</v>
      </c>
      <c r="V328">
        <f t="shared" si="227"/>
        <v>-1.2979890538735683</v>
      </c>
      <c r="X328">
        <f t="shared" si="244"/>
        <v>-34.699800942851041</v>
      </c>
      <c r="Y328">
        <f t="shared" si="228"/>
        <v>-164.10790651057019</v>
      </c>
      <c r="Z328">
        <f t="shared" si="245"/>
        <v>15.892093489429811</v>
      </c>
      <c r="AC328">
        <v>1</v>
      </c>
      <c r="AD328">
        <f t="shared" si="229"/>
        <v>165.60465831504001</v>
      </c>
      <c r="AE328">
        <f t="shared" si="230"/>
        <v>-8.8964866529977787E-2</v>
      </c>
      <c r="AF328">
        <f t="shared" si="231"/>
        <v>2.4890838565950001E-2</v>
      </c>
      <c r="AG328">
        <f t="shared" si="246"/>
        <v>472.57224669749394</v>
      </c>
      <c r="AH328">
        <f t="shared" si="247"/>
        <v>-1729.2437432017668</v>
      </c>
      <c r="AJ328">
        <f t="shared" si="232"/>
        <v>18000</v>
      </c>
      <c r="AK328">
        <f t="shared" si="233"/>
        <v>79421.472811295986</v>
      </c>
      <c r="AL328">
        <v>1</v>
      </c>
      <c r="AM328">
        <f t="shared" si="234"/>
        <v>146.236362636672</v>
      </c>
      <c r="AN328">
        <f t="shared" si="248"/>
        <v>543.91972230305885</v>
      </c>
      <c r="AO328">
        <f t="shared" si="249"/>
        <v>-119.36894465207003</v>
      </c>
      <c r="AQ328">
        <f t="shared" si="235"/>
        <v>7.6946693639047678E-3</v>
      </c>
      <c r="AR328">
        <f t="shared" si="236"/>
        <v>-8.7719230748514345</v>
      </c>
      <c r="AT328">
        <f t="shared" si="261"/>
        <v>-15165.156805845152</v>
      </c>
      <c r="AU328">
        <f t="shared" si="262"/>
        <v>-4158.673354193671</v>
      </c>
      <c r="AV328">
        <f t="shared" si="250"/>
        <v>-2.8739465919996094</v>
      </c>
      <c r="AW328">
        <f t="shared" si="251"/>
        <v>-11.301249462581579</v>
      </c>
      <c r="AX328">
        <f t="shared" si="252"/>
        <v>-6918.4625286795999</v>
      </c>
      <c r="AY328">
        <f t="shared" si="260"/>
        <v>-1.5724298168028372</v>
      </c>
      <c r="BA328">
        <f t="shared" si="237"/>
        <v>2.2729050289010102</v>
      </c>
      <c r="BB328">
        <f t="shared" si="253"/>
        <v>7.1316257907341782</v>
      </c>
      <c r="BC328">
        <f t="shared" si="254"/>
        <v>-1.3015167751967722</v>
      </c>
      <c r="BD328">
        <f t="shared" si="238"/>
        <v>-254.57141826946247</v>
      </c>
      <c r="BF328">
        <f t="shared" si="239"/>
        <v>-37.723120581319634</v>
      </c>
      <c r="BG328">
        <f t="shared" si="240"/>
        <v>-176.34199131639198</v>
      </c>
      <c r="BH328">
        <f t="shared" si="255"/>
        <v>3.658008683608017</v>
      </c>
      <c r="BI328">
        <f t="shared" si="256"/>
        <v>3.658008683608017</v>
      </c>
      <c r="BJ328">
        <f t="shared" si="241"/>
        <v>0</v>
      </c>
      <c r="BK328">
        <f t="shared" si="257"/>
        <v>0</v>
      </c>
      <c r="BM328">
        <f t="shared" si="258"/>
        <v>-44.854746372053818</v>
      </c>
      <c r="BN328">
        <f t="shared" si="242"/>
        <v>-101.77057304692951</v>
      </c>
      <c r="BQ328" s="56">
        <f t="shared" si="259"/>
        <v>24.033586591019315</v>
      </c>
      <c r="BR328" s="59"/>
      <c r="BS328" s="59"/>
      <c r="BT328" s="59">
        <v>151356.125</v>
      </c>
      <c r="BU328" s="59">
        <v>10.0764</v>
      </c>
      <c r="BV328" s="59">
        <v>-136.34200000000001</v>
      </c>
      <c r="BY328" s="59"/>
      <c r="BZ328" s="59"/>
      <c r="CA328" s="59"/>
      <c r="CC328" s="59"/>
    </row>
    <row r="329" spans="1:81" x14ac:dyDescent="0.25">
      <c r="A329">
        <f t="shared" si="263"/>
        <v>575000</v>
      </c>
      <c r="B329">
        <f t="shared" si="243"/>
        <v>575</v>
      </c>
      <c r="C329">
        <f t="shared" ref="C329:C392" si="264">SQRT((A329/Fesr)^2+1)</f>
        <v>4.8726549477631842</v>
      </c>
      <c r="D329">
        <f t="shared" ref="D329:D392" si="265">ATAN(A329/Fesr)</f>
        <v>1.364100763107464</v>
      </c>
      <c r="F329">
        <f t="shared" ref="F329:F392" si="266">(Ro/(Ro+Rdcr))/SQRT((A329/(Q*Fo))^2+(1-(A329^2/Fo^2))^2)</f>
        <v>7.7526667381178427E-5</v>
      </c>
      <c r="G329">
        <f t="shared" ref="G329:G392" si="267">-ATAN(A329*Fo/(Q*(Fo^2-A329^2)))</f>
        <v>2.9952937007217783E-3</v>
      </c>
      <c r="H329">
        <f t="shared" ref="H329:H392" si="268">IF(G329&gt;0,G329-Pi,G329)</f>
        <v>-3.1385973562992784</v>
      </c>
      <c r="J329">
        <f t="shared" ref="J329:J392" si="269">Vin/Vramp</f>
        <v>15</v>
      </c>
      <c r="M329">
        <f t="shared" ref="M329:M392" si="270">1/(2*Pi*_Rfb1*(Cc1ea_u+Cc2ea_u)*A329)</f>
        <v>2.2125595978696191E-3</v>
      </c>
      <c r="N329">
        <f t="shared" ref="N329:N392" si="271">-Pi/2</f>
        <v>-1.5707963250000001</v>
      </c>
      <c r="O329">
        <f t="shared" ref="O329:O392" si="272">SQRT(1+(A329/Fz1_u)^2)</f>
        <v>167.06032371408006</v>
      </c>
      <c r="P329">
        <f t="shared" ref="P329:P392" si="273">ATAN2(Fz1_u,A329)</f>
        <v>1.5648104293081626</v>
      </c>
      <c r="Q329">
        <f t="shared" ref="Q329:Q392" si="274">SQRT(1+(A329/Fz2_u)^2)</f>
        <v>147.52252709932742</v>
      </c>
      <c r="R329">
        <f t="shared" ref="R329:R392" si="275">ATAN2(Fz2_u,A329)</f>
        <v>1.5640176491372155</v>
      </c>
      <c r="S329">
        <f t="shared" ref="S329:S392" si="276">1/SQRT(1+(A329/Fp1_u)^2)</f>
        <v>0.21920404041442196</v>
      </c>
      <c r="T329">
        <f t="shared" ref="T329:T392" si="277">-ATAN2(Fp1_u,A329)</f>
        <v>-1.3497977318046246</v>
      </c>
      <c r="U329">
        <f t="shared" ref="U329:U392" si="278">1/SQRT(1+(A329/Fp2_u)^2)</f>
        <v>0.26726106118117265</v>
      </c>
      <c r="V329">
        <f t="shared" ref="V329:V392" si="279">-ATAN2(Fp2_u,A329)</f>
        <v>-1.3002467513700025</v>
      </c>
      <c r="X329">
        <f t="shared" si="244"/>
        <v>-34.845621681227449</v>
      </c>
      <c r="Y329">
        <f t="shared" ref="Y329:Y392" si="280">(180/Pi)*(D329+H329+N329+P329+R329+T329+V329)</f>
        <v>-164.23888632595046</v>
      </c>
      <c r="Z329">
        <f t="shared" si="245"/>
        <v>15.76111367404954</v>
      </c>
      <c r="AC329">
        <v>1</v>
      </c>
      <c r="AD329">
        <f t="shared" ref="AD329:AD392" si="281">Rcea1_u*Cc1ea_u*A329*2*Pi</f>
        <v>167.05733075640001</v>
      </c>
      <c r="AE329">
        <f t="shared" ref="AE329:AE392" si="282">-Rcea1_u*Cc1ea_u*Cc2ea_u*(A329*2*Pi)^2</f>
        <v>-9.053249921967961E-2</v>
      </c>
      <c r="AF329">
        <f t="shared" ref="AF329:AF392" si="283">(Cc2ea_u+Cc1ea_u)*A329*2*Pi</f>
        <v>2.5109179255125E-2</v>
      </c>
      <c r="AG329">
        <f t="shared" si="246"/>
        <v>464.9738252836064</v>
      </c>
      <c r="AH329">
        <f t="shared" si="247"/>
        <v>-1716.3142624768761</v>
      </c>
      <c r="AJ329">
        <f t="shared" ref="AJ329:AJ392" si="284">_Rfb1</f>
        <v>18000</v>
      </c>
      <c r="AK329">
        <f t="shared" ref="AK329:AK392" si="285">_Rfb1*Rcea2_u*Cc3ea_u*A329*2*Pi</f>
        <v>80118.152397359998</v>
      </c>
      <c r="AL329">
        <v>1</v>
      </c>
      <c r="AM329">
        <f t="shared" ref="AM329:AM392" si="286">(_Rfb1+Rcea2_u)*Cc3ea_u*A329*2*Pi</f>
        <v>147.51913774752001</v>
      </c>
      <c r="AN329">
        <f t="shared" si="248"/>
        <v>543.9055886045345</v>
      </c>
      <c r="AO329">
        <f t="shared" si="249"/>
        <v>-118.33104963826246</v>
      </c>
      <c r="AQ329">
        <f t="shared" ref="AQ329:AQ392" si="287">Eadcg/(1+(Eadcg*A329/GBP)^2)</f>
        <v>7.5614309554397309E-3</v>
      </c>
      <c r="AR329">
        <f t="shared" ref="AR329:AR392" si="288">-(A329*Eadcg*Eadcg/GBP)/(1+(Eadcg*A329/GBP)^2)</f>
        <v>-8.6956455987556911</v>
      </c>
      <c r="AT329">
        <f t="shared" si="261"/>
        <v>-14920.944695112699</v>
      </c>
      <c r="AU329">
        <f t="shared" si="262"/>
        <v>-4056.2253891575451</v>
      </c>
      <c r="AV329">
        <f t="shared" si="250"/>
        <v>-2.8761594106534139</v>
      </c>
      <c r="AW329">
        <f t="shared" si="251"/>
        <v>-1.0993529615667263</v>
      </c>
      <c r="AX329">
        <f t="shared" si="252"/>
        <v>-6860.337466297894</v>
      </c>
      <c r="AY329">
        <f t="shared" si="260"/>
        <v>-1.570956574444164</v>
      </c>
      <c r="BA329">
        <f t="shared" ref="BA329:BA392" si="289">SQRT(AT329^2+AU329^2)/SQRT(AW329^2+AX329^2)</f>
        <v>2.2538914715227327</v>
      </c>
      <c r="BB329">
        <f t="shared" si="253"/>
        <v>7.0586600048001511</v>
      </c>
      <c r="BC329">
        <f t="shared" si="254"/>
        <v>-1.3052028362092498</v>
      </c>
      <c r="BD329">
        <f t="shared" ref="BD329:BD392" si="290">BC329*180/Pi-180</f>
        <v>-254.78261400874646</v>
      </c>
      <c r="BF329">
        <f t="shared" ref="BF329:BF392" si="291">20*LOG(BA329*J329*F329*C329)</f>
        <v>-37.875179338038699</v>
      </c>
      <c r="BG329">
        <f t="shared" ref="BG329:BG392" si="292">(180/Pi)*(D329+H329+BC329)</f>
        <v>-176.45377967515665</v>
      </c>
      <c r="BH329">
        <f t="shared" si="255"/>
        <v>3.5462203248433468</v>
      </c>
      <c r="BI329">
        <f t="shared" si="256"/>
        <v>3.5462203248433468</v>
      </c>
      <c r="BJ329">
        <f t="shared" ref="BJ329:BJ392" si="293">SUM((BF330&lt;0)*(BF329&gt;0))*A329</f>
        <v>0</v>
      </c>
      <c r="BK329">
        <f t="shared" si="257"/>
        <v>0</v>
      </c>
      <c r="BM329">
        <f t="shared" si="258"/>
        <v>-44.933839342838851</v>
      </c>
      <c r="BN329">
        <f t="shared" ref="BN329:BN392" si="294">(H329+D329)*180/Pi</f>
        <v>-101.67116566641018</v>
      </c>
      <c r="BQ329" s="56">
        <f t="shared" si="259"/>
        <v>23.960620805085288</v>
      </c>
      <c r="BR329" s="59"/>
      <c r="BS329" s="59"/>
      <c r="BT329" s="59">
        <v>154881.66200000001</v>
      </c>
      <c r="BU329" s="59">
        <v>10.266</v>
      </c>
      <c r="BV329" s="59">
        <v>-136.816</v>
      </c>
      <c r="BY329" s="59"/>
      <c r="BZ329" s="59"/>
      <c r="CA329" s="59"/>
      <c r="CC329" s="59"/>
    </row>
    <row r="330" spans="1:81" x14ac:dyDescent="0.25">
      <c r="A330">
        <f t="shared" si="263"/>
        <v>580000</v>
      </c>
      <c r="B330">
        <f t="shared" ref="B330:B393" si="295">A330/1000</f>
        <v>580</v>
      </c>
      <c r="C330">
        <f t="shared" si="264"/>
        <v>4.9132486492359186</v>
      </c>
      <c r="D330">
        <f t="shared" si="265"/>
        <v>1.3658329295424603</v>
      </c>
      <c r="F330">
        <f t="shared" si="266"/>
        <v>7.6195666058972744E-5</v>
      </c>
      <c r="G330">
        <f t="shared" si="267"/>
        <v>2.9694683804296147E-3</v>
      </c>
      <c r="H330">
        <f t="shared" si="268"/>
        <v>-3.1386231816195704</v>
      </c>
      <c r="J330">
        <f t="shared" si="269"/>
        <v>15</v>
      </c>
      <c r="M330">
        <f t="shared" si="270"/>
        <v>2.1934858082328121E-3</v>
      </c>
      <c r="N330">
        <f t="shared" si="271"/>
        <v>-1.5707963250000001</v>
      </c>
      <c r="O330">
        <f t="shared" si="272"/>
        <v>168.51297035453706</v>
      </c>
      <c r="P330">
        <f t="shared" si="273"/>
        <v>1.5648620306559586</v>
      </c>
      <c r="Q330">
        <f t="shared" si="274"/>
        <v>148.80527299228797</v>
      </c>
      <c r="R330">
        <f t="shared" si="275"/>
        <v>1.5640760842465375</v>
      </c>
      <c r="S330">
        <f t="shared" si="276"/>
        <v>0.21740403551261761</v>
      </c>
      <c r="T330">
        <f t="shared" si="277"/>
        <v>-1.3516422246819189</v>
      </c>
      <c r="U330">
        <f t="shared" si="278"/>
        <v>0.26511968352446785</v>
      </c>
      <c r="V330">
        <f t="shared" si="279"/>
        <v>-1.3024682813086657</v>
      </c>
      <c r="X330">
        <f t="shared" ref="X330:X393" si="296">20*LOG(C330*J330*O330*Q330*F330*M330*S330*U330)</f>
        <v>-34.990273401154219</v>
      </c>
      <c r="Y330">
        <f t="shared" si="280"/>
        <v>-164.36778150398831</v>
      </c>
      <c r="Z330">
        <f t="shared" ref="Z330:Z393" si="297">Y330+180</f>
        <v>15.632218496011689</v>
      </c>
      <c r="AC330">
        <v>1</v>
      </c>
      <c r="AD330">
        <f t="shared" si="281"/>
        <v>168.51000319776</v>
      </c>
      <c r="AE330">
        <f t="shared" si="282"/>
        <v>-9.2113823024575339E-2</v>
      </c>
      <c r="AF330">
        <f t="shared" si="283"/>
        <v>2.5327519944300003E-2</v>
      </c>
      <c r="AG330">
        <f t="shared" ref="AG330:AG359" si="298">AC330*AE330/(AE330^2+AF330^2)+AD330*AF330/(AE330^2+AF330^2)</f>
        <v>457.55264921798226</v>
      </c>
      <c r="AH330">
        <f t="shared" ref="AH330:AH359" si="299">AD330*AE330/(AE330^2+AF330^2)-AC330*AF330/(AE330^2+AF330^2)</f>
        <v>-1703.5589686388187</v>
      </c>
      <c r="AJ330">
        <f t="shared" si="284"/>
        <v>18000</v>
      </c>
      <c r="AK330">
        <f t="shared" si="285"/>
        <v>80814.831983423996</v>
      </c>
      <c r="AL330">
        <v>1</v>
      </c>
      <c r="AM330">
        <f t="shared" si="286"/>
        <v>148.80191285836801</v>
      </c>
      <c r="AN330">
        <f t="shared" ref="AN330:AN359" si="300">AJ330*AL330/(AL330^2+AM330^2)+AK330*AM330/(AL330^2+AM330^2)</f>
        <v>543.89181883284562</v>
      </c>
      <c r="AO330">
        <f t="shared" ref="AO330:AO359" si="301">AK330*AL330/(AL330^2+AM330^2)-AJ330*AM330/(AL330^2+AM330^2)</f>
        <v>-117.31104692035881</v>
      </c>
      <c r="AQ330">
        <f t="shared" si="287"/>
        <v>7.431623490172793E-3</v>
      </c>
      <c r="AR330">
        <f t="shared" si="288"/>
        <v>-8.6206832486004394</v>
      </c>
      <c r="AT330">
        <f t="shared" si="261"/>
        <v>-14682.441904931786</v>
      </c>
      <c r="AU330">
        <f t="shared" si="262"/>
        <v>-3957.0766673144435</v>
      </c>
      <c r="AV330">
        <f t="shared" ref="AV330:AV393" si="302">ATAN2(AT330,AU330)</f>
        <v>-2.8783368354905354</v>
      </c>
      <c r="AW330">
        <f t="shared" ref="AW330:AW393" si="303">AG330-AH330*AO330/_Rfb2+AG330*AN330/_Rfb2+AN330-AO330*AR330+AQ330*AN330</f>
        <v>8.8208737418758254</v>
      </c>
      <c r="AX330">
        <f t="shared" ref="AX330:AX393" si="304">AH330+AH330*AN330/_Rfb2+AG330*AO330/_Rfb2+AO330+AO330*AQ330+AN330*AR330</f>
        <v>-6803.1678211740254</v>
      </c>
      <c r="AY330">
        <f t="shared" si="260"/>
        <v>-1.5694997442276666</v>
      </c>
      <c r="BA330">
        <f t="shared" si="289"/>
        <v>2.2351822531757315</v>
      </c>
      <c r="BB330">
        <f t="shared" ref="BB330:BB393" si="305">20*LOG(BA330)</f>
        <v>6.9862588117438627</v>
      </c>
      <c r="BC330">
        <f t="shared" ref="BC330:BC393" si="306">AV330-AY330</f>
        <v>-1.3088370912628688</v>
      </c>
      <c r="BD330">
        <f t="shared" si="290"/>
        <v>-254.99084148523087</v>
      </c>
      <c r="BF330">
        <f t="shared" si="291"/>
        <v>-38.025935743375342</v>
      </c>
      <c r="BG330">
        <f t="shared" si="292"/>
        <v>-176.56424100724712</v>
      </c>
      <c r="BH330">
        <f t="shared" ref="BH330:BH393" si="307">IF(BG330&gt;180,BG330-180,BG330+180)</f>
        <v>3.4357589927528807</v>
      </c>
      <c r="BI330">
        <f t="shared" ref="BI330:BI393" si="308">IF(BH330&gt;180,BH330-360,BH330)</f>
        <v>3.4357589927528807</v>
      </c>
      <c r="BJ330">
        <f t="shared" si="293"/>
        <v>0</v>
      </c>
      <c r="BK330">
        <f t="shared" ref="BK330:BK393" si="309">IF(BJ330&gt;0,BI330,0)</f>
        <v>0</v>
      </c>
      <c r="BM330">
        <f t="shared" ref="BM330:BM393" si="310">20*LOG(J330*F330*C330)</f>
        <v>-45.012194555119208</v>
      </c>
      <c r="BN330">
        <f t="shared" si="294"/>
        <v>-101.57339952201627</v>
      </c>
      <c r="BQ330" s="56">
        <f t="shared" ref="BQ330:BQ393" si="311">20*LOG(BA330*7)</f>
        <v>23.888219612029001</v>
      </c>
      <c r="BR330" s="59"/>
      <c r="BS330" s="59"/>
      <c r="BT330" s="59">
        <v>158489.31899999999</v>
      </c>
      <c r="BU330" s="59">
        <v>10.4788</v>
      </c>
      <c r="BV330" s="59">
        <v>-137.47</v>
      </c>
      <c r="BY330" s="59"/>
      <c r="BZ330" s="59"/>
      <c r="CA330" s="59"/>
      <c r="CC330" s="59"/>
    </row>
    <row r="331" spans="1:81" x14ac:dyDescent="0.25">
      <c r="A331">
        <f t="shared" si="263"/>
        <v>585000</v>
      </c>
      <c r="B331">
        <f t="shared" si="295"/>
        <v>585</v>
      </c>
      <c r="C331">
        <f t="shared" si="264"/>
        <v>4.9538568507991787</v>
      </c>
      <c r="D331">
        <f t="shared" si="265"/>
        <v>1.3675367028784295</v>
      </c>
      <c r="F331">
        <f t="shared" si="266"/>
        <v>7.4898650149308793E-5</v>
      </c>
      <c r="G331">
        <f t="shared" si="267"/>
        <v>2.9440846153816419E-3</v>
      </c>
      <c r="H331">
        <f t="shared" si="268"/>
        <v>-3.1386485653846186</v>
      </c>
      <c r="J331">
        <f t="shared" si="269"/>
        <v>15</v>
      </c>
      <c r="M331">
        <f t="shared" si="270"/>
        <v>2.1747380662821042E-3</v>
      </c>
      <c r="N331">
        <f t="shared" si="271"/>
        <v>-1.5707963250000001</v>
      </c>
      <c r="O331">
        <f t="shared" si="272"/>
        <v>169.96561743602354</v>
      </c>
      <c r="P331">
        <f t="shared" si="273"/>
        <v>1.5649127499602322</v>
      </c>
      <c r="Q331">
        <f t="shared" si="274"/>
        <v>150.08801938468284</v>
      </c>
      <c r="R331">
        <f t="shared" si="275"/>
        <v>1.5641335205098292</v>
      </c>
      <c r="S331">
        <f t="shared" si="276"/>
        <v>0.2156326357145697</v>
      </c>
      <c r="T331">
        <f t="shared" si="277"/>
        <v>-1.3534566659333065</v>
      </c>
      <c r="U331">
        <f t="shared" si="278"/>
        <v>0.26301108064369616</v>
      </c>
      <c r="V331">
        <f t="shared" si="279"/>
        <v>-1.3046544844618839</v>
      </c>
      <c r="X331">
        <f t="shared" si="296"/>
        <v>-35.13377402235929</v>
      </c>
      <c r="Y331">
        <f t="shared" si="280"/>
        <v>-164.49464004750496</v>
      </c>
      <c r="Z331">
        <f t="shared" si="297"/>
        <v>15.505359952495041</v>
      </c>
      <c r="AC331">
        <v>1</v>
      </c>
      <c r="AD331">
        <f t="shared" si="281"/>
        <v>169.96267563912002</v>
      </c>
      <c r="AE331">
        <f t="shared" si="282"/>
        <v>-9.3708837944664974E-2</v>
      </c>
      <c r="AF331">
        <f t="shared" si="283"/>
        <v>2.5545860633475002E-2</v>
      </c>
      <c r="AG331">
        <f t="shared" si="298"/>
        <v>450.30339398412985</v>
      </c>
      <c r="AH331">
        <f t="shared" si="299"/>
        <v>-1690.9748468676005</v>
      </c>
      <c r="AJ331">
        <f t="shared" si="284"/>
        <v>18000</v>
      </c>
      <c r="AK331">
        <f t="shared" si="285"/>
        <v>81511.511569487993</v>
      </c>
      <c r="AL331">
        <v>1</v>
      </c>
      <c r="AM331">
        <f t="shared" si="286"/>
        <v>150.08468796921602</v>
      </c>
      <c r="AN331">
        <f t="shared" si="300"/>
        <v>543.87840060029862</v>
      </c>
      <c r="AO331">
        <f t="shared" si="301"/>
        <v>-116.30847780407912</v>
      </c>
      <c r="AQ331">
        <f t="shared" si="287"/>
        <v>7.3051301737671317E-3</v>
      </c>
      <c r="AR331">
        <f t="shared" si="288"/>
        <v>-8.5470023033075435</v>
      </c>
      <c r="AT331">
        <f t="shared" si="261"/>
        <v>-14449.47638610176</v>
      </c>
      <c r="AU331">
        <f t="shared" si="262"/>
        <v>-3861.096936946496</v>
      </c>
      <c r="AV331">
        <f t="shared" si="302"/>
        <v>-2.8804796874448675</v>
      </c>
      <c r="AW331">
        <f t="shared" si="303"/>
        <v>18.469749332016384</v>
      </c>
      <c r="AX331">
        <f t="shared" si="304"/>
        <v>-6746.9304734713651</v>
      </c>
      <c r="AY331">
        <f t="shared" ref="AY331:AY394" si="312">ATAN2(AW331,AX331)</f>
        <v>-1.5680588296074196</v>
      </c>
      <c r="BA331">
        <f t="shared" si="289"/>
        <v>2.21677033450172</v>
      </c>
      <c r="BB331">
        <f t="shared" si="305"/>
        <v>6.9144140190308594</v>
      </c>
      <c r="BC331">
        <f t="shared" si="306"/>
        <v>-1.3124208578374479</v>
      </c>
      <c r="BD331">
        <f t="shared" si="290"/>
        <v>-255.19617618494891</v>
      </c>
      <c r="BF331">
        <f t="shared" si="291"/>
        <v>-38.175411928036176</v>
      </c>
      <c r="BG331">
        <f t="shared" si="292"/>
        <v>-176.67341106806276</v>
      </c>
      <c r="BH331">
        <f t="shared" si="307"/>
        <v>3.3265889319372377</v>
      </c>
      <c r="BI331">
        <f t="shared" si="308"/>
        <v>3.3265889319372377</v>
      </c>
      <c r="BJ331">
        <f t="shared" si="293"/>
        <v>0</v>
      </c>
      <c r="BK331">
        <f t="shared" si="309"/>
        <v>0</v>
      </c>
      <c r="BM331">
        <f t="shared" si="310"/>
        <v>-45.089825947067041</v>
      </c>
      <c r="BN331">
        <f t="shared" si="294"/>
        <v>-101.47723488311382</v>
      </c>
      <c r="BQ331" s="56">
        <f t="shared" si="311"/>
        <v>23.816374819315996</v>
      </c>
      <c r="BR331" s="59"/>
      <c r="BS331" s="59"/>
      <c r="BT331" s="59">
        <v>162181.01</v>
      </c>
      <c r="BU331" s="59">
        <v>10.741899999999999</v>
      </c>
      <c r="BV331" s="59">
        <v>-137.46899999999999</v>
      </c>
      <c r="BY331" s="59"/>
      <c r="BZ331" s="59"/>
      <c r="CA331" s="59"/>
      <c r="CC331" s="59"/>
    </row>
    <row r="332" spans="1:81" x14ac:dyDescent="0.25">
      <c r="A332">
        <f t="shared" si="263"/>
        <v>590000</v>
      </c>
      <c r="B332">
        <f t="shared" si="295"/>
        <v>590</v>
      </c>
      <c r="C332">
        <f t="shared" si="264"/>
        <v>4.9944791987688921</v>
      </c>
      <c r="D332">
        <f t="shared" si="265"/>
        <v>1.3692127659027686</v>
      </c>
      <c r="F332">
        <f t="shared" si="266"/>
        <v>7.3634472365274411E-5</v>
      </c>
      <c r="G332">
        <f t="shared" si="267"/>
        <v>2.9191311763577285E-3</v>
      </c>
      <c r="H332">
        <f t="shared" si="268"/>
        <v>-3.1386735188236425</v>
      </c>
      <c r="J332">
        <f t="shared" si="269"/>
        <v>15</v>
      </c>
      <c r="M332">
        <f t="shared" si="270"/>
        <v>2.156308082669544E-3</v>
      </c>
      <c r="N332">
        <f t="shared" si="271"/>
        <v>-1.5707963250000001</v>
      </c>
      <c r="O332">
        <f t="shared" si="272"/>
        <v>171.41826494732734</v>
      </c>
      <c r="P332">
        <f t="shared" si="273"/>
        <v>1.5649626096447877</v>
      </c>
      <c r="Q332">
        <f t="shared" si="274"/>
        <v>151.37076626381511</v>
      </c>
      <c r="R332">
        <f t="shared" si="275"/>
        <v>1.5641899833199846</v>
      </c>
      <c r="S332">
        <f t="shared" si="276"/>
        <v>0.21388918202705284</v>
      </c>
      <c r="T332">
        <f t="shared" si="277"/>
        <v>-1.3552417723934993</v>
      </c>
      <c r="U332">
        <f t="shared" si="278"/>
        <v>0.26093453646360304</v>
      </c>
      <c r="V332">
        <f t="shared" si="279"/>
        <v>-1.3068061764244849</v>
      </c>
      <c r="X332">
        <f t="shared" si="296"/>
        <v>-35.276141070619914</v>
      </c>
      <c r="Y332">
        <f t="shared" si="280"/>
        <v>-164.61950854110111</v>
      </c>
      <c r="Z332">
        <f t="shared" si="297"/>
        <v>15.380491458898888</v>
      </c>
      <c r="AC332">
        <v>1</v>
      </c>
      <c r="AD332">
        <f t="shared" si="281"/>
        <v>171.41534808047999</v>
      </c>
      <c r="AE332">
        <f t="shared" si="282"/>
        <v>-9.5317543979948488E-2</v>
      </c>
      <c r="AF332">
        <f t="shared" si="283"/>
        <v>2.5764201322650001E-2</v>
      </c>
      <c r="AG332">
        <f t="shared" si="298"/>
        <v>443.2209276927133</v>
      </c>
      <c r="AH332">
        <f t="shared" si="299"/>
        <v>-1678.5589324736573</v>
      </c>
      <c r="AJ332">
        <f t="shared" si="284"/>
        <v>18000</v>
      </c>
      <c r="AK332">
        <f t="shared" si="285"/>
        <v>82208.191155551991</v>
      </c>
      <c r="AL332">
        <v>1</v>
      </c>
      <c r="AM332">
        <f t="shared" si="286"/>
        <v>151.367463080064</v>
      </c>
      <c r="AN332">
        <f t="shared" si="300"/>
        <v>543.8653220418222</v>
      </c>
      <c r="AO332">
        <f t="shared" si="301"/>
        <v>-115.32289914064931</v>
      </c>
      <c r="AQ332">
        <f t="shared" si="287"/>
        <v>7.1818391397305802E-3</v>
      </c>
      <c r="AR332">
        <f t="shared" si="288"/>
        <v>-8.4745701848820847</v>
      </c>
      <c r="AT332">
        <f t="shared" si="261"/>
        <v>-14221.882341302706</v>
      </c>
      <c r="AU332">
        <f t="shared" si="262"/>
        <v>-3768.16199938003</v>
      </c>
      <c r="AV332">
        <f t="shared" si="302"/>
        <v>-2.8825887629452485</v>
      </c>
      <c r="AW332">
        <f t="shared" si="303"/>
        <v>27.857124150100361</v>
      </c>
      <c r="AX332">
        <f t="shared" si="304"/>
        <v>-6691.6030383561738</v>
      </c>
      <c r="AY332">
        <f t="shared" si="312"/>
        <v>-1.5666333537276484</v>
      </c>
      <c r="BA332">
        <f t="shared" si="289"/>
        <v>2.1986488826313852</v>
      </c>
      <c r="BB332">
        <f t="shared" si="305"/>
        <v>6.8431175884800419</v>
      </c>
      <c r="BC332">
        <f t="shared" si="306"/>
        <v>-1.3159554092176</v>
      </c>
      <c r="BD332">
        <f t="shared" si="290"/>
        <v>-255.39869106173518</v>
      </c>
      <c r="BF332">
        <f t="shared" si="291"/>
        <v>-38.323629472639269</v>
      </c>
      <c r="BG332">
        <f t="shared" si="292"/>
        <v>-176.78132433398875</v>
      </c>
      <c r="BH332">
        <f t="shared" si="307"/>
        <v>3.2186756660112508</v>
      </c>
      <c r="BI332">
        <f t="shared" si="308"/>
        <v>3.2186756660112508</v>
      </c>
      <c r="BJ332">
        <f t="shared" si="293"/>
        <v>0</v>
      </c>
      <c r="BK332">
        <f t="shared" si="309"/>
        <v>0</v>
      </c>
      <c r="BM332">
        <f t="shared" si="310"/>
        <v>-45.16674706111931</v>
      </c>
      <c r="BN332">
        <f t="shared" si="294"/>
        <v>-101.38263327225359</v>
      </c>
      <c r="BQ332" s="56">
        <f t="shared" si="311"/>
        <v>23.74507838876518</v>
      </c>
      <c r="BR332" s="59"/>
      <c r="BS332" s="59"/>
      <c r="BT332" s="59">
        <v>165958.69099999999</v>
      </c>
      <c r="BU332" s="59">
        <v>11.0235</v>
      </c>
      <c r="BV332" s="59">
        <v>-138.31200000000001</v>
      </c>
      <c r="BY332" s="59"/>
      <c r="BZ332" s="59"/>
      <c r="CA332" s="59"/>
      <c r="CC332" s="59"/>
    </row>
    <row r="333" spans="1:81" x14ac:dyDescent="0.25">
      <c r="A333">
        <f t="shared" si="263"/>
        <v>595000</v>
      </c>
      <c r="B333">
        <f t="shared" si="295"/>
        <v>595</v>
      </c>
      <c r="C333">
        <f t="shared" si="264"/>
        <v>5.0351153507535651</v>
      </c>
      <c r="D333">
        <f t="shared" si="265"/>
        <v>1.3708617799953235</v>
      </c>
      <c r="F333">
        <f t="shared" si="266"/>
        <v>7.2402033428551609E-5</v>
      </c>
      <c r="G333">
        <f t="shared" si="267"/>
        <v>2.8945972117249328E-3</v>
      </c>
      <c r="H333">
        <f t="shared" si="268"/>
        <v>-3.1386980527882753</v>
      </c>
      <c r="J333">
        <f t="shared" si="269"/>
        <v>15</v>
      </c>
      <c r="M333">
        <f t="shared" si="270"/>
        <v>2.1381878466807244E-3</v>
      </c>
      <c r="N333">
        <f t="shared" si="271"/>
        <v>-1.5707963250000001</v>
      </c>
      <c r="O333">
        <f t="shared" si="272"/>
        <v>172.87091287761308</v>
      </c>
      <c r="P333">
        <f t="shared" si="273"/>
        <v>1.5650116313797311</v>
      </c>
      <c r="Q333">
        <f t="shared" si="274"/>
        <v>152.65351361741457</v>
      </c>
      <c r="R333">
        <f t="shared" si="275"/>
        <v>1.5642454972164168</v>
      </c>
      <c r="S333">
        <f t="shared" si="276"/>
        <v>0.21217303497057982</v>
      </c>
      <c r="T333">
        <f t="shared" si="277"/>
        <v>-1.3569982386526382</v>
      </c>
      <c r="U333">
        <f t="shared" si="278"/>
        <v>0.2588893546152109</v>
      </c>
      <c r="V333">
        <f t="shared" si="279"/>
        <v>-1.3089241485220804</v>
      </c>
      <c r="X333">
        <f t="shared" si="296"/>
        <v>-35.417391688798645</v>
      </c>
      <c r="Y333">
        <f t="shared" si="280"/>
        <v>-164.74243220134665</v>
      </c>
      <c r="Z333">
        <f t="shared" si="297"/>
        <v>15.257567798653355</v>
      </c>
      <c r="AC333">
        <v>1</v>
      </c>
      <c r="AD333">
        <f t="shared" si="281"/>
        <v>172.86802052184001</v>
      </c>
      <c r="AE333">
        <f t="shared" si="282"/>
        <v>-9.6939941130425908E-2</v>
      </c>
      <c r="AF333">
        <f t="shared" si="283"/>
        <v>2.5982542011825004E-2</v>
      </c>
      <c r="AG333">
        <f t="shared" si="298"/>
        <v>436.300303058731</v>
      </c>
      <c r="AH333">
        <f t="shared" si="299"/>
        <v>-1666.3083109418724</v>
      </c>
      <c r="AJ333">
        <f t="shared" si="284"/>
        <v>18000</v>
      </c>
      <c r="AK333">
        <f t="shared" si="285"/>
        <v>82904.870741616003</v>
      </c>
      <c r="AL333">
        <v>1</v>
      </c>
      <c r="AM333">
        <f t="shared" si="286"/>
        <v>152.65023819091201</v>
      </c>
      <c r="AN333">
        <f t="shared" si="300"/>
        <v>543.85257178873064</v>
      </c>
      <c r="AO333">
        <f t="shared" si="301"/>
        <v>-114.3538826738006</v>
      </c>
      <c r="AQ333">
        <f t="shared" si="287"/>
        <v>7.0616432020032469E-3</v>
      </c>
      <c r="AR333">
        <f t="shared" si="288"/>
        <v>-8.4033554103838632</v>
      </c>
      <c r="AT333">
        <f t="shared" si="261"/>
        <v>-13999.499963051854</v>
      </c>
      <c r="AU333">
        <f t="shared" si="262"/>
        <v>-3678.1533870171106</v>
      </c>
      <c r="AV333">
        <f t="shared" si="302"/>
        <v>-2.884664834795494</v>
      </c>
      <c r="AW333">
        <f t="shared" si="303"/>
        <v>36.992405405053638</v>
      </c>
      <c r="AX333">
        <f t="shared" si="304"/>
        <v>-6637.1638370849378</v>
      </c>
      <c r="AY333">
        <f t="shared" si="312"/>
        <v>-1.5652228584771339</v>
      </c>
      <c r="BA333">
        <f t="shared" si="289"/>
        <v>2.1808112641123252</v>
      </c>
      <c r="BB333">
        <f t="shared" si="305"/>
        <v>6.7723616334325882</v>
      </c>
      <c r="BC333">
        <f t="shared" si="306"/>
        <v>-1.31944197631836</v>
      </c>
      <c r="BD333">
        <f t="shared" si="290"/>
        <v>-255.59845664182617</v>
      </c>
      <c r="BF333">
        <f t="shared" si="291"/>
        <v>-38.470609425428613</v>
      </c>
      <c r="BG333">
        <f t="shared" si="292"/>
        <v>-176.88801405874057</v>
      </c>
      <c r="BH333">
        <f t="shared" si="307"/>
        <v>3.1119859412594337</v>
      </c>
      <c r="BI333">
        <f t="shared" si="308"/>
        <v>3.1119859412594337</v>
      </c>
      <c r="BJ333">
        <f t="shared" si="293"/>
        <v>0</v>
      </c>
      <c r="BK333">
        <f t="shared" si="309"/>
        <v>0</v>
      </c>
      <c r="BM333">
        <f t="shared" si="310"/>
        <v>-45.242971058861201</v>
      </c>
      <c r="BN333">
        <f t="shared" si="294"/>
        <v>-101.28955741691441</v>
      </c>
      <c r="BQ333" s="56">
        <f t="shared" si="311"/>
        <v>23.674322433717727</v>
      </c>
      <c r="BR333" s="59"/>
      <c r="BS333" s="59"/>
      <c r="BT333" s="59">
        <v>169824.36499999999</v>
      </c>
      <c r="BU333" s="59">
        <v>11.234299999999999</v>
      </c>
      <c r="BV333" s="59">
        <v>-140.114</v>
      </c>
      <c r="BY333" s="59"/>
      <c r="BZ333" s="59"/>
      <c r="CA333" s="59"/>
      <c r="CC333" s="59"/>
    </row>
    <row r="334" spans="1:81" x14ac:dyDescent="0.25">
      <c r="A334">
        <f t="shared" si="263"/>
        <v>600000</v>
      </c>
      <c r="B334">
        <f t="shared" si="295"/>
        <v>600</v>
      </c>
      <c r="C334">
        <f t="shared" si="264"/>
        <v>5.0757649752118219</v>
      </c>
      <c r="D334">
        <f t="shared" si="265"/>
        <v>1.3724843859483908</v>
      </c>
      <c r="F334">
        <f t="shared" si="266"/>
        <v>7.1200279678662685E-5</v>
      </c>
      <c r="G334">
        <f t="shared" si="267"/>
        <v>2.8704722316980668E-3</v>
      </c>
      <c r="H334">
        <f t="shared" si="268"/>
        <v>-3.1387221777683023</v>
      </c>
      <c r="J334">
        <f t="shared" si="269"/>
        <v>15</v>
      </c>
      <c r="M334">
        <f t="shared" si="270"/>
        <v>2.1203696146250518E-3</v>
      </c>
      <c r="N334">
        <f t="shared" si="271"/>
        <v>-1.5707963250000001</v>
      </c>
      <c r="O334">
        <f t="shared" si="272"/>
        <v>174.32356121640657</v>
      </c>
      <c r="P334">
        <f t="shared" si="273"/>
        <v>1.5650598361128718</v>
      </c>
      <c r="Q334">
        <f t="shared" si="274"/>
        <v>153.93626143362007</v>
      </c>
      <c r="R334">
        <f t="shared" si="275"/>
        <v>1.5643000859206171</v>
      </c>
      <c r="S334">
        <f t="shared" si="276"/>
        <v>0.21048357388614752</v>
      </c>
      <c r="T334">
        <f t="shared" si="277"/>
        <v>-1.3587267378975496</v>
      </c>
      <c r="U334">
        <f t="shared" si="278"/>
        <v>0.25687485780436797</v>
      </c>
      <c r="V334">
        <f t="shared" si="279"/>
        <v>-1.3110091686816143</v>
      </c>
      <c r="X334">
        <f t="shared" si="296"/>
        <v>-35.557542647510132</v>
      </c>
      <c r="Y334">
        <f t="shared" si="280"/>
        <v>-164.86345492494243</v>
      </c>
      <c r="Z334">
        <f t="shared" si="297"/>
        <v>15.136545075057569</v>
      </c>
      <c r="AC334">
        <v>1</v>
      </c>
      <c r="AD334">
        <f t="shared" si="281"/>
        <v>174.3206929632</v>
      </c>
      <c r="AE334">
        <f t="shared" si="282"/>
        <v>-9.8576029396097262E-2</v>
      </c>
      <c r="AF334">
        <f t="shared" si="283"/>
        <v>2.6200882700999996E-2</v>
      </c>
      <c r="AG334">
        <f t="shared" si="298"/>
        <v>429.53674975008727</v>
      </c>
      <c r="AH334">
        <f t="shared" si="299"/>
        <v>-1654.2201178746723</v>
      </c>
      <c r="AJ334">
        <f t="shared" si="284"/>
        <v>18000</v>
      </c>
      <c r="AK334">
        <f t="shared" si="285"/>
        <v>83601.550327680001</v>
      </c>
      <c r="AL334">
        <v>1</v>
      </c>
      <c r="AM334">
        <f t="shared" si="286"/>
        <v>153.93301330176001</v>
      </c>
      <c r="AN334">
        <f t="shared" si="300"/>
        <v>543.84013894401062</v>
      </c>
      <c r="AO334">
        <f t="shared" si="301"/>
        <v>-113.40101441940917</v>
      </c>
      <c r="AQ334">
        <f t="shared" si="287"/>
        <v>6.9444396219169296E-3</v>
      </c>
      <c r="AR334">
        <f t="shared" si="288"/>
        <v>-8.3333275463003158</v>
      </c>
      <c r="AT334">
        <f t="shared" si="261"/>
        <v>-13782.175183905127</v>
      </c>
      <c r="AU334">
        <f t="shared" si="262"/>
        <v>-3590.9580605706483</v>
      </c>
      <c r="AV334">
        <f t="shared" si="302"/>
        <v>-2.8867086530181032</v>
      </c>
      <c r="AW334">
        <f t="shared" si="303"/>
        <v>45.884580822360199</v>
      </c>
      <c r="AX334">
        <f t="shared" si="304"/>
        <v>-6583.591869449805</v>
      </c>
      <c r="AY334">
        <f t="shared" si="312"/>
        <v>-1.5638269035963279</v>
      </c>
      <c r="BA334">
        <f t="shared" si="289"/>
        <v>2.163251038098402</v>
      </c>
      <c r="BB334">
        <f t="shared" si="305"/>
        <v>6.7021384159170623</v>
      </c>
      <c r="BC334">
        <f t="shared" si="306"/>
        <v>-1.3228817494217753</v>
      </c>
      <c r="BD334">
        <f t="shared" si="290"/>
        <v>-255.79554112335967</v>
      </c>
      <c r="BF334">
        <f t="shared" si="291"/>
        <v>-38.616372319301455</v>
      </c>
      <c r="BG334">
        <f t="shared" si="292"/>
        <v>-176.99351232678225</v>
      </c>
      <c r="BH334">
        <f t="shared" si="307"/>
        <v>3.0064876732177481</v>
      </c>
      <c r="BI334">
        <f t="shared" si="308"/>
        <v>3.0064876732177481</v>
      </c>
      <c r="BJ334">
        <f t="shared" si="293"/>
        <v>0</v>
      </c>
      <c r="BK334">
        <f t="shared" si="309"/>
        <v>0</v>
      </c>
      <c r="BM334">
        <f t="shared" si="310"/>
        <v>-45.31851073521851</v>
      </c>
      <c r="BN334">
        <f t="shared" si="294"/>
        <v>-101.19797120342258</v>
      </c>
      <c r="BQ334" s="56">
        <f t="shared" si="311"/>
        <v>23.604099216202201</v>
      </c>
      <c r="BR334" s="59"/>
      <c r="BS334" s="59"/>
      <c r="BT334" s="59">
        <v>173780.08300000001</v>
      </c>
      <c r="BU334" s="59">
        <v>11.3918</v>
      </c>
      <c r="BV334" s="59">
        <v>-141.173</v>
      </c>
      <c r="BY334" s="59"/>
      <c r="BZ334" s="59"/>
      <c r="CA334" s="59"/>
      <c r="CC334" s="59"/>
    </row>
    <row r="335" spans="1:81" x14ac:dyDescent="0.25">
      <c r="A335">
        <f t="shared" si="263"/>
        <v>605000</v>
      </c>
      <c r="B335">
        <f t="shared" si="295"/>
        <v>605</v>
      </c>
      <c r="C335">
        <f t="shared" si="264"/>
        <v>5.1164277510303773</v>
      </c>
      <c r="D335">
        <f t="shared" si="265"/>
        <v>1.3740812047499114</v>
      </c>
      <c r="F335">
        <f t="shared" si="266"/>
        <v>7.0028200819973824E-5</v>
      </c>
      <c r="G335">
        <f t="shared" si="267"/>
        <v>2.8467460933811022E-3</v>
      </c>
      <c r="H335">
        <f t="shared" si="268"/>
        <v>-3.138745903906619</v>
      </c>
      <c r="J335">
        <f t="shared" si="269"/>
        <v>15</v>
      </c>
      <c r="M335">
        <f t="shared" si="270"/>
        <v>2.1028458988017044E-3</v>
      </c>
      <c r="N335">
        <f t="shared" si="271"/>
        <v>-1.5707963250000001</v>
      </c>
      <c r="O335">
        <f t="shared" si="272"/>
        <v>175.77620995357981</v>
      </c>
      <c r="P335">
        <f t="shared" si="273"/>
        <v>1.5651072440995681</v>
      </c>
      <c r="Q335">
        <f t="shared" si="274"/>
        <v>155.21900970096254</v>
      </c>
      <c r="R335">
        <f t="shared" si="275"/>
        <v>1.5643537723699501</v>
      </c>
      <c r="S335">
        <f t="shared" si="276"/>
        <v>0.20882019627013876</v>
      </c>
      <c r="T335">
        <f t="shared" si="277"/>
        <v>-1.3604279227158262</v>
      </c>
      <c r="U335">
        <f t="shared" si="278"/>
        <v>0.25489038720227153</v>
      </c>
      <c r="V335">
        <f t="shared" si="279"/>
        <v>-1.3130619822659115</v>
      </c>
      <c r="X335">
        <f t="shared" si="296"/>
        <v>-35.696610355432703</v>
      </c>
      <c r="Y335">
        <f t="shared" si="280"/>
        <v>-164.98261933494365</v>
      </c>
      <c r="Z335">
        <f t="shared" si="297"/>
        <v>15.017380665056351</v>
      </c>
      <c r="AC335">
        <v>1</v>
      </c>
      <c r="AD335">
        <f t="shared" si="281"/>
        <v>175.77336540456</v>
      </c>
      <c r="AE335">
        <f t="shared" si="282"/>
        <v>-0.10022580877696249</v>
      </c>
      <c r="AF335">
        <f t="shared" si="283"/>
        <v>2.6419223390174999E-2</v>
      </c>
      <c r="AG335">
        <f t="shared" si="298"/>
        <v>422.92566708906952</v>
      </c>
      <c r="AH335">
        <f t="shared" si="299"/>
        <v>-1642.2915388449267</v>
      </c>
      <c r="AJ335">
        <f t="shared" si="284"/>
        <v>18000</v>
      </c>
      <c r="AK335">
        <f t="shared" si="285"/>
        <v>84298.229913743999</v>
      </c>
      <c r="AL335">
        <v>1</v>
      </c>
      <c r="AM335">
        <f t="shared" si="286"/>
        <v>155.21578841260802</v>
      </c>
      <c r="AN335">
        <f t="shared" si="300"/>
        <v>543.82801305903286</v>
      </c>
      <c r="AO335">
        <f t="shared" si="301"/>
        <v>-112.46389407588784</v>
      </c>
      <c r="AQ335">
        <f t="shared" si="287"/>
        <v>6.8301298885800913E-3</v>
      </c>
      <c r="AR335">
        <f t="shared" si="288"/>
        <v>-8.264457165181911</v>
      </c>
      <c r="AT335">
        <f t="shared" si="261"/>
        <v>-13569.759438285148</v>
      </c>
      <c r="AU335">
        <f t="shared" si="262"/>
        <v>-3506.4681242388269</v>
      </c>
      <c r="AV335">
        <f t="shared" si="302"/>
        <v>-2.8887209456633025</v>
      </c>
      <c r="AW335">
        <f t="shared" si="303"/>
        <v>54.542240840087395</v>
      </c>
      <c r="AX335">
        <f t="shared" si="304"/>
        <v>-6530.8667875076644</v>
      </c>
      <c r="AY335">
        <f t="shared" si="312"/>
        <v>-1.5624450658338693</v>
      </c>
      <c r="BA335">
        <f t="shared" si="289"/>
        <v>2.1459619497913556</v>
      </c>
      <c r="BB335">
        <f t="shared" si="305"/>
        <v>6.632440343818109</v>
      </c>
      <c r="BC335">
        <f t="shared" si="306"/>
        <v>-1.3262758798294332</v>
      </c>
      <c r="BD335">
        <f t="shared" si="290"/>
        <v>-255.9900104710577</v>
      </c>
      <c r="BF335">
        <f t="shared" si="291"/>
        <v>-38.760938188178685</v>
      </c>
      <c r="BG335">
        <f t="shared" si="292"/>
        <v>-177.0978501039927</v>
      </c>
      <c r="BH335">
        <f t="shared" si="307"/>
        <v>2.9021498960073018</v>
      </c>
      <c r="BI335">
        <f t="shared" si="308"/>
        <v>2.9021498960073018</v>
      </c>
      <c r="BJ335">
        <f t="shared" si="293"/>
        <v>0</v>
      </c>
      <c r="BK335">
        <f t="shared" si="309"/>
        <v>0</v>
      </c>
      <c r="BM335">
        <f t="shared" si="310"/>
        <v>-45.393378531996788</v>
      </c>
      <c r="BN335">
        <f t="shared" si="294"/>
        <v>-101.10783963293501</v>
      </c>
      <c r="BQ335" s="56">
        <f t="shared" si="311"/>
        <v>23.534401144103242</v>
      </c>
      <c r="BR335" s="59"/>
      <c r="BS335" s="59"/>
      <c r="BT335" s="59">
        <v>177827.94099999999</v>
      </c>
      <c r="BU335" s="59">
        <v>11.612500000000001</v>
      </c>
      <c r="BV335" s="59">
        <v>-141.86199999999999</v>
      </c>
      <c r="BY335" s="59"/>
      <c r="BZ335" s="59"/>
      <c r="CA335" s="59"/>
      <c r="CC335" s="59"/>
    </row>
    <row r="336" spans="1:81" x14ac:dyDescent="0.25">
      <c r="A336">
        <f t="shared" si="263"/>
        <v>610000</v>
      </c>
      <c r="B336">
        <f t="shared" si="295"/>
        <v>610</v>
      </c>
      <c r="C336">
        <f t="shared" si="264"/>
        <v>5.1571033671213433</v>
      </c>
      <c r="D336">
        <f t="shared" si="265"/>
        <v>1.3756528383317386</v>
      </c>
      <c r="F336">
        <f t="shared" si="266"/>
        <v>6.8884827797458252E-5</v>
      </c>
      <c r="G336">
        <f t="shared" si="267"/>
        <v>2.823408986544605E-3</v>
      </c>
      <c r="H336">
        <f t="shared" si="268"/>
        <v>-3.1387692410134558</v>
      </c>
      <c r="J336">
        <f t="shared" si="269"/>
        <v>15</v>
      </c>
      <c r="M336">
        <f t="shared" si="270"/>
        <v>2.0856094570082476E-3</v>
      </c>
      <c r="N336">
        <f t="shared" si="271"/>
        <v>-1.5707963250000001</v>
      </c>
      <c r="O336">
        <f t="shared" si="272"/>
        <v>177.22885907933693</v>
      </c>
      <c r="P336">
        <f t="shared" si="273"/>
        <v>1.5651538749311031</v>
      </c>
      <c r="Q336">
        <f t="shared" si="274"/>
        <v>156.50175840834888</v>
      </c>
      <c r="R336">
        <f t="shared" si="275"/>
        <v>1.5644065787497883</v>
      </c>
      <c r="S336">
        <f t="shared" si="276"/>
        <v>0.20718231713612634</v>
      </c>
      <c r="T336">
        <f t="shared" si="277"/>
        <v>-1.3621024258645951</v>
      </c>
      <c r="U336">
        <f t="shared" si="278"/>
        <v>0.2529353018572128</v>
      </c>
      <c r="V336">
        <f t="shared" si="279"/>
        <v>-1.3150833128738932</v>
      </c>
      <c r="X336">
        <f t="shared" si="296"/>
        <v>-35.834610869278578</v>
      </c>
      <c r="Y336">
        <f t="shared" si="280"/>
        <v>-165.09996682513136</v>
      </c>
      <c r="Z336">
        <f t="shared" si="297"/>
        <v>14.900033174868639</v>
      </c>
      <c r="AC336">
        <v>1</v>
      </c>
      <c r="AD336">
        <f t="shared" si="281"/>
        <v>177.22603784591999</v>
      </c>
      <c r="AE336">
        <f t="shared" si="282"/>
        <v>-0.10188927927302165</v>
      </c>
      <c r="AF336">
        <f t="shared" si="283"/>
        <v>2.6637564079349998E-2</v>
      </c>
      <c r="AG336">
        <f t="shared" si="298"/>
        <v>416.46261708917882</v>
      </c>
      <c r="AH336">
        <f t="shared" si="299"/>
        <v>-1630.519809168401</v>
      </c>
      <c r="AJ336">
        <f t="shared" si="284"/>
        <v>18000</v>
      </c>
      <c r="AK336">
        <f t="shared" si="285"/>
        <v>84994.909499807996</v>
      </c>
      <c r="AL336">
        <v>1</v>
      </c>
      <c r="AM336">
        <f t="shared" si="286"/>
        <v>156.498563523456</v>
      </c>
      <c r="AN336">
        <f t="shared" si="300"/>
        <v>543.81618411159286</v>
      </c>
      <c r="AO336">
        <f t="shared" si="301"/>
        <v>-111.54213446356697</v>
      </c>
      <c r="AQ336">
        <f t="shared" si="287"/>
        <v>6.7186195118116689E-3</v>
      </c>
      <c r="AR336">
        <f t="shared" si="288"/>
        <v>-8.1967158044102355</v>
      </c>
      <c r="AT336">
        <f t="shared" si="261"/>
        <v>-13362.109435349479</v>
      </c>
      <c r="AU336">
        <f t="shared" si="262"/>
        <v>-3424.5805576451949</v>
      </c>
      <c r="AV336">
        <f t="shared" si="302"/>
        <v>-2.8907024195850046</v>
      </c>
      <c r="AW336">
        <f t="shared" si="303"/>
        <v>62.973599452568209</v>
      </c>
      <c r="AX336">
        <f t="shared" si="304"/>
        <v>-6478.9688705230901</v>
      </c>
      <c r="AY336">
        <f t="shared" si="312"/>
        <v>-1.5610769381494176</v>
      </c>
      <c r="BA336">
        <f t="shared" si="289"/>
        <v>2.1289379241256849</v>
      </c>
      <c r="BB336">
        <f t="shared" si="305"/>
        <v>6.5632599680552186</v>
      </c>
      <c r="BC336">
        <f t="shared" si="306"/>
        <v>-1.329625481435587</v>
      </c>
      <c r="BD336">
        <f t="shared" si="290"/>
        <v>-256.1819285063599</v>
      </c>
      <c r="BF336">
        <f t="shared" si="291"/>
        <v>-38.904326582747551</v>
      </c>
      <c r="BG336">
        <f t="shared" si="292"/>
        <v>-177.20105728574157</v>
      </c>
      <c r="BH336">
        <f t="shared" si="307"/>
        <v>2.7989427142584304</v>
      </c>
      <c r="BI336">
        <f t="shared" si="308"/>
        <v>2.7989427142584304</v>
      </c>
      <c r="BJ336">
        <f t="shared" si="293"/>
        <v>0</v>
      </c>
      <c r="BK336">
        <f t="shared" si="309"/>
        <v>0</v>
      </c>
      <c r="BM336">
        <f t="shared" si="310"/>
        <v>-45.467586550802764</v>
      </c>
      <c r="BN336">
        <f t="shared" si="294"/>
        <v>-101.01912877938172</v>
      </c>
      <c r="BQ336" s="56">
        <f t="shared" si="311"/>
        <v>23.465220768340352</v>
      </c>
      <c r="BR336" s="59"/>
      <c r="BS336" s="59"/>
      <c r="BT336" s="59">
        <v>181970.08600000001</v>
      </c>
      <c r="BU336" s="59">
        <v>11.8933</v>
      </c>
      <c r="BV336" s="59">
        <v>-143.41399999999999</v>
      </c>
      <c r="BY336" s="59"/>
      <c r="BZ336" s="59"/>
      <c r="CA336" s="59"/>
      <c r="CC336" s="59"/>
    </row>
    <row r="337" spans="1:81" x14ac:dyDescent="0.25">
      <c r="A337">
        <f t="shared" si="263"/>
        <v>615000</v>
      </c>
      <c r="B337">
        <f t="shared" si="295"/>
        <v>615</v>
      </c>
      <c r="C337">
        <f t="shared" si="264"/>
        <v>5.1977915220378614</v>
      </c>
      <c r="D337">
        <f t="shared" si="265"/>
        <v>1.3771998702847505</v>
      </c>
      <c r="F337">
        <f t="shared" si="266"/>
        <v>6.7769230792877303E-5</v>
      </c>
      <c r="G337">
        <f t="shared" si="267"/>
        <v>2.8004514200972741E-3</v>
      </c>
      <c r="H337">
        <f t="shared" si="268"/>
        <v>-3.1387921985799028</v>
      </c>
      <c r="J337">
        <f t="shared" si="269"/>
        <v>15</v>
      </c>
      <c r="M337">
        <f t="shared" si="270"/>
        <v>2.068653282561026E-3</v>
      </c>
      <c r="N337">
        <f t="shared" si="271"/>
        <v>-1.5707963250000001</v>
      </c>
      <c r="O337">
        <f t="shared" si="272"/>
        <v>178.68150858420054</v>
      </c>
      <c r="P337">
        <f t="shared" si="273"/>
        <v>1.5651997475616795</v>
      </c>
      <c r="Q337">
        <f t="shared" si="274"/>
        <v>157.78450754504678</v>
      </c>
      <c r="R337">
        <f t="shared" si="275"/>
        <v>1.5644585265240774</v>
      </c>
      <c r="S337">
        <f t="shared" si="276"/>
        <v>0.20556936840238327</v>
      </c>
      <c r="T337">
        <f t="shared" si="277"/>
        <v>-1.363750861005731</v>
      </c>
      <c r="U337">
        <f t="shared" si="278"/>
        <v>0.25100897812681172</v>
      </c>
      <c r="V337">
        <f t="shared" si="279"/>
        <v>-1.3170738631080257</v>
      </c>
      <c r="X337">
        <f t="shared" si="296"/>
        <v>-35.971559903435399</v>
      </c>
      <c r="Y337">
        <f t="shared" si="280"/>
        <v>-165.2155376026129</v>
      </c>
      <c r="Z337">
        <f t="shared" si="297"/>
        <v>14.784462397387102</v>
      </c>
      <c r="AC337">
        <v>1</v>
      </c>
      <c r="AD337">
        <f t="shared" si="281"/>
        <v>178.67871028728001</v>
      </c>
      <c r="AE337">
        <f t="shared" si="282"/>
        <v>-0.10356644088427469</v>
      </c>
      <c r="AF337">
        <f t="shared" si="283"/>
        <v>2.6855904768524997E-2</v>
      </c>
      <c r="AG337">
        <f t="shared" si="298"/>
        <v>410.14331781069143</v>
      </c>
      <c r="AH337">
        <f t="shared" si="299"/>
        <v>-1618.9022136046669</v>
      </c>
      <c r="AJ337">
        <f t="shared" si="284"/>
        <v>18000</v>
      </c>
      <c r="AK337">
        <f t="shared" si="285"/>
        <v>85691.589085871994</v>
      </c>
      <c r="AL337">
        <v>1</v>
      </c>
      <c r="AM337">
        <f t="shared" si="286"/>
        <v>157.78133863430401</v>
      </c>
      <c r="AN337">
        <f t="shared" si="300"/>
        <v>543.8046424851965</v>
      </c>
      <c r="AO337">
        <f t="shared" si="301"/>
        <v>-110.63536099141427</v>
      </c>
      <c r="AQ337">
        <f t="shared" si="287"/>
        <v>6.6098178268108754E-3</v>
      </c>
      <c r="AR337">
        <f t="shared" si="288"/>
        <v>-8.1300759269773764</v>
      </c>
      <c r="AT337">
        <f t="shared" si="261"/>
        <v>-13159.086942344076</v>
      </c>
      <c r="AU337">
        <f t="shared" si="262"/>
        <v>-3345.1969634546813</v>
      </c>
      <c r="AV337">
        <f t="shared" si="302"/>
        <v>-2.8926537611851861</v>
      </c>
      <c r="AW337">
        <f t="shared" si="303"/>
        <v>71.186513794594887</v>
      </c>
      <c r="AX337">
        <f t="shared" si="304"/>
        <v>-6427.8790010597004</v>
      </c>
      <c r="AY337">
        <f t="shared" si="312"/>
        <v>-1.5597221289599315</v>
      </c>
      <c r="BA337">
        <f t="shared" si="289"/>
        <v>2.1121730596880486</v>
      </c>
      <c r="BB337">
        <f t="shared" si="305"/>
        <v>6.4945899797774054</v>
      </c>
      <c r="BC337">
        <f t="shared" si="306"/>
        <v>-1.3329316322252547</v>
      </c>
      <c r="BD337">
        <f t="shared" si="290"/>
        <v>-256.37135699325813</v>
      </c>
      <c r="BF337">
        <f t="shared" si="291"/>
        <v>-39.046556585604023</v>
      </c>
      <c r="BG337">
        <f t="shared" si="292"/>
        <v>-177.3031627425259</v>
      </c>
      <c r="BH337">
        <f t="shared" si="307"/>
        <v>2.6968372574741011</v>
      </c>
      <c r="BI337">
        <f t="shared" si="308"/>
        <v>2.6968372574741011</v>
      </c>
      <c r="BJ337">
        <f t="shared" si="293"/>
        <v>0</v>
      </c>
      <c r="BK337">
        <f t="shared" si="309"/>
        <v>0</v>
      </c>
      <c r="BM337">
        <f t="shared" si="310"/>
        <v>-45.541146565381432</v>
      </c>
      <c r="BN337">
        <f t="shared" si="294"/>
        <v>-100.93180574926778</v>
      </c>
      <c r="BQ337" s="56">
        <f t="shared" si="311"/>
        <v>23.396550780062544</v>
      </c>
      <c r="BR337" s="59"/>
      <c r="BS337" s="59"/>
      <c r="BT337" s="59">
        <v>186208.71400000001</v>
      </c>
      <c r="BU337" s="59">
        <v>12.027799999999999</v>
      </c>
      <c r="BV337" s="59">
        <v>-144.279</v>
      </c>
      <c r="BY337" s="59"/>
      <c r="BZ337" s="59"/>
      <c r="CA337" s="59"/>
      <c r="CC337" s="59"/>
    </row>
    <row r="338" spans="1:81" x14ac:dyDescent="0.25">
      <c r="A338">
        <f t="shared" si="263"/>
        <v>620000</v>
      </c>
      <c r="B338">
        <f t="shared" si="295"/>
        <v>620</v>
      </c>
      <c r="C338">
        <f t="shared" si="264"/>
        <v>5.2384919236071035</v>
      </c>
      <c r="D338">
        <f t="shared" si="265"/>
        <v>1.3787228665424807</v>
      </c>
      <c r="F338">
        <f t="shared" si="266"/>
        <v>6.6680517333640111E-5</v>
      </c>
      <c r="G338">
        <f t="shared" si="267"/>
        <v>2.7778642092123823E-3</v>
      </c>
      <c r="H338">
        <f t="shared" si="268"/>
        <v>-3.138814785790788</v>
      </c>
      <c r="J338">
        <f t="shared" si="269"/>
        <v>15</v>
      </c>
      <c r="M338">
        <f t="shared" si="270"/>
        <v>2.0519705947984372E-3</v>
      </c>
      <c r="N338">
        <f t="shared" si="271"/>
        <v>-1.5707963250000001</v>
      </c>
      <c r="O338">
        <f t="shared" si="272"/>
        <v>180.13415845899905</v>
      </c>
      <c r="P338">
        <f t="shared" si="273"/>
        <v>1.5652448803341057</v>
      </c>
      <c r="Q338">
        <f t="shared" si="274"/>
        <v>159.06725710067002</v>
      </c>
      <c r="R338">
        <f t="shared" si="275"/>
        <v>1.564509636464424</v>
      </c>
      <c r="S338">
        <f t="shared" si="276"/>
        <v>0.20398079830395865</v>
      </c>
      <c r="T338">
        <f t="shared" si="277"/>
        <v>-1.3653738234091788</v>
      </c>
      <c r="U338">
        <f t="shared" si="278"/>
        <v>0.24911080913002653</v>
      </c>
      <c r="V338">
        <f t="shared" si="279"/>
        <v>-1.3190343153105053</v>
      </c>
      <c r="X338">
        <f t="shared" si="296"/>
        <v>-36.107472839291852</v>
      </c>
      <c r="Y338">
        <f t="shared" si="280"/>
        <v>-165.32937072872994</v>
      </c>
      <c r="Z338">
        <f t="shared" si="297"/>
        <v>14.670629271270059</v>
      </c>
      <c r="AC338">
        <v>1</v>
      </c>
      <c r="AD338">
        <f t="shared" si="281"/>
        <v>180.13138272864001</v>
      </c>
      <c r="AE338">
        <f t="shared" si="282"/>
        <v>-0.10525729361072164</v>
      </c>
      <c r="AF338">
        <f t="shared" si="283"/>
        <v>2.70742454577E-2</v>
      </c>
      <c r="AG338">
        <f t="shared" si="298"/>
        <v>403.96363701916385</v>
      </c>
      <c r="AH338">
        <f t="shared" si="299"/>
        <v>-1607.4360859945539</v>
      </c>
      <c r="AJ338">
        <f t="shared" si="284"/>
        <v>18000</v>
      </c>
      <c r="AK338">
        <f t="shared" si="285"/>
        <v>86388.268671936006</v>
      </c>
      <c r="AL338">
        <v>1</v>
      </c>
      <c r="AM338">
        <f t="shared" si="286"/>
        <v>159.06411374515199</v>
      </c>
      <c r="AN338">
        <f t="shared" si="300"/>
        <v>543.79337894951095</v>
      </c>
      <c r="AO338">
        <f t="shared" si="301"/>
        <v>-109.74321114955147</v>
      </c>
      <c r="AQ338">
        <f t="shared" si="287"/>
        <v>6.5036378098089166E-3</v>
      </c>
      <c r="AR338">
        <f t="shared" si="288"/>
        <v>-8.0645108841630559</v>
      </c>
      <c r="AT338">
        <f t="shared" si="261"/>
        <v>-12960.558577916036</v>
      </c>
      <c r="AU338">
        <f t="shared" si="262"/>
        <v>-3268.2233296528666</v>
      </c>
      <c r="AV338">
        <f t="shared" si="302"/>
        <v>-2.8945756371281188</v>
      </c>
      <c r="AW338">
        <f t="shared" si="303"/>
        <v>79.188502551874222</v>
      </c>
      <c r="AX338">
        <f t="shared" si="304"/>
        <v>-6377.5786421586099</v>
      </c>
      <c r="AY338">
        <f t="shared" si="312"/>
        <v>-1.5583802614267195</v>
      </c>
      <c r="BA338">
        <f t="shared" si="289"/>
        <v>2.0956616228625418</v>
      </c>
      <c r="BB338">
        <f t="shared" si="305"/>
        <v>6.4264232075785106</v>
      </c>
      <c r="BC338">
        <f t="shared" si="306"/>
        <v>-1.3361953757013993</v>
      </c>
      <c r="BD338">
        <f t="shared" si="290"/>
        <v>-256.55835572006822</v>
      </c>
      <c r="BF338">
        <f t="shared" si="291"/>
        <v>-39.187646825821417</v>
      </c>
      <c r="BG338">
        <f t="shared" si="292"/>
        <v>-177.40419436331032</v>
      </c>
      <c r="BH338">
        <f t="shared" si="307"/>
        <v>2.5958056366896756</v>
      </c>
      <c r="BI338">
        <f t="shared" si="308"/>
        <v>2.5958056366896756</v>
      </c>
      <c r="BJ338">
        <f t="shared" si="293"/>
        <v>0</v>
      </c>
      <c r="BK338">
        <f t="shared" si="309"/>
        <v>0</v>
      </c>
      <c r="BM338">
        <f t="shared" si="310"/>
        <v>-45.614070033399926</v>
      </c>
      <c r="BN338">
        <f t="shared" si="294"/>
        <v>-100.84583864324208</v>
      </c>
      <c r="BQ338" s="56">
        <f t="shared" si="311"/>
        <v>23.328384007863647</v>
      </c>
      <c r="BR338" s="59"/>
      <c r="BS338" s="59"/>
      <c r="BT338" s="59">
        <v>190546.07199999999</v>
      </c>
      <c r="BU338" s="59">
        <v>12.182600000000001</v>
      </c>
      <c r="BV338" s="59">
        <v>-145.40799999999999</v>
      </c>
      <c r="BY338" s="59"/>
      <c r="BZ338" s="59"/>
      <c r="CA338" s="59"/>
      <c r="CC338" s="59"/>
    </row>
    <row r="339" spans="1:81" x14ac:dyDescent="0.25">
      <c r="A339">
        <f t="shared" si="263"/>
        <v>625000</v>
      </c>
      <c r="B339">
        <f t="shared" si="295"/>
        <v>625</v>
      </c>
      <c r="C339">
        <f t="shared" si="264"/>
        <v>5.2792042885797557</v>
      </c>
      <c r="D339">
        <f t="shared" si="265"/>
        <v>1.3802223760348469</v>
      </c>
      <c r="F339">
        <f t="shared" si="266"/>
        <v>6.5617830507158805E-5</v>
      </c>
      <c r="G339">
        <f t="shared" si="267"/>
        <v>2.7556384630724436E-3</v>
      </c>
      <c r="H339">
        <f t="shared" si="268"/>
        <v>-3.138837011536928</v>
      </c>
      <c r="J339">
        <f t="shared" si="269"/>
        <v>15</v>
      </c>
      <c r="M339">
        <f t="shared" si="270"/>
        <v>2.0355548300400495E-3</v>
      </c>
      <c r="N339">
        <f t="shared" si="271"/>
        <v>-1.5707963250000001</v>
      </c>
      <c r="O339">
        <f t="shared" si="272"/>
        <v>181.58680869485426</v>
      </c>
      <c r="P339">
        <f t="shared" si="273"/>
        <v>1.5652892910042506</v>
      </c>
      <c r="Q339">
        <f t="shared" si="274"/>
        <v>160.35000706516487</v>
      </c>
      <c r="R339">
        <f t="shared" si="275"/>
        <v>1.5645599286777874</v>
      </c>
      <c r="S339">
        <f t="shared" si="276"/>
        <v>0.20241607082823315</v>
      </c>
      <c r="T339">
        <f t="shared" si="277"/>
        <v>-1.3669718906259558</v>
      </c>
      <c r="U339">
        <f t="shared" si="278"/>
        <v>0.24724020421824494</v>
      </c>
      <c r="V339">
        <f t="shared" si="279"/>
        <v>-1.3209653322695991</v>
      </c>
      <c r="X339">
        <f t="shared" si="296"/>
        <v>-36.24236473425907</v>
      </c>
      <c r="Y339">
        <f t="shared" si="280"/>
        <v>-165.44150415834707</v>
      </c>
      <c r="Z339">
        <f t="shared" si="297"/>
        <v>14.558495841652928</v>
      </c>
      <c r="AC339">
        <v>1</v>
      </c>
      <c r="AD339">
        <f t="shared" si="281"/>
        <v>181.58405517</v>
      </c>
      <c r="AE339">
        <f t="shared" si="282"/>
        <v>-0.1069618374523625</v>
      </c>
      <c r="AF339">
        <f t="shared" si="283"/>
        <v>2.7292586146874999E-2</v>
      </c>
      <c r="AG339">
        <f t="shared" si="298"/>
        <v>397.91958613192935</v>
      </c>
      <c r="AH339">
        <f t="shared" si="299"/>
        <v>-1596.1188088415233</v>
      </c>
      <c r="AJ339">
        <f t="shared" si="284"/>
        <v>18000</v>
      </c>
      <c r="AK339">
        <f t="shared" si="285"/>
        <v>87084.948257999989</v>
      </c>
      <c r="AL339">
        <v>1</v>
      </c>
      <c r="AM339">
        <f t="shared" si="286"/>
        <v>160.34688885600002</v>
      </c>
      <c r="AN339">
        <f t="shared" si="300"/>
        <v>543.7823846419044</v>
      </c>
      <c r="AO339">
        <f t="shared" si="301"/>
        <v>-108.86533402612321</v>
      </c>
      <c r="AQ339">
        <f t="shared" si="287"/>
        <v>6.3999959040026214E-3</v>
      </c>
      <c r="AR339">
        <f t="shared" si="288"/>
        <v>-7.9999948800032765</v>
      </c>
      <c r="AT339">
        <f t="shared" si="261"/>
        <v>-12766.39561488775</v>
      </c>
      <c r="AU339">
        <f t="shared" si="262"/>
        <v>-3193.5698055473449</v>
      </c>
      <c r="AV339">
        <f t="shared" si="302"/>
        <v>-2.8964686950258085</v>
      </c>
      <c r="AW339">
        <f t="shared" si="303"/>
        <v>86.986763277038833</v>
      </c>
      <c r="AX339">
        <f t="shared" si="304"/>
        <v>-6328.0498155463165</v>
      </c>
      <c r="AY339">
        <f t="shared" si="312"/>
        <v>-1.5570509727807706</v>
      </c>
      <c r="BA339">
        <f t="shared" si="289"/>
        <v>2.0793980421935596</v>
      </c>
      <c r="BB339">
        <f t="shared" si="305"/>
        <v>6.3587526147377229</v>
      </c>
      <c r="BC339">
        <f t="shared" si="306"/>
        <v>-1.3394177222450379</v>
      </c>
      <c r="BD339">
        <f t="shared" si="290"/>
        <v>-256.74298257735825</v>
      </c>
      <c r="BF339">
        <f t="shared" si="291"/>
        <v>-39.327615492969905</v>
      </c>
      <c r="BG339">
        <f t="shared" si="292"/>
        <v>-177.50417909670159</v>
      </c>
      <c r="BH339">
        <f t="shared" si="307"/>
        <v>2.4958209032984087</v>
      </c>
      <c r="BI339">
        <f t="shared" si="308"/>
        <v>2.4958209032984087</v>
      </c>
      <c r="BJ339">
        <f t="shared" si="293"/>
        <v>0</v>
      </c>
      <c r="BK339">
        <f t="shared" si="309"/>
        <v>0</v>
      </c>
      <c r="BM339">
        <f t="shared" si="310"/>
        <v>-45.686368107707622</v>
      </c>
      <c r="BN339">
        <f t="shared" si="294"/>
        <v>-100.76119651934332</v>
      </c>
      <c r="BQ339" s="56">
        <f t="shared" si="311"/>
        <v>23.260713415022856</v>
      </c>
      <c r="BR339" s="59"/>
      <c r="BS339" s="59"/>
      <c r="BT339" s="59">
        <v>194984.46</v>
      </c>
      <c r="BU339" s="59">
        <v>12.458399999999999</v>
      </c>
      <c r="BV339" s="59">
        <v>-146.886</v>
      </c>
      <c r="BY339" s="59"/>
      <c r="BZ339" s="59"/>
      <c r="CA339" s="59"/>
      <c r="CC339" s="59"/>
    </row>
    <row r="340" spans="1:81" x14ac:dyDescent="0.25">
      <c r="A340">
        <f t="shared" si="263"/>
        <v>630000</v>
      </c>
      <c r="B340">
        <f t="shared" si="295"/>
        <v>630</v>
      </c>
      <c r="C340">
        <f t="shared" si="264"/>
        <v>5.3199283422951051</v>
      </c>
      <c r="D340">
        <f t="shared" si="265"/>
        <v>1.3816989313134669</v>
      </c>
      <c r="F340">
        <f t="shared" si="266"/>
        <v>6.458034727402614E-5</v>
      </c>
      <c r="G340">
        <f t="shared" si="267"/>
        <v>2.7337655731977093E-3</v>
      </c>
      <c r="H340">
        <f t="shared" si="268"/>
        <v>-3.1388588844268024</v>
      </c>
      <c r="J340">
        <f t="shared" si="269"/>
        <v>15</v>
      </c>
      <c r="M340">
        <f t="shared" si="270"/>
        <v>2.0193996329762398E-3</v>
      </c>
      <c r="N340">
        <f t="shared" si="271"/>
        <v>-1.5707963250000001</v>
      </c>
      <c r="O340">
        <f t="shared" si="272"/>
        <v>183.03945928316986</v>
      </c>
      <c r="P340">
        <f t="shared" si="273"/>
        <v>1.5653329967643332</v>
      </c>
      <c r="Q340">
        <f t="shared" si="274"/>
        <v>161.63275742879662</v>
      </c>
      <c r="R340">
        <f t="shared" si="275"/>
        <v>1.5646094226328517</v>
      </c>
      <c r="S340">
        <f t="shared" si="276"/>
        <v>0.20087466517291819</v>
      </c>
      <c r="T340">
        <f t="shared" si="277"/>
        <v>-1.3685456231323165</v>
      </c>
      <c r="U340">
        <f t="shared" si="278"/>
        <v>0.24539658846478274</v>
      </c>
      <c r="V340">
        <f t="shared" si="279"/>
        <v>-1.3228675578974949</v>
      </c>
      <c r="X340">
        <f t="shared" si="296"/>
        <v>-36.376250330499289</v>
      </c>
      <c r="Y340">
        <f t="shared" si="280"/>
        <v>-165.55197477759347</v>
      </c>
      <c r="Z340">
        <f t="shared" si="297"/>
        <v>14.448025222406528</v>
      </c>
      <c r="AC340">
        <v>1</v>
      </c>
      <c r="AD340">
        <f t="shared" si="281"/>
        <v>183.03672761136002</v>
      </c>
      <c r="AE340">
        <f t="shared" si="282"/>
        <v>-0.10868007240919722</v>
      </c>
      <c r="AF340">
        <f t="shared" si="283"/>
        <v>2.7510926836049998E-2</v>
      </c>
      <c r="AG340">
        <f t="shared" si="298"/>
        <v>392.00731443839481</v>
      </c>
      <c r="AH340">
        <f t="shared" si="299"/>
        <v>-1584.9478128436706</v>
      </c>
      <c r="AJ340">
        <f t="shared" si="284"/>
        <v>18000</v>
      </c>
      <c r="AK340">
        <f t="shared" si="285"/>
        <v>87781.627844064002</v>
      </c>
      <c r="AL340">
        <v>1</v>
      </c>
      <c r="AM340">
        <f t="shared" si="286"/>
        <v>161.629663966848</v>
      </c>
      <c r="AN340">
        <f t="shared" si="300"/>
        <v>543.77165105000938</v>
      </c>
      <c r="AO340">
        <f t="shared" si="301"/>
        <v>-108.001389847166</v>
      </c>
      <c r="AQ340">
        <f t="shared" si="287"/>
        <v>6.2988118551197689E-3</v>
      </c>
      <c r="AR340">
        <f t="shared" si="288"/>
        <v>-7.9365029374509088</v>
      </c>
      <c r="AT340">
        <f t="shared" si="261"/>
        <v>-12576.473792020706</v>
      </c>
      <c r="AU340">
        <f t="shared" si="262"/>
        <v>-3121.1504906158484</v>
      </c>
      <c r="AV340">
        <f t="shared" si="302"/>
        <v>-2.8983335640959393</v>
      </c>
      <c r="AW340">
        <f t="shared" si="303"/>
        <v>94.588188684568053</v>
      </c>
      <c r="AX340">
        <f t="shared" si="304"/>
        <v>-6279.2750808179735</v>
      </c>
      <c r="AY340">
        <f t="shared" si="312"/>
        <v>-1.5557339136840429</v>
      </c>
      <c r="BA340">
        <f t="shared" si="289"/>
        <v>2.0633769029580695</v>
      </c>
      <c r="BB340">
        <f t="shared" si="305"/>
        <v>6.2915712964888275</v>
      </c>
      <c r="BC340">
        <f t="shared" si="306"/>
        <v>-1.3425996504118964</v>
      </c>
      <c r="BD340">
        <f t="shared" si="290"/>
        <v>-256.92529363224139</v>
      </c>
      <c r="BF340">
        <f t="shared" si="291"/>
        <v>-39.466480350611135</v>
      </c>
      <c r="BG340">
        <f t="shared" si="292"/>
        <v>-177.60314299008235</v>
      </c>
      <c r="BH340">
        <f t="shared" si="307"/>
        <v>2.3968570099176532</v>
      </c>
      <c r="BI340">
        <f t="shared" si="308"/>
        <v>2.3968570099176532</v>
      </c>
      <c r="BJ340">
        <f t="shared" si="293"/>
        <v>0</v>
      </c>
      <c r="BK340">
        <f t="shared" si="309"/>
        <v>0</v>
      </c>
      <c r="BM340">
        <f t="shared" si="310"/>
        <v>-45.758051647099961</v>
      </c>
      <c r="BN340">
        <f t="shared" si="294"/>
        <v>-100.67784935784096</v>
      </c>
      <c r="BQ340" s="56">
        <f t="shared" si="311"/>
        <v>23.193532096773964</v>
      </c>
      <c r="BR340" s="59"/>
      <c r="BS340" s="59"/>
      <c r="BT340" s="59">
        <v>199526.231</v>
      </c>
      <c r="BU340" s="59">
        <v>12.6511</v>
      </c>
      <c r="BV340" s="59">
        <v>-147.23699999999999</v>
      </c>
      <c r="BY340" s="59"/>
      <c r="BZ340" s="59"/>
      <c r="CA340" s="59"/>
      <c r="CC340" s="59"/>
    </row>
    <row r="341" spans="1:81" x14ac:dyDescent="0.25">
      <c r="A341">
        <f t="shared" si="263"/>
        <v>635000</v>
      </c>
      <c r="B341">
        <f t="shared" si="295"/>
        <v>635</v>
      </c>
      <c r="C341">
        <f t="shared" si="264"/>
        <v>5.3606638183609716</v>
      </c>
      <c r="D341">
        <f t="shared" si="265"/>
        <v>1.3831530491499719</v>
      </c>
      <c r="F341">
        <f t="shared" si="266"/>
        <v>6.3567276873814264E-5</v>
      </c>
      <c r="G341">
        <f t="shared" si="267"/>
        <v>2.7122372023263347E-3</v>
      </c>
      <c r="H341">
        <f t="shared" si="268"/>
        <v>-3.1388804127976737</v>
      </c>
      <c r="J341">
        <f t="shared" si="269"/>
        <v>15</v>
      </c>
      <c r="M341">
        <f t="shared" si="270"/>
        <v>2.0034988484646157E-3</v>
      </c>
      <c r="N341">
        <f t="shared" si="271"/>
        <v>-1.5707963250000001</v>
      </c>
      <c r="O341">
        <f t="shared" si="272"/>
        <v>184.49211021562022</v>
      </c>
      <c r="P341">
        <f t="shared" si="273"/>
        <v>1.5653760142651121</v>
      </c>
      <c r="Q341">
        <f t="shared" si="274"/>
        <v>162.91550818213722</v>
      </c>
      <c r="R341">
        <f t="shared" si="275"/>
        <v>1.5646581371851538</v>
      </c>
      <c r="S341">
        <f t="shared" si="276"/>
        <v>0.19935607522551108</v>
      </c>
      <c r="T341">
        <f t="shared" si="277"/>
        <v>-1.3700955649464885</v>
      </c>
      <c r="U341">
        <f t="shared" si="278"/>
        <v>0.24357940217213495</v>
      </c>
      <c r="V341">
        <f t="shared" si="279"/>
        <v>-1.3247416178809461</v>
      </c>
      <c r="X341">
        <f t="shared" si="296"/>
        <v>-36.509144063372709</v>
      </c>
      <c r="Y341">
        <f t="shared" si="280"/>
        <v>-165.66081844012356</v>
      </c>
      <c r="Z341">
        <f t="shared" si="297"/>
        <v>14.339181559876437</v>
      </c>
      <c r="AC341">
        <v>1</v>
      </c>
      <c r="AD341">
        <f t="shared" si="281"/>
        <v>184.48940005271999</v>
      </c>
      <c r="AE341">
        <f t="shared" si="282"/>
        <v>-0.11041199848122588</v>
      </c>
      <c r="AF341">
        <f t="shared" si="283"/>
        <v>2.7729267525225001E-2</v>
      </c>
      <c r="AG341">
        <f t="shared" si="298"/>
        <v>386.22310358068643</v>
      </c>
      <c r="AH341">
        <f t="shared" si="299"/>
        <v>-1573.9205763824432</v>
      </c>
      <c r="AJ341">
        <f t="shared" si="284"/>
        <v>18000</v>
      </c>
      <c r="AK341">
        <f t="shared" si="285"/>
        <v>88478.307430127999</v>
      </c>
      <c r="AL341">
        <v>1</v>
      </c>
      <c r="AM341">
        <f t="shared" si="286"/>
        <v>162.91243907769601</v>
      </c>
      <c r="AN341">
        <f t="shared" si="300"/>
        <v>543.76116999523981</v>
      </c>
      <c r="AO341">
        <f t="shared" si="301"/>
        <v>-107.15104953820961</v>
      </c>
      <c r="AQ341">
        <f t="shared" si="287"/>
        <v>6.2000085560118077E-3</v>
      </c>
      <c r="AR341">
        <f t="shared" si="288"/>
        <v>-7.874010866134995</v>
      </c>
      <c r="AT341">
        <f t="shared" si="261"/>
        <v>-12390.673134322082</v>
      </c>
      <c r="AU341">
        <f t="shared" si="262"/>
        <v>-3050.883235386761</v>
      </c>
      <c r="AV341">
        <f t="shared" si="302"/>
        <v>-2.9001708557935539</v>
      </c>
      <c r="AW341">
        <f t="shared" si="303"/>
        <v>101.99938199250992</v>
      </c>
      <c r="AX341">
        <f t="shared" si="304"/>
        <v>-6231.2375155451264</v>
      </c>
      <c r="AY341">
        <f t="shared" si="312"/>
        <v>-1.5544287476245386</v>
      </c>
      <c r="BA341">
        <f t="shared" si="289"/>
        <v>2.0475929419394356</v>
      </c>
      <c r="BB341">
        <f t="shared" si="305"/>
        <v>6.22487247732154</v>
      </c>
      <c r="BC341">
        <f t="shared" si="306"/>
        <v>-1.3457421081690153</v>
      </c>
      <c r="BD341">
        <f t="shared" si="290"/>
        <v>-257.10534319922817</v>
      </c>
      <c r="BF341">
        <f t="shared" si="291"/>
        <v>-39.604258749290295</v>
      </c>
      <c r="BG341">
        <f t="shared" si="292"/>
        <v>-177.70111122681962</v>
      </c>
      <c r="BH341">
        <f t="shared" si="307"/>
        <v>2.29888877318038</v>
      </c>
      <c r="BI341">
        <f t="shared" si="308"/>
        <v>2.29888877318038</v>
      </c>
      <c r="BJ341">
        <f t="shared" si="293"/>
        <v>0</v>
      </c>
      <c r="BK341">
        <f t="shared" si="309"/>
        <v>0</v>
      </c>
      <c r="BM341">
        <f t="shared" si="310"/>
        <v>-45.829131226611828</v>
      </c>
      <c r="BN341">
        <f t="shared" si="294"/>
        <v>-100.59576802759145</v>
      </c>
      <c r="BQ341" s="56">
        <f t="shared" si="311"/>
        <v>23.126833277606679</v>
      </c>
      <c r="BR341" s="59"/>
      <c r="BS341" s="59"/>
      <c r="BT341" s="59">
        <v>204173.79399999999</v>
      </c>
      <c r="BU341" s="59">
        <v>12.903600000000001</v>
      </c>
      <c r="BV341" s="59">
        <v>-148.923</v>
      </c>
      <c r="BY341" s="59"/>
      <c r="BZ341" s="59"/>
      <c r="CA341" s="59"/>
      <c r="CC341" s="59"/>
    </row>
    <row r="342" spans="1:81" x14ac:dyDescent="0.25">
      <c r="A342">
        <f t="shared" si="263"/>
        <v>640000</v>
      </c>
      <c r="B342">
        <f t="shared" si="295"/>
        <v>640</v>
      </c>
      <c r="C342">
        <f t="shared" si="264"/>
        <v>5.4014104583477041</v>
      </c>
      <c r="D342">
        <f t="shared" si="265"/>
        <v>1.3845852311086446</v>
      </c>
      <c r="F342">
        <f t="shared" si="266"/>
        <v>6.2577859317727646E-5</v>
      </c>
      <c r="G342">
        <f t="shared" si="267"/>
        <v>2.691045273816002E-3</v>
      </c>
      <c r="H342">
        <f t="shared" si="268"/>
        <v>-3.1389016047261844</v>
      </c>
      <c r="J342">
        <f t="shared" si="269"/>
        <v>15</v>
      </c>
      <c r="M342">
        <f t="shared" si="270"/>
        <v>1.9878465137109858E-3</v>
      </c>
      <c r="N342">
        <f t="shared" si="271"/>
        <v>-1.5707963250000001</v>
      </c>
      <c r="O342">
        <f t="shared" si="272"/>
        <v>185.94476148413995</v>
      </c>
      <c r="P342">
        <f t="shared" si="273"/>
        <v>1.5654183596370352</v>
      </c>
      <c r="Q342">
        <f t="shared" si="274"/>
        <v>164.1982593160532</v>
      </c>
      <c r="R342">
        <f t="shared" si="275"/>
        <v>1.5647060906010317</v>
      </c>
      <c r="S342">
        <f t="shared" si="276"/>
        <v>0.1978598090632657</v>
      </c>
      <c r="T342">
        <f t="shared" si="277"/>
        <v>-1.3716222442193036</v>
      </c>
      <c r="U342">
        <f t="shared" si="278"/>
        <v>0.24178810039634668</v>
      </c>
      <c r="V342">
        <f t="shared" si="279"/>
        <v>-1.3265881203059353</v>
      </c>
      <c r="X342">
        <f t="shared" si="296"/>
        <v>-36.641060069612948</v>
      </c>
      <c r="Y342">
        <f t="shared" si="280"/>
        <v>-165.7680700019616</v>
      </c>
      <c r="Z342">
        <f t="shared" si="297"/>
        <v>14.231929998038396</v>
      </c>
      <c r="AC342">
        <v>1</v>
      </c>
      <c r="AD342">
        <f t="shared" si="281"/>
        <v>185.94207249408001</v>
      </c>
      <c r="AE342">
        <f t="shared" si="282"/>
        <v>-0.11215761566844844</v>
      </c>
      <c r="AF342">
        <f t="shared" si="283"/>
        <v>2.79476082144E-2</v>
      </c>
      <c r="AG342">
        <f t="shared" si="298"/>
        <v>380.56336228189173</v>
      </c>
      <c r="AH342">
        <f t="shared" si="299"/>
        <v>-1563.0346249736397</v>
      </c>
      <c r="AJ342">
        <f t="shared" si="284"/>
        <v>18000</v>
      </c>
      <c r="AK342">
        <f t="shared" si="285"/>
        <v>89174.987016191997</v>
      </c>
      <c r="AL342">
        <v>1</v>
      </c>
      <c r="AM342">
        <f t="shared" si="286"/>
        <v>164.19521418854399</v>
      </c>
      <c r="AN342">
        <f t="shared" si="300"/>
        <v>543.75093361720906</v>
      </c>
      <c r="AO342">
        <f t="shared" si="301"/>
        <v>-106.31399430642311</v>
      </c>
      <c r="AQ342">
        <f t="shared" si="287"/>
        <v>6.1035118997119749E-3</v>
      </c>
      <c r="AR342">
        <f t="shared" si="288"/>
        <v>-7.8124952316313285</v>
      </c>
      <c r="AT342">
        <f t="shared" ref="AT342:AT405" si="313">-AR342*AH342+AG342*AQ342</f>
        <v>-12208.877781470939</v>
      </c>
      <c r="AU342">
        <f t="shared" ref="AU342:AU405" si="314">AQ342*AH342+AG342*AR342</f>
        <v>-2982.6894535940537</v>
      </c>
      <c r="AV342">
        <f t="shared" si="302"/>
        <v>-2.9019811644176388</v>
      </c>
      <c r="AW342">
        <f t="shared" si="303"/>
        <v>109.2266713739063</v>
      </c>
      <c r="AX342">
        <f t="shared" si="304"/>
        <v>-6183.9206962602057</v>
      </c>
      <c r="AY342">
        <f t="shared" si="312"/>
        <v>-1.553135150343149</v>
      </c>
      <c r="BA342">
        <f t="shared" si="289"/>
        <v>2.0320410423951376</v>
      </c>
      <c r="BB342">
        <f t="shared" si="305"/>
        <v>6.1586495083176036</v>
      </c>
      <c r="BC342">
        <f t="shared" si="306"/>
        <v>-1.3488460140744898</v>
      </c>
      <c r="BD342">
        <f t="shared" si="290"/>
        <v>-257.28318390782078</v>
      </c>
      <c r="BF342">
        <f t="shared" si="291"/>
        <v>-39.740967639047376</v>
      </c>
      <c r="BG342">
        <f t="shared" si="292"/>
        <v>-177.79810816165656</v>
      </c>
      <c r="BH342">
        <f t="shared" si="307"/>
        <v>2.2018918383434425</v>
      </c>
      <c r="BI342">
        <f t="shared" si="308"/>
        <v>2.2018918383434425</v>
      </c>
      <c r="BJ342">
        <f t="shared" si="293"/>
        <v>0</v>
      </c>
      <c r="BK342">
        <f t="shared" si="309"/>
        <v>0</v>
      </c>
      <c r="BM342">
        <f t="shared" si="310"/>
        <v>-45.899617147364978</v>
      </c>
      <c r="BN342">
        <f t="shared" si="294"/>
        <v>-100.51492425383574</v>
      </c>
      <c r="BQ342" s="56">
        <f t="shared" si="311"/>
        <v>23.06061030860274</v>
      </c>
      <c r="BR342" s="59"/>
      <c r="BS342" s="59"/>
      <c r="BT342" s="59">
        <v>208929.61300000001</v>
      </c>
      <c r="BU342" s="59">
        <v>13.1541</v>
      </c>
      <c r="BV342" s="59">
        <v>-149.92099999999999</v>
      </c>
      <c r="BY342" s="59"/>
      <c r="BZ342" s="59"/>
      <c r="CA342" s="59"/>
      <c r="CC342" s="59"/>
    </row>
    <row r="343" spans="1:81" x14ac:dyDescent="0.25">
      <c r="A343">
        <f t="shared" si="263"/>
        <v>645000</v>
      </c>
      <c r="B343">
        <f t="shared" si="295"/>
        <v>645</v>
      </c>
      <c r="C343">
        <f t="shared" si="264"/>
        <v>5.4421680114955384</v>
      </c>
      <c r="D343">
        <f t="shared" si="265"/>
        <v>1.3859959640946389</v>
      </c>
      <c r="F343">
        <f t="shared" si="266"/>
        <v>6.1611363962743655E-5</v>
      </c>
      <c r="G343">
        <f t="shared" si="267"/>
        <v>2.6701819615387056E-3</v>
      </c>
      <c r="H343">
        <f t="shared" si="268"/>
        <v>-3.1389224680384613</v>
      </c>
      <c r="J343">
        <f t="shared" si="269"/>
        <v>15</v>
      </c>
      <c r="M343">
        <f t="shared" si="270"/>
        <v>1.9724368508140014E-3</v>
      </c>
      <c r="N343">
        <f t="shared" si="271"/>
        <v>-1.5707963250000001</v>
      </c>
      <c r="O343">
        <f t="shared" si="272"/>
        <v>187.39741308091371</v>
      </c>
      <c r="P343">
        <f t="shared" si="273"/>
        <v>1.5654600485104058</v>
      </c>
      <c r="Q343">
        <f t="shared" si="274"/>
        <v>165.48101082169427</v>
      </c>
      <c r="R343">
        <f t="shared" si="275"/>
        <v>1.5647533005804604</v>
      </c>
      <c r="S343">
        <f t="shared" si="276"/>
        <v>0.19638538847278078</v>
      </c>
      <c r="T343">
        <f t="shared" si="277"/>
        <v>-1.3731261737999838</v>
      </c>
      <c r="U343">
        <f t="shared" si="278"/>
        <v>0.24002215248788764</v>
      </c>
      <c r="V343">
        <f t="shared" si="279"/>
        <v>-1.3284076562575196</v>
      </c>
      <c r="X343">
        <f t="shared" si="296"/>
        <v>-36.772012195241338</v>
      </c>
      <c r="Y343">
        <f t="shared" si="280"/>
        <v>-165.87376335499215</v>
      </c>
      <c r="Z343">
        <f t="shared" si="297"/>
        <v>14.12623664500785</v>
      </c>
      <c r="AC343">
        <v>1</v>
      </c>
      <c r="AD343">
        <f t="shared" si="281"/>
        <v>187.39474493544</v>
      </c>
      <c r="AE343">
        <f t="shared" si="282"/>
        <v>-0.11391692397086489</v>
      </c>
      <c r="AF343">
        <f t="shared" si="283"/>
        <v>2.8165948903574999E-2</v>
      </c>
      <c r="AG343">
        <f t="shared" si="298"/>
        <v>375.02462130979535</v>
      </c>
      <c r="AH343">
        <f t="shared" si="299"/>
        <v>-1552.2875306857111</v>
      </c>
      <c r="AJ343">
        <f t="shared" si="284"/>
        <v>18000</v>
      </c>
      <c r="AK343">
        <f t="shared" si="285"/>
        <v>89871.666602255995</v>
      </c>
      <c r="AL343">
        <v>1</v>
      </c>
      <c r="AM343">
        <f t="shared" si="286"/>
        <v>165.47798929939199</v>
      </c>
      <c r="AN343">
        <f t="shared" si="300"/>
        <v>543.74093435898897</v>
      </c>
      <c r="AO343">
        <f t="shared" si="301"/>
        <v>-105.48991524219076</v>
      </c>
      <c r="AQ343">
        <f t="shared" si="287"/>
        <v>6.0092506404358873E-3</v>
      </c>
      <c r="AR343">
        <f t="shared" si="288"/>
        <v>-7.7519333261622938</v>
      </c>
      <c r="AT343">
        <f t="shared" si="313"/>
        <v>-12030.975823962954</v>
      </c>
      <c r="AU343">
        <f t="shared" si="314"/>
        <v>-2916.4939449007102</v>
      </c>
      <c r="AV343">
        <f t="shared" si="302"/>
        <v>-2.903765067693735</v>
      </c>
      <c r="AW343">
        <f t="shared" si="303"/>
        <v>116.27612357619887</v>
      </c>
      <c r="AX343">
        <f t="shared" si="304"/>
        <v>-6137.3086802727303</v>
      </c>
      <c r="AY343">
        <f t="shared" si="312"/>
        <v>-1.5518528092903727</v>
      </c>
      <c r="BA343">
        <f t="shared" si="289"/>
        <v>2.0167162292109762</v>
      </c>
      <c r="BB343">
        <f t="shared" si="305"/>
        <v>6.0928958645239568</v>
      </c>
      <c r="BC343">
        <f t="shared" si="306"/>
        <v>-1.3519122584033623</v>
      </c>
      <c r="BD343">
        <f t="shared" si="290"/>
        <v>-257.45886676702185</v>
      </c>
      <c r="BF343">
        <f t="shared" si="291"/>
        <v>-39.876623581468237</v>
      </c>
      <c r="BG343">
        <f t="shared" si="292"/>
        <v>-177.89415735438939</v>
      </c>
      <c r="BH343">
        <f t="shared" si="307"/>
        <v>2.1058426456106076</v>
      </c>
      <c r="BI343">
        <f t="shared" si="308"/>
        <v>2.1058426456106076</v>
      </c>
      <c r="BJ343">
        <f t="shared" si="293"/>
        <v>0</v>
      </c>
      <c r="BK343">
        <f t="shared" si="309"/>
        <v>0</v>
      </c>
      <c r="BM343">
        <f t="shared" si="310"/>
        <v>-45.969519445992191</v>
      </c>
      <c r="BN343">
        <f t="shared" si="294"/>
        <v>-100.43529058736752</v>
      </c>
      <c r="BQ343" s="56">
        <f t="shared" si="311"/>
        <v>22.994856664809092</v>
      </c>
      <c r="BR343" s="59"/>
      <c r="BS343" s="59"/>
      <c r="BT343" s="59">
        <v>213796.209</v>
      </c>
      <c r="BU343" s="59">
        <v>13.368399999999999</v>
      </c>
      <c r="BV343" s="59">
        <v>-151.101</v>
      </c>
      <c r="BY343" s="59"/>
      <c r="BZ343" s="59"/>
      <c r="CA343" s="59"/>
      <c r="CC343" s="59"/>
    </row>
    <row r="344" spans="1:81" x14ac:dyDescent="0.25">
      <c r="A344">
        <f t="shared" si="263"/>
        <v>650000</v>
      </c>
      <c r="B344">
        <f t="shared" si="295"/>
        <v>650</v>
      </c>
      <c r="C344">
        <f t="shared" si="264"/>
        <v>5.4829362344346562</v>
      </c>
      <c r="D344">
        <f t="shared" si="265"/>
        <v>1.3873857208789737</v>
      </c>
      <c r="F344">
        <f t="shared" si="266"/>
        <v>6.0667088162245164E-5</v>
      </c>
      <c r="G344">
        <f t="shared" si="267"/>
        <v>2.6496396802421309E-3</v>
      </c>
      <c r="H344">
        <f t="shared" si="268"/>
        <v>-3.1389430103197582</v>
      </c>
      <c r="J344">
        <f t="shared" si="269"/>
        <v>15</v>
      </c>
      <c r="M344">
        <f t="shared" si="270"/>
        <v>1.9572642596538937E-3</v>
      </c>
      <c r="N344">
        <f t="shared" si="271"/>
        <v>-1.5707963250000001</v>
      </c>
      <c r="O344">
        <f t="shared" si="272"/>
        <v>188.85006499836663</v>
      </c>
      <c r="P344">
        <f t="shared" si="273"/>
        <v>1.5655010960346174</v>
      </c>
      <c r="Q344">
        <f t="shared" si="274"/>
        <v>166.76376269048254</v>
      </c>
      <c r="R344">
        <f t="shared" si="275"/>
        <v>1.5647997842788333</v>
      </c>
      <c r="S344">
        <f t="shared" si="276"/>
        <v>0.19493234848835159</v>
      </c>
      <c r="T344">
        <f t="shared" si="277"/>
        <v>-1.3746078517782705</v>
      </c>
      <c r="U344">
        <f t="shared" si="278"/>
        <v>0.23828104164843791</v>
      </c>
      <c r="V344">
        <f t="shared" si="279"/>
        <v>-1.3302008003959609</v>
      </c>
      <c r="X344">
        <f t="shared" si="296"/>
        <v>-36.902014003229311</v>
      </c>
      <c r="Y344">
        <f t="shared" si="280"/>
        <v>-165.97793145915392</v>
      </c>
      <c r="Z344">
        <f t="shared" si="297"/>
        <v>14.022068540846078</v>
      </c>
      <c r="AC344">
        <v>1</v>
      </c>
      <c r="AD344">
        <f t="shared" si="281"/>
        <v>188.8474173768</v>
      </c>
      <c r="AE344">
        <f t="shared" si="282"/>
        <v>-0.11568992338847525</v>
      </c>
      <c r="AF344">
        <f t="shared" si="283"/>
        <v>2.8384289592750002E-2</v>
      </c>
      <c r="AG344">
        <f t="shared" si="298"/>
        <v>369.60352866464069</v>
      </c>
      <c r="AH344">
        <f t="shared" si="299"/>
        <v>-1541.6769115299458</v>
      </c>
      <c r="AJ344">
        <f t="shared" si="284"/>
        <v>18000</v>
      </c>
      <c r="AK344">
        <f t="shared" si="285"/>
        <v>90568.346188319993</v>
      </c>
      <c r="AL344">
        <v>1</v>
      </c>
      <c r="AM344">
        <f t="shared" si="286"/>
        <v>166.76076441024</v>
      </c>
      <c r="AN344">
        <f t="shared" si="300"/>
        <v>543.7311649531589</v>
      </c>
      <c r="AO344">
        <f t="shared" si="301"/>
        <v>-104.67851293907198</v>
      </c>
      <c r="AQ344">
        <f t="shared" si="287"/>
        <v>5.9171562620377151E-3</v>
      </c>
      <c r="AR344">
        <f t="shared" si="288"/>
        <v>-7.6923031406490292</v>
      </c>
      <c r="AT344">
        <f t="shared" si="313"/>
        <v>-11856.859146593788</v>
      </c>
      <c r="AU344">
        <f t="shared" si="314"/>
        <v>-2852.2247275330774</v>
      </c>
      <c r="AV344">
        <f t="shared" si="302"/>
        <v>-2.9055231273336277</v>
      </c>
      <c r="AW344">
        <f t="shared" si="303"/>
        <v>123.1535567626682</v>
      </c>
      <c r="AX344">
        <f t="shared" si="304"/>
        <v>-6091.3859882749075</v>
      </c>
      <c r="AY344">
        <f t="shared" si="312"/>
        <v>-1.5505814231111537</v>
      </c>
      <c r="BA344">
        <f t="shared" si="289"/>
        <v>2.0016136642346232</v>
      </c>
      <c r="BB344">
        <f t="shared" si="305"/>
        <v>6.0276051423649992</v>
      </c>
      <c r="BC344">
        <f t="shared" si="306"/>
        <v>-1.3549417042224741</v>
      </c>
      <c r="BD344">
        <f t="shared" si="290"/>
        <v>-257.6324412269189</v>
      </c>
      <c r="BF344">
        <f t="shared" si="291"/>
        <v>-40.011242761294838</v>
      </c>
      <c r="BG344">
        <f t="shared" si="292"/>
        <v>-177.98928160192457</v>
      </c>
      <c r="BH344">
        <f t="shared" si="307"/>
        <v>2.0107183980754257</v>
      </c>
      <c r="BI344">
        <f t="shared" si="308"/>
        <v>2.0107183980754257</v>
      </c>
      <c r="BJ344">
        <f t="shared" si="293"/>
        <v>0</v>
      </c>
      <c r="BK344">
        <f t="shared" si="309"/>
        <v>0</v>
      </c>
      <c r="BM344">
        <f t="shared" si="310"/>
        <v>-46.038847903659843</v>
      </c>
      <c r="BN344">
        <f t="shared" si="294"/>
        <v>-100.3568403750057</v>
      </c>
      <c r="BQ344" s="56">
        <f t="shared" si="311"/>
        <v>22.929565942650136</v>
      </c>
      <c r="BR344" s="59"/>
      <c r="BS344" s="59"/>
      <c r="BT344" s="59">
        <v>218776.16200000001</v>
      </c>
      <c r="BU344" s="59">
        <v>13.6015</v>
      </c>
      <c r="BV344" s="59">
        <v>-153.08699999999999</v>
      </c>
      <c r="BY344" s="59"/>
      <c r="BZ344" s="59"/>
      <c r="CA344" s="59"/>
      <c r="CC344" s="59"/>
    </row>
    <row r="345" spans="1:81" x14ac:dyDescent="0.25">
      <c r="A345">
        <f t="shared" si="263"/>
        <v>655000</v>
      </c>
      <c r="B345">
        <f t="shared" si="295"/>
        <v>655</v>
      </c>
      <c r="C345">
        <f t="shared" si="264"/>
        <v>5.5237148909172991</v>
      </c>
      <c r="D345">
        <f t="shared" si="265"/>
        <v>1.38875496060142</v>
      </c>
      <c r="F345">
        <f t="shared" si="266"/>
        <v>5.9744355988490574E-5</v>
      </c>
      <c r="G345">
        <f t="shared" si="267"/>
        <v>2.6294110763526745E-3</v>
      </c>
      <c r="H345">
        <f t="shared" si="268"/>
        <v>-3.1389632389236475</v>
      </c>
      <c r="J345">
        <f t="shared" si="269"/>
        <v>15</v>
      </c>
      <c r="M345">
        <f t="shared" si="270"/>
        <v>1.9423233111069177E-3</v>
      </c>
      <c r="N345">
        <f t="shared" si="271"/>
        <v>-1.5707963250000001</v>
      </c>
      <c r="O345">
        <f t="shared" si="272"/>
        <v>190.30271722915509</v>
      </c>
      <c r="P345">
        <f t="shared" si="273"/>
        <v>1.5655415168965081</v>
      </c>
      <c r="Q345">
        <f t="shared" si="274"/>
        <v>168.04651491410192</v>
      </c>
      <c r="R345">
        <f t="shared" si="275"/>
        <v>1.5648455583277467</v>
      </c>
      <c r="S345">
        <f t="shared" si="276"/>
        <v>0.19350023694826909</v>
      </c>
      <c r="T345">
        <f t="shared" si="277"/>
        <v>-1.3760677620040231</v>
      </c>
      <c r="U345">
        <f t="shared" si="278"/>
        <v>0.23656426450300833</v>
      </c>
      <c r="V345">
        <f t="shared" si="279"/>
        <v>-1.3319681115102004</v>
      </c>
      <c r="X345">
        <f t="shared" si="296"/>
        <v>-37.031078780918484</v>
      </c>
      <c r="Y345">
        <f t="shared" si="280"/>
        <v>-166.08060637339321</v>
      </c>
      <c r="Z345">
        <f t="shared" si="297"/>
        <v>13.919393626606791</v>
      </c>
      <c r="AC345">
        <v>1</v>
      </c>
      <c r="AD345">
        <f t="shared" si="281"/>
        <v>190.30008981816002</v>
      </c>
      <c r="AE345">
        <f t="shared" si="282"/>
        <v>-0.11747661392127952</v>
      </c>
      <c r="AF345">
        <f t="shared" si="283"/>
        <v>2.8602630281925001E-2</v>
      </c>
      <c r="AG345">
        <f t="shared" si="298"/>
        <v>364.29684498003826</v>
      </c>
      <c r="AH345">
        <f t="shared" si="299"/>
        <v>-1531.2004308266926</v>
      </c>
      <c r="AJ345">
        <f t="shared" si="284"/>
        <v>18000</v>
      </c>
      <c r="AK345">
        <f t="shared" si="285"/>
        <v>91265.025774384005</v>
      </c>
      <c r="AL345">
        <v>1</v>
      </c>
      <c r="AM345">
        <f t="shared" si="286"/>
        <v>168.04353952108801</v>
      </c>
      <c r="AN345">
        <f t="shared" si="300"/>
        <v>543.72161840859792</v>
      </c>
      <c r="AO345">
        <f t="shared" si="301"/>
        <v>-103.87949713116338</v>
      </c>
      <c r="AQ345">
        <f t="shared" si="287"/>
        <v>5.8271628534684143E-3</v>
      </c>
      <c r="AR345">
        <f t="shared" si="288"/>
        <v>-7.6335833380436231</v>
      </c>
      <c r="AT345">
        <f t="shared" si="313"/>
        <v>-11686.423278921155</v>
      </c>
      <c r="AU345">
        <f t="shared" si="314"/>
        <v>-2789.8128802132087</v>
      </c>
      <c r="AV345">
        <f t="shared" si="302"/>
        <v>-2.9072558895731335</v>
      </c>
      <c r="AW345">
        <f t="shared" si="303"/>
        <v>129.86455262606773</v>
      </c>
      <c r="AX345">
        <f t="shared" si="304"/>
        <v>-6046.1375876967977</v>
      </c>
      <c r="AY345">
        <f t="shared" si="312"/>
        <v>-1.5493207011561778</v>
      </c>
      <c r="BA345">
        <f t="shared" si="289"/>
        <v>1.986728641781583</v>
      </c>
      <c r="BB345">
        <f t="shared" si="305"/>
        <v>5.9627710570954875</v>
      </c>
      <c r="BC345">
        <f t="shared" si="306"/>
        <v>-1.3579351884169557</v>
      </c>
      <c r="BD345">
        <f t="shared" si="290"/>
        <v>-257.8039552374978</v>
      </c>
      <c r="BF345">
        <f t="shared" si="291"/>
        <v>-40.144840997613649</v>
      </c>
      <c r="BG345">
        <f t="shared" si="292"/>
        <v>-178.08350296880562</v>
      </c>
      <c r="BH345">
        <f t="shared" si="307"/>
        <v>1.9164970311943819</v>
      </c>
      <c r="BI345">
        <f t="shared" si="308"/>
        <v>1.9164970311943819</v>
      </c>
      <c r="BJ345">
        <f t="shared" si="293"/>
        <v>0</v>
      </c>
      <c r="BK345">
        <f t="shared" si="309"/>
        <v>0</v>
      </c>
      <c r="BM345">
        <f t="shared" si="310"/>
        <v>-46.107612054709136</v>
      </c>
      <c r="BN345">
        <f t="shared" si="294"/>
        <v>-100.27954773130786</v>
      </c>
      <c r="BQ345" s="56">
        <f t="shared" si="311"/>
        <v>22.864731857380622</v>
      </c>
      <c r="BR345" s="59"/>
      <c r="BS345" s="59"/>
      <c r="BT345" s="59">
        <v>223872.114</v>
      </c>
      <c r="BU345" s="59">
        <v>13.8704</v>
      </c>
      <c r="BV345" s="59">
        <v>-154.70699999999999</v>
      </c>
      <c r="BY345" s="59"/>
      <c r="BZ345" s="59"/>
      <c r="CA345" s="59"/>
      <c r="CC345" s="59"/>
    </row>
    <row r="346" spans="1:81" x14ac:dyDescent="0.25">
      <c r="A346">
        <f t="shared" si="263"/>
        <v>660000</v>
      </c>
      <c r="B346">
        <f t="shared" si="295"/>
        <v>660</v>
      </c>
      <c r="C346">
        <f t="shared" si="264"/>
        <v>5.5645037515613511</v>
      </c>
      <c r="D346">
        <f t="shared" si="265"/>
        <v>1.3901041292523444</v>
      </c>
      <c r="F346">
        <f t="shared" si="266"/>
        <v>5.8842517022583644E-5</v>
      </c>
      <c r="G346">
        <f t="shared" si="267"/>
        <v>2.6094890191966807E-3</v>
      </c>
      <c r="H346">
        <f t="shared" si="268"/>
        <v>-3.1389831609808034</v>
      </c>
      <c r="J346">
        <f t="shared" si="269"/>
        <v>15</v>
      </c>
      <c r="M346">
        <f t="shared" si="270"/>
        <v>1.9276087405682286E-3</v>
      </c>
      <c r="N346">
        <f t="shared" si="271"/>
        <v>-1.5707963250000001</v>
      </c>
      <c r="O346">
        <f t="shared" si="272"/>
        <v>191.75536976615803</v>
      </c>
      <c r="P346">
        <f t="shared" si="273"/>
        <v>1.565581325337881</v>
      </c>
      <c r="Q346">
        <f t="shared" si="274"/>
        <v>169.3292674844883</v>
      </c>
      <c r="R346">
        <f t="shared" si="275"/>
        <v>1.5648906388548387</v>
      </c>
      <c r="S346">
        <f t="shared" si="276"/>
        <v>0.19208861406828961</v>
      </c>
      <c r="T346">
        <f t="shared" si="277"/>
        <v>-1.3775063745853537</v>
      </c>
      <c r="U346">
        <f t="shared" si="278"/>
        <v>0.2348713306868401</v>
      </c>
      <c r="V346">
        <f t="shared" si="279"/>
        <v>-1.3337101330496717</v>
      </c>
      <c r="X346">
        <f t="shared" si="296"/>
        <v>-37.159219547207073</v>
      </c>
      <c r="Y346">
        <f t="shared" si="280"/>
        <v>-166.18181928543078</v>
      </c>
      <c r="Z346">
        <f t="shared" si="297"/>
        <v>13.818180714569223</v>
      </c>
      <c r="AC346">
        <v>1</v>
      </c>
      <c r="AD346">
        <f t="shared" si="281"/>
        <v>191.75276225952001</v>
      </c>
      <c r="AE346">
        <f t="shared" si="282"/>
        <v>-0.11927699556927769</v>
      </c>
      <c r="AF346">
        <f t="shared" si="283"/>
        <v>2.88209709711E-2</v>
      </c>
      <c r="AG346">
        <f t="shared" si="298"/>
        <v>359.10143912669872</v>
      </c>
      <c r="AH346">
        <f t="shared" si="299"/>
        <v>-1520.8557965513796</v>
      </c>
      <c r="AJ346">
        <f t="shared" si="284"/>
        <v>18000</v>
      </c>
      <c r="AK346">
        <f t="shared" si="285"/>
        <v>91961.705360447988</v>
      </c>
      <c r="AL346">
        <v>1</v>
      </c>
      <c r="AM346">
        <f t="shared" si="286"/>
        <v>169.32631463193599</v>
      </c>
      <c r="AN346">
        <f t="shared" si="300"/>
        <v>543.71228799797518</v>
      </c>
      <c r="AO346">
        <f t="shared" si="301"/>
        <v>-103.09258634694019</v>
      </c>
      <c r="AQ346">
        <f t="shared" si="287"/>
        <v>5.7392069908132511E-3</v>
      </c>
      <c r="AR346">
        <f t="shared" si="288"/>
        <v>-7.5757532278734914</v>
      </c>
      <c r="AT346">
        <f t="shared" si="313"/>
        <v>-11519.567252364377</v>
      </c>
      <c r="AU346">
        <f t="shared" si="314"/>
        <v>-2729.1923928176902</v>
      </c>
      <c r="AV346">
        <f t="shared" si="302"/>
        <v>-2.9089638856889377</v>
      </c>
      <c r="AW346">
        <f t="shared" si="303"/>
        <v>136.41446782100763</v>
      </c>
      <c r="AX346">
        <f t="shared" si="304"/>
        <v>-6001.548876773446</v>
      </c>
      <c r="AY346">
        <f t="shared" si="312"/>
        <v>-1.548070363018099</v>
      </c>
      <c r="BA346">
        <f t="shared" si="289"/>
        <v>1.9720565843069033</v>
      </c>
      <c r="BB346">
        <f t="shared" si="305"/>
        <v>5.8983874402954504</v>
      </c>
      <c r="BC346">
        <f t="shared" si="306"/>
        <v>-1.3608935226708387</v>
      </c>
      <c r="BD346">
        <f t="shared" si="290"/>
        <v>-257.97345530482795</v>
      </c>
      <c r="BF346">
        <f t="shared" si="291"/>
        <v>-40.277433754639638</v>
      </c>
      <c r="BG346">
        <f t="shared" si="292"/>
        <v>-178.17684281629366</v>
      </c>
      <c r="BH346">
        <f t="shared" si="307"/>
        <v>1.8231571837063427</v>
      </c>
      <c r="BI346">
        <f t="shared" si="308"/>
        <v>1.8231571837063427</v>
      </c>
      <c r="BJ346">
        <f t="shared" si="293"/>
        <v>0</v>
      </c>
      <c r="BK346">
        <f t="shared" si="309"/>
        <v>0</v>
      </c>
      <c r="BM346">
        <f t="shared" si="310"/>
        <v>-46.175821194935097</v>
      </c>
      <c r="BN346">
        <f t="shared" si="294"/>
        <v>-100.20338751146576</v>
      </c>
      <c r="BQ346" s="56">
        <f t="shared" si="311"/>
        <v>22.80034824058059</v>
      </c>
      <c r="BR346" s="59"/>
      <c r="BS346" s="59"/>
      <c r="BT346" s="59">
        <v>229086.76500000001</v>
      </c>
      <c r="BU346" s="59">
        <v>14.1297</v>
      </c>
      <c r="BV346" s="59">
        <v>-156.46</v>
      </c>
      <c r="BY346" s="59"/>
      <c r="BZ346" s="59"/>
      <c r="CA346" s="59"/>
      <c r="CC346" s="59"/>
    </row>
    <row r="347" spans="1:81" x14ac:dyDescent="0.25">
      <c r="A347">
        <f t="shared" si="263"/>
        <v>665000</v>
      </c>
      <c r="B347">
        <f t="shared" si="295"/>
        <v>665</v>
      </c>
      <c r="C347">
        <f t="shared" si="264"/>
        <v>5.6053025936048293</v>
      </c>
      <c r="D347">
        <f t="shared" si="265"/>
        <v>1.3914336601345194</v>
      </c>
      <c r="F347">
        <f t="shared" si="266"/>
        <v>5.7960945207897778E-5</v>
      </c>
      <c r="G347">
        <f t="shared" si="267"/>
        <v>2.5898665926178724E-3</v>
      </c>
      <c r="H347">
        <f t="shared" si="268"/>
        <v>-3.1390027834073821</v>
      </c>
      <c r="J347">
        <f t="shared" si="269"/>
        <v>15</v>
      </c>
      <c r="M347">
        <f t="shared" si="270"/>
        <v>1.9131154417669641E-3</v>
      </c>
      <c r="N347">
        <f t="shared" si="271"/>
        <v>-1.5707963250000001</v>
      </c>
      <c r="O347">
        <f t="shared" si="272"/>
        <v>193.20802260246856</v>
      </c>
      <c r="P347">
        <f t="shared" si="273"/>
        <v>1.5656205351722339</v>
      </c>
      <c r="Q347">
        <f t="shared" si="274"/>
        <v>170.61202039382025</v>
      </c>
      <c r="R347">
        <f t="shared" si="275"/>
        <v>1.5649350415027337</v>
      </c>
      <c r="S347">
        <f t="shared" si="276"/>
        <v>0.19069705203153467</v>
      </c>
      <c r="T347">
        <f t="shared" si="277"/>
        <v>-1.3789241463663089</v>
      </c>
      <c r="U347">
        <f t="shared" si="278"/>
        <v>0.23320176244654733</v>
      </c>
      <c r="V347">
        <f t="shared" si="279"/>
        <v>-1.3354273936354097</v>
      </c>
      <c r="X347">
        <f t="shared" si="296"/>
        <v>-37.286449059511007</v>
      </c>
      <c r="Y347">
        <f t="shared" si="280"/>
        <v>-166.28160054039165</v>
      </c>
      <c r="Z347">
        <f t="shared" si="297"/>
        <v>13.718399459608349</v>
      </c>
      <c r="AC347">
        <v>1</v>
      </c>
      <c r="AD347">
        <f t="shared" si="281"/>
        <v>193.20543470088001</v>
      </c>
      <c r="AE347">
        <f t="shared" si="282"/>
        <v>-0.12109106833246977</v>
      </c>
      <c r="AF347">
        <f t="shared" si="283"/>
        <v>2.9039311660275003E-2</v>
      </c>
      <c r="AG347">
        <f t="shared" si="298"/>
        <v>354.01428400920787</v>
      </c>
      <c r="AH347">
        <f t="shared" si="299"/>
        <v>-1510.6407606637438</v>
      </c>
      <c r="AJ347">
        <f t="shared" si="284"/>
        <v>18000</v>
      </c>
      <c r="AK347">
        <f t="shared" si="285"/>
        <v>92658.384946512</v>
      </c>
      <c r="AL347">
        <v>1</v>
      </c>
      <c r="AM347">
        <f t="shared" si="286"/>
        <v>170.60908974278399</v>
      </c>
      <c r="AN347">
        <f t="shared" si="300"/>
        <v>543.70316724589452</v>
      </c>
      <c r="AO347">
        <f t="shared" si="301"/>
        <v>-102.31750757870994</v>
      </c>
      <c r="AQ347">
        <f t="shared" si="287"/>
        <v>5.6532276255143732E-3</v>
      </c>
      <c r="AR347">
        <f t="shared" si="288"/>
        <v>-7.5187927419341163</v>
      </c>
      <c r="AT347">
        <f t="shared" si="313"/>
        <v>-11356.193463618201</v>
      </c>
      <c r="AU347">
        <f t="shared" si="314"/>
        <v>-2670.3000252298475</v>
      </c>
      <c r="AV347">
        <f t="shared" si="302"/>
        <v>-2.9106476324954058</v>
      </c>
      <c r="AW347">
        <f t="shared" si="303"/>
        <v>142.808444758354</v>
      </c>
      <c r="AX347">
        <f t="shared" si="304"/>
        <v>-5957.6056692885913</v>
      </c>
      <c r="AY347">
        <f t="shared" si="312"/>
        <v>-1.5468301380912435</v>
      </c>
      <c r="BA347">
        <f t="shared" si="289"/>
        <v>1.9575930382361935</v>
      </c>
      <c r="BB347">
        <f t="shared" si="305"/>
        <v>5.8344482374081501</v>
      </c>
      <c r="BC347">
        <f t="shared" si="306"/>
        <v>-1.3638174944041623</v>
      </c>
      <c r="BD347">
        <f t="shared" si="290"/>
        <v>-258.14098654475436</v>
      </c>
      <c r="BF347">
        <f t="shared" si="291"/>
        <v>-40.409036152113103</v>
      </c>
      <c r="BG347">
        <f t="shared" si="292"/>
        <v>-178.26932183008017</v>
      </c>
      <c r="BH347">
        <f t="shared" si="307"/>
        <v>1.7306781699198268</v>
      </c>
      <c r="BI347">
        <f t="shared" si="308"/>
        <v>1.7306781699198268</v>
      </c>
      <c r="BJ347">
        <f t="shared" si="293"/>
        <v>0</v>
      </c>
      <c r="BK347">
        <f t="shared" si="309"/>
        <v>0</v>
      </c>
      <c r="BM347">
        <f t="shared" si="310"/>
        <v>-46.243484389521257</v>
      </c>
      <c r="BN347">
        <f t="shared" si="294"/>
        <v>-100.12833528532583</v>
      </c>
      <c r="BQ347" s="56">
        <f t="shared" si="311"/>
        <v>22.736409037693285</v>
      </c>
      <c r="BR347" s="59"/>
      <c r="BS347" s="59"/>
      <c r="BT347" s="59">
        <v>234422.88200000001</v>
      </c>
      <c r="BU347" s="59">
        <v>14.451599999999999</v>
      </c>
      <c r="BV347" s="59">
        <v>-158.77500000000001</v>
      </c>
      <c r="BY347" s="59"/>
      <c r="BZ347" s="59"/>
      <c r="CA347" s="59"/>
      <c r="CC347" s="59"/>
    </row>
    <row r="348" spans="1:81" x14ac:dyDescent="0.25">
      <c r="A348">
        <f t="shared" si="263"/>
        <v>670000</v>
      </c>
      <c r="B348">
        <f t="shared" si="295"/>
        <v>670</v>
      </c>
      <c r="C348">
        <f t="shared" si="264"/>
        <v>5.6461112006707364</v>
      </c>
      <c r="D348">
        <f t="shared" si="265"/>
        <v>1.3927439743058465</v>
      </c>
      <c r="F348">
        <f t="shared" si="266"/>
        <v>5.709903776317978E-5</v>
      </c>
      <c r="G348">
        <f t="shared" si="267"/>
        <v>2.5705370869702729E-3</v>
      </c>
      <c r="H348">
        <f t="shared" si="268"/>
        <v>-3.1390221129130298</v>
      </c>
      <c r="J348">
        <f t="shared" si="269"/>
        <v>15</v>
      </c>
      <c r="M348">
        <f t="shared" si="270"/>
        <v>1.8988384608582551E-3</v>
      </c>
      <c r="N348">
        <f t="shared" si="271"/>
        <v>-1.5707963250000001</v>
      </c>
      <c r="O348">
        <f t="shared" si="272"/>
        <v>194.66067573138594</v>
      </c>
      <c r="P348">
        <f t="shared" si="273"/>
        <v>1.5656591598007392</v>
      </c>
      <c r="Q348">
        <f t="shared" si="274"/>
        <v>171.89477363450962</v>
      </c>
      <c r="R348">
        <f t="shared" si="275"/>
        <v>1.5649787814471392</v>
      </c>
      <c r="S348">
        <f t="shared" si="276"/>
        <v>0.1893251345941134</v>
      </c>
      <c r="T348">
        <f t="shared" si="277"/>
        <v>-1.3803215213850533</v>
      </c>
      <c r="U348">
        <f t="shared" si="278"/>
        <v>0.23155509425498275</v>
      </c>
      <c r="V348">
        <f t="shared" si="279"/>
        <v>-1.3371204075513614</v>
      </c>
      <c r="X348">
        <f t="shared" si="296"/>
        <v>-37.412779820508284</v>
      </c>
      <c r="Y348">
        <f t="shared" si="280"/>
        <v>-166.37997966834735</v>
      </c>
      <c r="Z348">
        <f t="shared" si="297"/>
        <v>13.620020331652654</v>
      </c>
      <c r="AC348">
        <v>1</v>
      </c>
      <c r="AD348">
        <f t="shared" si="281"/>
        <v>194.65810714224</v>
      </c>
      <c r="AE348">
        <f t="shared" si="282"/>
        <v>-0.12291883221085574</v>
      </c>
      <c r="AF348">
        <f t="shared" si="283"/>
        <v>2.9257652349449995E-2</v>
      </c>
      <c r="AG348">
        <f t="shared" si="298"/>
        <v>349.03245254655656</v>
      </c>
      <c r="AH348">
        <f t="shared" si="299"/>
        <v>-1500.5531184233571</v>
      </c>
      <c r="AJ348">
        <f t="shared" si="284"/>
        <v>18000</v>
      </c>
      <c r="AK348">
        <f t="shared" si="285"/>
        <v>93355.064532575998</v>
      </c>
      <c r="AL348">
        <v>1</v>
      </c>
      <c r="AM348">
        <f t="shared" si="286"/>
        <v>171.891864853632</v>
      </c>
      <c r="AN348">
        <f t="shared" si="300"/>
        <v>543.69424991765777</v>
      </c>
      <c r="AO348">
        <f t="shared" si="301"/>
        <v>-101.55399596686323</v>
      </c>
      <c r="AQ348">
        <f t="shared" si="287"/>
        <v>5.5691659784105714E-3</v>
      </c>
      <c r="AR348">
        <f t="shared" si="288"/>
        <v>-7.4626824110701655</v>
      </c>
      <c r="AT348">
        <f t="shared" si="313"/>
        <v>-11196.20754407439</v>
      </c>
      <c r="AU348">
        <f t="shared" si="314"/>
        <v>-2613.0751738877912</v>
      </c>
      <c r="AV348">
        <f t="shared" si="302"/>
        <v>-2.9123076328222353</v>
      </c>
      <c r="AW348">
        <f t="shared" si="303"/>
        <v>149.05142180184444</v>
      </c>
      <c r="AX348">
        <f t="shared" si="304"/>
        <v>-5914.2941799615728</v>
      </c>
      <c r="AY348">
        <f t="shared" si="312"/>
        <v>-1.5455997651534492</v>
      </c>
      <c r="BA348">
        <f t="shared" si="289"/>
        <v>1.9433336699497479</v>
      </c>
      <c r="BB348">
        <f t="shared" si="305"/>
        <v>5.7709475053219084</v>
      </c>
      <c r="BC348">
        <f t="shared" si="306"/>
        <v>-1.366707867668786</v>
      </c>
      <c r="BD348">
        <f t="shared" si="290"/>
        <v>-258.30659273422395</v>
      </c>
      <c r="BF348">
        <f t="shared" si="291"/>
        <v>-40.539662975325221</v>
      </c>
      <c r="BG348">
        <f t="shared" si="292"/>
        <v>-178.36096004670574</v>
      </c>
      <c r="BH348">
        <f t="shared" si="307"/>
        <v>1.6390399532942581</v>
      </c>
      <c r="BI348">
        <f t="shared" si="308"/>
        <v>1.6390399532942581</v>
      </c>
      <c r="BJ348">
        <f t="shared" si="293"/>
        <v>0</v>
      </c>
      <c r="BK348">
        <f t="shared" si="309"/>
        <v>0</v>
      </c>
      <c r="BM348">
        <f t="shared" si="310"/>
        <v>-46.310610480647121</v>
      </c>
      <c r="BN348">
        <f t="shared" si="294"/>
        <v>-100.05436731248176</v>
      </c>
      <c r="BQ348" s="56">
        <f t="shared" si="311"/>
        <v>22.672908305607042</v>
      </c>
      <c r="BR348" s="59"/>
      <c r="BS348" s="59"/>
      <c r="BT348" s="59">
        <v>239883.29199999999</v>
      </c>
      <c r="BU348" s="59">
        <v>14.4628</v>
      </c>
      <c r="BV348" s="59">
        <v>-161.529</v>
      </c>
      <c r="BY348" s="59"/>
      <c r="BZ348" s="59"/>
      <c r="CA348" s="59"/>
      <c r="CC348" s="59"/>
    </row>
    <row r="349" spans="1:81" x14ac:dyDescent="0.25">
      <c r="A349">
        <f t="shared" si="263"/>
        <v>675000</v>
      </c>
      <c r="B349">
        <f t="shared" si="295"/>
        <v>675</v>
      </c>
      <c r="C349">
        <f t="shared" si="264"/>
        <v>5.6869293625417816</v>
      </c>
      <c r="D349">
        <f t="shared" si="265"/>
        <v>1.3940354810038995</v>
      </c>
      <c r="F349">
        <f t="shared" si="266"/>
        <v>5.6256214151809226E-5</v>
      </c>
      <c r="G349">
        <f t="shared" si="267"/>
        <v>2.5514939914671238E-3</v>
      </c>
      <c r="H349">
        <f t="shared" si="268"/>
        <v>-3.139041156008533</v>
      </c>
      <c r="J349">
        <f t="shared" si="269"/>
        <v>15</v>
      </c>
      <c r="M349">
        <f t="shared" si="270"/>
        <v>1.8847729907778238E-3</v>
      </c>
      <c r="N349">
        <f t="shared" si="271"/>
        <v>-1.5707963250000001</v>
      </c>
      <c r="O349">
        <f t="shared" si="272"/>
        <v>196.11332914640795</v>
      </c>
      <c r="P349">
        <f t="shared" si="273"/>
        <v>1.5656972122275157</v>
      </c>
      <c r="Q349">
        <f t="shared" si="274"/>
        <v>173.17752719919315</v>
      </c>
      <c r="R349">
        <f t="shared" si="275"/>
        <v>1.5650218734141372</v>
      </c>
      <c r="S349">
        <f t="shared" si="276"/>
        <v>0.18797245670579532</v>
      </c>
      <c r="T349">
        <f t="shared" si="277"/>
        <v>-1.3816989313134669</v>
      </c>
      <c r="U349">
        <f t="shared" si="278"/>
        <v>0.22993087243932742</v>
      </c>
      <c r="V349">
        <f t="shared" si="279"/>
        <v>-1.3387896752167627</v>
      </c>
      <c r="X349">
        <f t="shared" si="296"/>
        <v>-37.53822408467385</v>
      </c>
      <c r="Y349">
        <f t="shared" si="280"/>
        <v>-166.4769854108163</v>
      </c>
      <c r="Z349">
        <f t="shared" si="297"/>
        <v>13.523014589183703</v>
      </c>
      <c r="AC349">
        <v>1</v>
      </c>
      <c r="AD349">
        <f t="shared" si="281"/>
        <v>196.11077958360002</v>
      </c>
      <c r="AE349">
        <f t="shared" si="282"/>
        <v>-0.12476028720443562</v>
      </c>
      <c r="AF349">
        <f t="shared" si="283"/>
        <v>2.9475993038624998E-2</v>
      </c>
      <c r="AG349">
        <f t="shared" si="298"/>
        <v>344.15311382761809</v>
      </c>
      <c r="AH349">
        <f t="shared" si="299"/>
        <v>-1490.5907076942376</v>
      </c>
      <c r="AJ349">
        <f t="shared" si="284"/>
        <v>18000</v>
      </c>
      <c r="AK349">
        <f t="shared" si="285"/>
        <v>94051.744118639996</v>
      </c>
      <c r="AL349">
        <v>1</v>
      </c>
      <c r="AM349">
        <f t="shared" si="286"/>
        <v>173.17463996448001</v>
      </c>
      <c r="AN349">
        <f t="shared" si="300"/>
        <v>543.68553000860788</v>
      </c>
      <c r="AO349">
        <f t="shared" si="301"/>
        <v>-100.80179449815441</v>
      </c>
      <c r="AQ349">
        <f t="shared" si="287"/>
        <v>5.4869654392507876E-3</v>
      </c>
      <c r="AR349">
        <f t="shared" si="288"/>
        <v>-7.4074033429885633</v>
      </c>
      <c r="AT349">
        <f t="shared" si="313"/>
        <v>-11039.5182349606</v>
      </c>
      <c r="AU349">
        <f t="shared" si="314"/>
        <v>-2557.4597455638082</v>
      </c>
      <c r="AV349">
        <f t="shared" si="302"/>
        <v>-2.91394437597378</v>
      </c>
      <c r="AW349">
        <f t="shared" si="303"/>
        <v>155.14814290431505</v>
      </c>
      <c r="AX349">
        <f t="shared" si="304"/>
        <v>-5871.6010104458983</v>
      </c>
      <c r="AY349">
        <f t="shared" si="312"/>
        <v>-1.5443789919687743</v>
      </c>
      <c r="BA349">
        <f t="shared" si="289"/>
        <v>1.9292742619137975</v>
      </c>
      <c r="BB349">
        <f t="shared" si="305"/>
        <v>5.7078794099964272</v>
      </c>
      <c r="BC349">
        <f t="shared" si="306"/>
        <v>-1.3695653840050057</v>
      </c>
      <c r="BD349">
        <f t="shared" si="290"/>
        <v>-258.47031636036616</v>
      </c>
      <c r="BF349">
        <f t="shared" si="291"/>
        <v>-40.669328684787999</v>
      </c>
      <c r="BG349">
        <f t="shared" si="292"/>
        <v>-178.45177687875446</v>
      </c>
      <c r="BH349">
        <f t="shared" si="307"/>
        <v>1.5482231212455417</v>
      </c>
      <c r="BI349">
        <f t="shared" si="308"/>
        <v>1.5482231212455417</v>
      </c>
      <c r="BJ349">
        <f t="shared" si="293"/>
        <v>0</v>
      </c>
      <c r="BK349">
        <f t="shared" si="309"/>
        <v>0</v>
      </c>
      <c r="BM349">
        <f t="shared" si="310"/>
        <v>-46.377208094784415</v>
      </c>
      <c r="BN349">
        <f t="shared" si="294"/>
        <v>-99.981460518388332</v>
      </c>
      <c r="BQ349" s="56">
        <f t="shared" si="311"/>
        <v>22.609840210281561</v>
      </c>
      <c r="BR349" s="59"/>
      <c r="BS349" s="59"/>
      <c r="BT349" s="59">
        <v>245470.89199999999</v>
      </c>
      <c r="BU349" s="59">
        <v>14.575900000000001</v>
      </c>
      <c r="BV349" s="59">
        <v>-163.59700000000001</v>
      </c>
      <c r="BY349" s="59"/>
      <c r="BZ349" s="59"/>
      <c r="CA349" s="59"/>
      <c r="CC349" s="59"/>
    </row>
    <row r="350" spans="1:81" x14ac:dyDescent="0.25">
      <c r="A350">
        <f t="shared" si="263"/>
        <v>680000</v>
      </c>
      <c r="B350">
        <f t="shared" si="295"/>
        <v>680</v>
      </c>
      <c r="C350">
        <f t="shared" si="264"/>
        <v>5.7277568749445056</v>
      </c>
      <c r="D350">
        <f t="shared" si="265"/>
        <v>1.3953085780531365</v>
      </c>
      <c r="F350">
        <f t="shared" si="266"/>
        <v>5.5431915103922162E-5</v>
      </c>
      <c r="G350">
        <f t="shared" si="267"/>
        <v>2.5327309868674991E-3</v>
      </c>
      <c r="H350">
        <f t="shared" si="268"/>
        <v>-3.1390599190131327</v>
      </c>
      <c r="J350">
        <f t="shared" si="269"/>
        <v>15</v>
      </c>
      <c r="M350">
        <f t="shared" si="270"/>
        <v>1.8709143658456337E-3</v>
      </c>
      <c r="N350">
        <f t="shared" si="271"/>
        <v>-1.5707963250000001</v>
      </c>
      <c r="O350">
        <f t="shared" si="272"/>
        <v>197.56598284122362</v>
      </c>
      <c r="P350">
        <f t="shared" si="273"/>
        <v>1.5657347050742241</v>
      </c>
      <c r="Q350">
        <f t="shared" si="274"/>
        <v>174.46028108072417</v>
      </c>
      <c r="R350">
        <f t="shared" si="275"/>
        <v>1.5650643316967139</v>
      </c>
      <c r="S350">
        <f t="shared" si="276"/>
        <v>0.18663862414508953</v>
      </c>
      <c r="T350">
        <f t="shared" si="277"/>
        <v>-1.3830567958790112</v>
      </c>
      <c r="U350">
        <f t="shared" si="278"/>
        <v>0.22832865482192055</v>
      </c>
      <c r="V350">
        <f t="shared" si="279"/>
        <v>-1.3404356836404028</v>
      </c>
      <c r="X350">
        <f t="shared" si="296"/>
        <v>-37.662793864612901</v>
      </c>
      <c r="Y350">
        <f t="shared" si="280"/>
        <v>-166.57264574626663</v>
      </c>
      <c r="Z350">
        <f t="shared" si="297"/>
        <v>13.42735425373337</v>
      </c>
      <c r="AC350">
        <v>1</v>
      </c>
      <c r="AD350">
        <f t="shared" si="281"/>
        <v>197.56345202495999</v>
      </c>
      <c r="AE350">
        <f t="shared" si="282"/>
        <v>-0.1266154333132094</v>
      </c>
      <c r="AF350">
        <f t="shared" si="283"/>
        <v>2.9694333727799997E-2</v>
      </c>
      <c r="AG350">
        <f t="shared" si="298"/>
        <v>339.37352943321918</v>
      </c>
      <c r="AH350">
        <f t="shared" si="299"/>
        <v>-1480.7514082410742</v>
      </c>
      <c r="AJ350">
        <f t="shared" si="284"/>
        <v>18000</v>
      </c>
      <c r="AK350">
        <f t="shared" si="285"/>
        <v>94748.423704703993</v>
      </c>
      <c r="AL350">
        <v>1</v>
      </c>
      <c r="AM350">
        <f t="shared" si="286"/>
        <v>174.45741507532802</v>
      </c>
      <c r="AN350">
        <f t="shared" si="300"/>
        <v>543.67700173401727</v>
      </c>
      <c r="AO350">
        <f t="shared" si="301"/>
        <v>-100.06065371729034</v>
      </c>
      <c r="AQ350">
        <f t="shared" si="287"/>
        <v>5.4065714713605797E-3</v>
      </c>
      <c r="AR350">
        <f t="shared" si="288"/>
        <v>-7.3529372010503886</v>
      </c>
      <c r="AT350">
        <f t="shared" si="313"/>
        <v>-10886.037267921178</v>
      </c>
      <c r="AU350">
        <f t="shared" si="314"/>
        <v>-2503.3980379412596</v>
      </c>
      <c r="AV350">
        <f t="shared" si="302"/>
        <v>-2.9155583381708388</v>
      </c>
      <c r="AW350">
        <f t="shared" si="303"/>
        <v>161.10316671832797</v>
      </c>
      <c r="AX350">
        <f t="shared" si="304"/>
        <v>-5829.5131359097541</v>
      </c>
      <c r="AY350">
        <f t="shared" si="312"/>
        <v>-1.543167574909893</v>
      </c>
      <c r="BA350">
        <f t="shared" si="289"/>
        <v>1.9154107089531469</v>
      </c>
      <c r="BB350">
        <f t="shared" si="305"/>
        <v>5.645238224134034</v>
      </c>
      <c r="BC350">
        <f t="shared" si="306"/>
        <v>-1.3723907632609458</v>
      </c>
      <c r="BD350">
        <f t="shared" si="290"/>
        <v>-258.63219866744032</v>
      </c>
      <c r="BF350">
        <f t="shared" si="291"/>
        <v>-40.798047425563013</v>
      </c>
      <c r="BG350">
        <f t="shared" si="292"/>
        <v>-178.54179113888921</v>
      </c>
      <c r="BH350">
        <f t="shared" si="307"/>
        <v>1.4582088611107906</v>
      </c>
      <c r="BI350">
        <f t="shared" si="308"/>
        <v>1.4582088611107906</v>
      </c>
      <c r="BJ350">
        <f t="shared" si="293"/>
        <v>0</v>
      </c>
      <c r="BK350">
        <f t="shared" si="309"/>
        <v>0</v>
      </c>
      <c r="BM350">
        <f t="shared" si="310"/>
        <v>-46.443285649697046</v>
      </c>
      <c r="BN350">
        <f t="shared" si="294"/>
        <v>-99.909592471448931</v>
      </c>
      <c r="BQ350" s="56">
        <f t="shared" si="311"/>
        <v>22.547199024419168</v>
      </c>
      <c r="BR350" s="59"/>
      <c r="BS350" s="59"/>
      <c r="BT350" s="59">
        <v>251188.64300000001</v>
      </c>
      <c r="BU350" s="59">
        <v>14.7446</v>
      </c>
      <c r="BV350" s="59">
        <v>-165.89599999999999</v>
      </c>
      <c r="BY350" s="59"/>
      <c r="BZ350" s="59"/>
      <c r="CA350" s="59"/>
      <c r="CC350" s="59"/>
    </row>
    <row r="351" spans="1:81" x14ac:dyDescent="0.25">
      <c r="A351">
        <f t="shared" si="263"/>
        <v>685000</v>
      </c>
      <c r="B351">
        <f t="shared" si="295"/>
        <v>685</v>
      </c>
      <c r="C351">
        <f t="shared" si="264"/>
        <v>5.76859353934233</v>
      </c>
      <c r="D351">
        <f t="shared" si="265"/>
        <v>1.3965636522555935</v>
      </c>
      <c r="F351">
        <f t="shared" si="266"/>
        <v>5.4625601688322511E-5</v>
      </c>
      <c r="G351">
        <f t="shared" si="267"/>
        <v>2.5142419384833149E-3</v>
      </c>
      <c r="H351">
        <f t="shared" si="268"/>
        <v>-3.1390784080615171</v>
      </c>
      <c r="J351">
        <f t="shared" si="269"/>
        <v>15</v>
      </c>
      <c r="M351">
        <f t="shared" si="270"/>
        <v>1.8572580566058848E-3</v>
      </c>
      <c r="N351">
        <f t="shared" si="271"/>
        <v>-1.5707963250000001</v>
      </c>
      <c r="O351">
        <f t="shared" si="272"/>
        <v>199.01863680970624</v>
      </c>
      <c r="P351">
        <f t="shared" si="273"/>
        <v>1.5657716505940256</v>
      </c>
      <c r="Q351">
        <f t="shared" si="274"/>
        <v>175.74303527216469</v>
      </c>
      <c r="R351">
        <f t="shared" si="275"/>
        <v>1.5651061701705646</v>
      </c>
      <c r="S351">
        <f t="shared" si="276"/>
        <v>0.18532325316811907</v>
      </c>
      <c r="T351">
        <f t="shared" si="277"/>
        <v>-1.3843955232696836</v>
      </c>
      <c r="U351">
        <f t="shared" si="278"/>
        <v>0.22674801037336478</v>
      </c>
      <c r="V351">
        <f t="shared" si="279"/>
        <v>-1.342058906857559</v>
      </c>
      <c r="X351">
        <f t="shared" si="296"/>
        <v>-37.78650093719957</v>
      </c>
      <c r="Y351">
        <f t="shared" si="280"/>
        <v>-166.66698791466283</v>
      </c>
      <c r="Z351">
        <f t="shared" si="297"/>
        <v>13.333012085337174</v>
      </c>
      <c r="AC351">
        <v>1</v>
      </c>
      <c r="AD351">
        <f t="shared" si="281"/>
        <v>199.01612446632001</v>
      </c>
      <c r="AE351">
        <f t="shared" si="282"/>
        <v>-0.12848427053717706</v>
      </c>
      <c r="AF351">
        <f t="shared" si="283"/>
        <v>2.9912674416974996E-2</v>
      </c>
      <c r="AG351">
        <f t="shared" si="298"/>
        <v>334.69104991687277</v>
      </c>
      <c r="AH351">
        <f t="shared" si="299"/>
        <v>-1471.0331410193312</v>
      </c>
      <c r="AJ351">
        <f t="shared" si="284"/>
        <v>18000</v>
      </c>
      <c r="AK351">
        <f t="shared" si="285"/>
        <v>95445.103290767991</v>
      </c>
      <c r="AL351">
        <v>1</v>
      </c>
      <c r="AM351">
        <f t="shared" si="286"/>
        <v>175.74019018617599</v>
      </c>
      <c r="AN351">
        <f t="shared" si="300"/>
        <v>543.66865951949342</v>
      </c>
      <c r="AO351">
        <f t="shared" si="301"/>
        <v>-99.330331451147188</v>
      </c>
      <c r="AQ351">
        <f t="shared" si="287"/>
        <v>5.327931521161745E-3</v>
      </c>
      <c r="AR351">
        <f t="shared" si="288"/>
        <v>-7.2992661839915902</v>
      </c>
      <c r="AT351">
        <f t="shared" si="313"/>
        <v>-10735.679250778634</v>
      </c>
      <c r="AU351">
        <f t="shared" si="314"/>
        <v>-2450.8366265835812</v>
      </c>
      <c r="AV351">
        <f t="shared" si="302"/>
        <v>-2.9171499829756606</v>
      </c>
      <c r="AW351">
        <f t="shared" si="303"/>
        <v>166.92087521360185</v>
      </c>
      <c r="AX351">
        <f t="shared" si="304"/>
        <v>-5788.0178921703664</v>
      </c>
      <c r="AY351">
        <f t="shared" si="312"/>
        <v>-1.5419652785990705</v>
      </c>
      <c r="BA351">
        <f t="shared" si="289"/>
        <v>1.9017390146596476</v>
      </c>
      <c r="BB351">
        <f t="shared" si="305"/>
        <v>5.5830183248960594</v>
      </c>
      <c r="BC351">
        <f t="shared" si="306"/>
        <v>-1.3751847043765901</v>
      </c>
      <c r="BD351">
        <f t="shared" si="290"/>
        <v>-258.79227970175771</v>
      </c>
      <c r="BF351">
        <f t="shared" si="291"/>
        <v>-40.925833036263271</v>
      </c>
      <c r="BG351">
        <f t="shared" si="292"/>
        <v>-178.63102106278876</v>
      </c>
      <c r="BH351">
        <f t="shared" si="307"/>
        <v>1.3689789372112386</v>
      </c>
      <c r="BI351">
        <f t="shared" si="308"/>
        <v>1.3689789372112386</v>
      </c>
      <c r="BJ351">
        <f t="shared" si="293"/>
        <v>0</v>
      </c>
      <c r="BK351">
        <f t="shared" si="309"/>
        <v>0</v>
      </c>
      <c r="BM351">
        <f t="shared" si="310"/>
        <v>-46.508851361159323</v>
      </c>
      <c r="BN351">
        <f t="shared" si="294"/>
        <v>-99.838741361031069</v>
      </c>
      <c r="BQ351" s="56">
        <f t="shared" si="311"/>
        <v>22.484979125181198</v>
      </c>
      <c r="BR351" s="59"/>
      <c r="BS351" s="59"/>
      <c r="BT351" s="59">
        <v>257039.57800000001</v>
      </c>
      <c r="BU351" s="59">
        <v>14.891</v>
      </c>
      <c r="BV351" s="59">
        <v>-168.07</v>
      </c>
      <c r="BY351" s="59"/>
      <c r="BZ351" s="59"/>
      <c r="CA351" s="59"/>
      <c r="CC351" s="59"/>
    </row>
    <row r="352" spans="1:81" x14ac:dyDescent="0.25">
      <c r="A352">
        <f t="shared" si="263"/>
        <v>690000</v>
      </c>
      <c r="B352">
        <f t="shared" si="295"/>
        <v>690</v>
      </c>
      <c r="C352">
        <f t="shared" si="264"/>
        <v>5.8094391627371307</v>
      </c>
      <c r="D352">
        <f t="shared" si="265"/>
        <v>1.3978010797658256</v>
      </c>
      <c r="F352">
        <f t="shared" si="266"/>
        <v>5.3836754431305565E-5</v>
      </c>
      <c r="G352">
        <f t="shared" si="267"/>
        <v>2.4960208894905119E-3</v>
      </c>
      <c r="H352">
        <f t="shared" si="268"/>
        <v>-3.1390966291105098</v>
      </c>
      <c r="J352">
        <f t="shared" si="269"/>
        <v>15</v>
      </c>
      <c r="M352">
        <f t="shared" si="270"/>
        <v>1.8437996648913496E-3</v>
      </c>
      <c r="N352">
        <f t="shared" si="271"/>
        <v>-1.5707963250000001</v>
      </c>
      <c r="O352">
        <f t="shared" si="272"/>
        <v>200.47129104590672</v>
      </c>
      <c r="P352">
        <f t="shared" si="273"/>
        <v>1.5658080606849318</v>
      </c>
      <c r="Q352">
        <f t="shared" si="274"/>
        <v>177.02578976677771</v>
      </c>
      <c r="R352">
        <f t="shared" si="275"/>
        <v>1.5651474023092127</v>
      </c>
      <c r="S352">
        <f t="shared" si="276"/>
        <v>0.18402597017070496</v>
      </c>
      <c r="T352">
        <f t="shared" si="277"/>
        <v>-1.3857155105228327</v>
      </c>
      <c r="U352">
        <f t="shared" si="278"/>
        <v>0.22518851887745697</v>
      </c>
      <c r="V352">
        <f t="shared" si="279"/>
        <v>-1.3436598063503502</v>
      </c>
      <c r="X352">
        <f t="shared" si="296"/>
        <v>-37.909356849528052</v>
      </c>
      <c r="Y352">
        <f t="shared" si="280"/>
        <v>-166.76003844109772</v>
      </c>
      <c r="Z352">
        <f t="shared" si="297"/>
        <v>13.23996155890228</v>
      </c>
      <c r="AC352">
        <v>1</v>
      </c>
      <c r="AD352">
        <f t="shared" si="281"/>
        <v>200.46879690768</v>
      </c>
      <c r="AE352">
        <f t="shared" si="282"/>
        <v>-0.13036679887633862</v>
      </c>
      <c r="AF352">
        <f t="shared" si="283"/>
        <v>3.0131015106149999E-2</v>
      </c>
      <c r="AG352">
        <f t="shared" si="298"/>
        <v>330.10311143664916</v>
      </c>
      <c r="AH352">
        <f t="shared" si="299"/>
        <v>-1461.4338674612861</v>
      </c>
      <c r="AJ352">
        <f t="shared" si="284"/>
        <v>18000</v>
      </c>
      <c r="AK352">
        <f t="shared" si="285"/>
        <v>96141.782876832003</v>
      </c>
      <c r="AL352">
        <v>1</v>
      </c>
      <c r="AM352">
        <f t="shared" si="286"/>
        <v>177.022965297024</v>
      </c>
      <c r="AN352">
        <f t="shared" si="300"/>
        <v>543.66049799186646</v>
      </c>
      <c r="AO352">
        <f t="shared" si="301"/>
        <v>-98.61059254497529</v>
      </c>
      <c r="AQ352">
        <f t="shared" si="287"/>
        <v>5.2509949322647907E-3</v>
      </c>
      <c r="AR352">
        <f t="shared" si="288"/>
        <v>-7.2463730065254115</v>
      </c>
      <c r="AT352">
        <f t="shared" si="313"/>
        <v>-10588.36155822822</v>
      </c>
      <c r="AU352">
        <f t="shared" si="314"/>
        <v>-2399.7242579164636</v>
      </c>
      <c r="AV352">
        <f t="shared" si="302"/>
        <v>-2.9187197617008875</v>
      </c>
      <c r="AW352">
        <f t="shared" si="303"/>
        <v>172.60548183140594</v>
      </c>
      <c r="AX352">
        <f t="shared" si="304"/>
        <v>-5747.1029633556373</v>
      </c>
      <c r="AY352">
        <f t="shared" si="312"/>
        <v>-1.5407718755666766</v>
      </c>
      <c r="BA352">
        <f t="shared" si="289"/>
        <v>1.8882552879312109</v>
      </c>
      <c r="BB352">
        <f t="shared" si="305"/>
        <v>5.5212141916645727</v>
      </c>
      <c r="BC352">
        <f t="shared" si="306"/>
        <v>-1.3779478861342109</v>
      </c>
      <c r="BD352">
        <f t="shared" si="290"/>
        <v>-258.95059835467782</v>
      </c>
      <c r="BF352">
        <f t="shared" si="291"/>
        <v>-41.052699057741144</v>
      </c>
      <c r="BG352">
        <f t="shared" si="292"/>
        <v>-178.71948433104498</v>
      </c>
      <c r="BH352">
        <f t="shared" si="307"/>
        <v>1.2805156689550188</v>
      </c>
      <c r="BI352">
        <f t="shared" si="308"/>
        <v>1.2805156689550188</v>
      </c>
      <c r="BJ352">
        <f t="shared" si="293"/>
        <v>0</v>
      </c>
      <c r="BK352">
        <f t="shared" si="309"/>
        <v>0</v>
      </c>
      <c r="BM352">
        <f t="shared" si="310"/>
        <v>-46.57391324940572</v>
      </c>
      <c r="BN352">
        <f t="shared" si="294"/>
        <v>-99.768885976367159</v>
      </c>
      <c r="BQ352" s="56">
        <f t="shared" si="311"/>
        <v>22.423174991949711</v>
      </c>
      <c r="BR352" s="59"/>
      <c r="BS352" s="59"/>
      <c r="BT352" s="59">
        <v>263026.799</v>
      </c>
      <c r="BU352" s="59">
        <v>14.9779</v>
      </c>
      <c r="BV352" s="59">
        <v>-170.82400000000001</v>
      </c>
      <c r="BY352" s="59"/>
      <c r="BZ352" s="59"/>
      <c r="CA352" s="59"/>
      <c r="CC352" s="59"/>
    </row>
    <row r="353" spans="1:81" x14ac:dyDescent="0.25">
      <c r="A353">
        <f t="shared" si="263"/>
        <v>695000</v>
      </c>
      <c r="B353">
        <f t="shared" si="295"/>
        <v>695</v>
      </c>
      <c r="C353">
        <f t="shared" si="264"/>
        <v>5.8502935574789383</v>
      </c>
      <c r="D353">
        <f t="shared" si="265"/>
        <v>1.3990212264508202</v>
      </c>
      <c r="F353">
        <f t="shared" si="266"/>
        <v>5.3064872479702491E-5</v>
      </c>
      <c r="G353">
        <f t="shared" si="267"/>
        <v>2.4780620545290588E-3</v>
      </c>
      <c r="H353">
        <f t="shared" si="268"/>
        <v>-3.1391145879454712</v>
      </c>
      <c r="J353">
        <f t="shared" si="269"/>
        <v>15</v>
      </c>
      <c r="M353">
        <f t="shared" si="270"/>
        <v>1.830534919100764E-3</v>
      </c>
      <c r="N353">
        <f t="shared" si="271"/>
        <v>-1.5707963250000001</v>
      </c>
      <c r="O353">
        <f t="shared" si="272"/>
        <v>201.92394554404709</v>
      </c>
      <c r="P353">
        <f t="shared" si="273"/>
        <v>1.5658439469025807</v>
      </c>
      <c r="Q353">
        <f t="shared" si="274"/>
        <v>178.30854455802015</v>
      </c>
      <c r="R353">
        <f t="shared" si="275"/>
        <v>1.5651880411984742</v>
      </c>
      <c r="S353">
        <f t="shared" si="276"/>
        <v>0.18274641136310332</v>
      </c>
      <c r="T353">
        <f t="shared" si="277"/>
        <v>-1.3870171438985683</v>
      </c>
      <c r="U353">
        <f t="shared" si="278"/>
        <v>0.22364977060751301</v>
      </c>
      <c r="V353">
        <f t="shared" si="279"/>
        <v>-1.3452388314522157</v>
      </c>
      <c r="X353">
        <f t="shared" si="296"/>
        <v>-38.031372924682607</v>
      </c>
      <c r="Y353">
        <f t="shared" si="280"/>
        <v>-166.85182315854615</v>
      </c>
      <c r="Z353">
        <f t="shared" si="297"/>
        <v>13.148176841453846</v>
      </c>
      <c r="AC353">
        <v>1</v>
      </c>
      <c r="AD353">
        <f t="shared" si="281"/>
        <v>201.92146934904002</v>
      </c>
      <c r="AE353">
        <f t="shared" si="282"/>
        <v>-0.13226301833069409</v>
      </c>
      <c r="AF353">
        <f t="shared" si="283"/>
        <v>3.0349355795324998E-2</v>
      </c>
      <c r="AG353">
        <f t="shared" si="298"/>
        <v>325.60723253104396</v>
      </c>
      <c r="AH353">
        <f t="shared" si="299"/>
        <v>-1451.9515887598484</v>
      </c>
      <c r="AJ353">
        <f t="shared" si="284"/>
        <v>18000</v>
      </c>
      <c r="AK353">
        <f t="shared" si="285"/>
        <v>96838.462462895986</v>
      </c>
      <c r="AL353">
        <v>1</v>
      </c>
      <c r="AM353">
        <f t="shared" si="286"/>
        <v>178.30574040787201</v>
      </c>
      <c r="AN353">
        <f t="shared" si="300"/>
        <v>543.65251197053635</v>
      </c>
      <c r="AO353">
        <f t="shared" si="301"/>
        <v>-97.901208609988117</v>
      </c>
      <c r="AQ353">
        <f t="shared" si="287"/>
        <v>5.1757128638720232E-3</v>
      </c>
      <c r="AR353">
        <f t="shared" si="288"/>
        <v>-7.1942408807821119</v>
      </c>
      <c r="AT353">
        <f t="shared" si="313"/>
        <v>-10444.004227230658</v>
      </c>
      <c r="AU353">
        <f t="shared" si="314"/>
        <v>-2350.0117478688271</v>
      </c>
      <c r="AV353">
        <f t="shared" si="302"/>
        <v>-2.9202681138031146</v>
      </c>
      <c r="AW353">
        <f t="shared" si="303"/>
        <v>178.16103920405345</v>
      </c>
      <c r="AX353">
        <f t="shared" si="304"/>
        <v>-5706.7563700680257</v>
      </c>
      <c r="AY353">
        <f t="shared" si="312"/>
        <v>-1.539587145926266</v>
      </c>
      <c r="BA353">
        <f t="shared" si="289"/>
        <v>1.8749557396362215</v>
      </c>
      <c r="BB353">
        <f t="shared" si="305"/>
        <v>5.4598204038493385</v>
      </c>
      <c r="BC353">
        <f t="shared" si="306"/>
        <v>-1.3806809678768486</v>
      </c>
      <c r="BD353">
        <f t="shared" si="290"/>
        <v>-259.10719240377415</v>
      </c>
      <c r="BF353">
        <f t="shared" si="291"/>
        <v>-41.178658741475552</v>
      </c>
      <c r="BG353">
        <f t="shared" si="292"/>
        <v>-178.8071980900738</v>
      </c>
      <c r="BH353">
        <f t="shared" si="307"/>
        <v>1.1928019099262031</v>
      </c>
      <c r="BI353">
        <f t="shared" si="308"/>
        <v>1.1928019099262031</v>
      </c>
      <c r="BJ353">
        <f t="shared" si="293"/>
        <v>0</v>
      </c>
      <c r="BK353">
        <f t="shared" si="309"/>
        <v>0</v>
      </c>
      <c r="BM353">
        <f t="shared" si="310"/>
        <v>-46.638479145324887</v>
      </c>
      <c r="BN353">
        <f t="shared" si="294"/>
        <v>-99.700005686299633</v>
      </c>
      <c r="BQ353" s="56">
        <f t="shared" si="311"/>
        <v>22.361781204134473</v>
      </c>
      <c r="BR353" s="59"/>
      <c r="BS353" s="59"/>
      <c r="BT353" s="59">
        <v>269153.48</v>
      </c>
      <c r="BU353" s="59">
        <v>15.0854</v>
      </c>
      <c r="BV353" s="59">
        <v>-173.35300000000001</v>
      </c>
      <c r="BY353" s="59"/>
      <c r="BZ353" s="59"/>
      <c r="CA353" s="59"/>
      <c r="CC353" s="59"/>
    </row>
    <row r="354" spans="1:81" x14ac:dyDescent="0.25">
      <c r="A354">
        <f t="shared" si="263"/>
        <v>700000</v>
      </c>
      <c r="B354">
        <f t="shared" si="295"/>
        <v>700</v>
      </c>
      <c r="C354">
        <f t="shared" si="264"/>
        <v>5.8911565410833431</v>
      </c>
      <c r="D354">
        <f t="shared" si="265"/>
        <v>1.4002244482355757</v>
      </c>
      <c r="F354">
        <f t="shared" si="266"/>
        <v>5.2309472805628081E-5</v>
      </c>
      <c r="G354">
        <f t="shared" si="267"/>
        <v>2.4603598135773462E-3</v>
      </c>
      <c r="H354">
        <f t="shared" si="268"/>
        <v>-3.1391322901864229</v>
      </c>
      <c r="J354">
        <f t="shared" si="269"/>
        <v>15</v>
      </c>
      <c r="M354">
        <f t="shared" si="270"/>
        <v>1.8174596696786159E-3</v>
      </c>
      <c r="N354">
        <f t="shared" si="271"/>
        <v>-1.5707963250000001</v>
      </c>
      <c r="O354">
        <f t="shared" si="272"/>
        <v>203.37660029851446</v>
      </c>
      <c r="P354">
        <f t="shared" si="273"/>
        <v>1.565879320472461</v>
      </c>
      <c r="Q354">
        <f t="shared" si="274"/>
        <v>179.59129963953583</v>
      </c>
      <c r="R354">
        <f t="shared" si="275"/>
        <v>1.5652280995503052</v>
      </c>
      <c r="S354">
        <f t="shared" si="276"/>
        <v>0.18148422245686263</v>
      </c>
      <c r="T354">
        <f t="shared" si="277"/>
        <v>-1.3883007992384655</v>
      </c>
      <c r="U354">
        <f t="shared" si="278"/>
        <v>0.22213136601366873</v>
      </c>
      <c r="V354">
        <f t="shared" si="279"/>
        <v>-1.3467964197372004</v>
      </c>
      <c r="X354">
        <f t="shared" si="296"/>
        <v>-38.152560267332966</v>
      </c>
      <c r="Y354">
        <f t="shared" si="280"/>
        <v>-166.94236722977894</v>
      </c>
      <c r="Z354">
        <f t="shared" si="297"/>
        <v>13.057632770221062</v>
      </c>
      <c r="AC354">
        <v>1</v>
      </c>
      <c r="AD354">
        <f t="shared" si="281"/>
        <v>203.37414179039999</v>
      </c>
      <c r="AE354">
        <f t="shared" si="282"/>
        <v>-0.13417292890024349</v>
      </c>
      <c r="AF354">
        <f t="shared" si="283"/>
        <v>3.0567696484499998E-2</v>
      </c>
      <c r="AG354">
        <f t="shared" si="298"/>
        <v>321.20101103206463</v>
      </c>
      <c r="AH354">
        <f t="shared" si="299"/>
        <v>-1442.5843451518042</v>
      </c>
      <c r="AJ354">
        <f t="shared" si="284"/>
        <v>18000</v>
      </c>
      <c r="AK354">
        <f t="shared" si="285"/>
        <v>97535.142048959999</v>
      </c>
      <c r="AL354">
        <v>1</v>
      </c>
      <c r="AM354">
        <f t="shared" si="286"/>
        <v>179.58851551872002</v>
      </c>
      <c r="AN354">
        <f t="shared" si="300"/>
        <v>543.64469645924964</v>
      </c>
      <c r="AO354">
        <f t="shared" si="301"/>
        <v>-97.201957781766538</v>
      </c>
      <c r="AQ354">
        <f t="shared" si="287"/>
        <v>5.1020382132458096E-3</v>
      </c>
      <c r="AR354">
        <f t="shared" si="288"/>
        <v>-7.1428534985441337</v>
      </c>
      <c r="AT354">
        <f t="shared" si="313"/>
        <v>-10302.529856880143</v>
      </c>
      <c r="AU354">
        <f t="shared" si="314"/>
        <v>-2301.65188584109</v>
      </c>
      <c r="AV354">
        <f t="shared" si="302"/>
        <v>-2.9217954672617239</v>
      </c>
      <c r="AW354">
        <f t="shared" si="303"/>
        <v>183.59144646570911</v>
      </c>
      <c r="AX354">
        <f t="shared" si="304"/>
        <v>-5666.9664580268854</v>
      </c>
      <c r="AY354">
        <f t="shared" si="312"/>
        <v>-1.5384108770653095</v>
      </c>
      <c r="BA354">
        <f t="shared" si="289"/>
        <v>1.8618366793984531</v>
      </c>
      <c r="BB354">
        <f t="shared" si="305"/>
        <v>5.3988316387399484</v>
      </c>
      <c r="BC354">
        <f t="shared" si="306"/>
        <v>-1.3833845901964144</v>
      </c>
      <c r="BD354">
        <f t="shared" si="290"/>
        <v>-259.26209855225966</v>
      </c>
      <c r="BF354">
        <f t="shared" si="291"/>
        <v>-41.303725057670221</v>
      </c>
      <c r="BG354">
        <f t="shared" si="292"/>
        <v>-178.89417897209145</v>
      </c>
      <c r="BH354">
        <f t="shared" si="307"/>
        <v>1.1058210279085472</v>
      </c>
      <c r="BI354">
        <f t="shared" si="308"/>
        <v>1.1058210279085472</v>
      </c>
      <c r="BJ354">
        <f t="shared" si="293"/>
        <v>0</v>
      </c>
      <c r="BK354">
        <f t="shared" si="309"/>
        <v>0</v>
      </c>
      <c r="BM354">
        <f t="shared" si="310"/>
        <v>-46.70255669641017</v>
      </c>
      <c r="BN354">
        <f t="shared" si="294"/>
        <v>-99.632080419831794</v>
      </c>
      <c r="BQ354" s="56">
        <f t="shared" si="311"/>
        <v>22.300792439025084</v>
      </c>
      <c r="BR354" s="59"/>
      <c r="BS354" s="59"/>
      <c r="BT354" s="59">
        <v>275422.87</v>
      </c>
      <c r="BU354" s="59">
        <v>15.1145</v>
      </c>
      <c r="BV354" s="59">
        <v>-175.80699999999999</v>
      </c>
      <c r="BY354" s="59"/>
      <c r="BZ354" s="59"/>
      <c r="CA354" s="59"/>
      <c r="CC354" s="59"/>
    </row>
    <row r="355" spans="1:81" x14ac:dyDescent="0.25">
      <c r="A355">
        <f t="shared" si="263"/>
        <v>705000</v>
      </c>
      <c r="B355">
        <f t="shared" si="295"/>
        <v>705</v>
      </c>
      <c r="C355">
        <f t="shared" si="264"/>
        <v>5.9320279360563024</v>
      </c>
      <c r="D355">
        <f t="shared" si="265"/>
        <v>1.4014110914349958</v>
      </c>
      <c r="F355">
        <f t="shared" si="266"/>
        <v>5.1570089450573287E-5</v>
      </c>
      <c r="G355">
        <f t="shared" si="267"/>
        <v>2.442908706087335E-3</v>
      </c>
      <c r="H355">
        <f t="shared" si="268"/>
        <v>-3.1391497412939127</v>
      </c>
      <c r="J355">
        <f t="shared" si="269"/>
        <v>15</v>
      </c>
      <c r="M355">
        <f t="shared" si="270"/>
        <v>1.804569884787278E-3</v>
      </c>
      <c r="N355">
        <f t="shared" si="271"/>
        <v>-1.5707963250000001</v>
      </c>
      <c r="O355">
        <f t="shared" si="272"/>
        <v>204.82925530385523</v>
      </c>
      <c r="P355">
        <f t="shared" si="273"/>
        <v>1.5659141923016227</v>
      </c>
      <c r="Q355">
        <f t="shared" si="274"/>
        <v>180.87405500514899</v>
      </c>
      <c r="R355">
        <f t="shared" si="275"/>
        <v>1.5652675897160566</v>
      </c>
      <c r="S355">
        <f t="shared" si="276"/>
        <v>0.18023905836329485</v>
      </c>
      <c r="T355">
        <f t="shared" si="277"/>
        <v>-1.3895668423102212</v>
      </c>
      <c r="U355">
        <f t="shared" si="278"/>
        <v>0.22063291542075605</v>
      </c>
      <c r="V355">
        <f t="shared" si="279"/>
        <v>-1.3483329973946887</v>
      </c>
      <c r="X355">
        <f t="shared" si="296"/>
        <v>-38.272929769161202</v>
      </c>
      <c r="Y355">
        <f t="shared" si="280"/>
        <v>-167.03169516847021</v>
      </c>
      <c r="Z355">
        <f t="shared" si="297"/>
        <v>12.968304831529792</v>
      </c>
      <c r="AC355">
        <v>1</v>
      </c>
      <c r="AD355">
        <f t="shared" si="281"/>
        <v>204.82681423175998</v>
      </c>
      <c r="AE355">
        <f t="shared" si="282"/>
        <v>-0.13609653058498677</v>
      </c>
      <c r="AF355">
        <f t="shared" si="283"/>
        <v>3.0786037173675E-2</v>
      </c>
      <c r="AG355">
        <f t="shared" si="298"/>
        <v>316.88212110909791</v>
      </c>
      <c r="AH355">
        <f t="shared" si="299"/>
        <v>-1433.3302152019826</v>
      </c>
      <c r="AJ355">
        <f t="shared" si="284"/>
        <v>18000</v>
      </c>
      <c r="AK355">
        <f t="shared" si="285"/>
        <v>98231.821635023996</v>
      </c>
      <c r="AL355">
        <v>1</v>
      </c>
      <c r="AM355">
        <f t="shared" si="286"/>
        <v>180.87129062956799</v>
      </c>
      <c r="AN355">
        <f t="shared" si="300"/>
        <v>543.63704663828321</v>
      </c>
      <c r="AO355">
        <f t="shared" si="301"/>
        <v>-96.512624488941597</v>
      </c>
      <c r="AQ355">
        <f t="shared" si="287"/>
        <v>5.0299255420122018E-3</v>
      </c>
      <c r="AR355">
        <f t="shared" si="288"/>
        <v>-7.0921950142372046</v>
      </c>
      <c r="AT355">
        <f t="shared" si="313"/>
        <v>-10163.863512536267</v>
      </c>
      <c r="AU355">
        <f t="shared" si="314"/>
        <v>-2254.5993436904364</v>
      </c>
      <c r="AV355">
        <f t="shared" si="302"/>
        <v>-2.9233022389436139</v>
      </c>
      <c r="AW355">
        <f t="shared" si="303"/>
        <v>188.90045617897798</v>
      </c>
      <c r="AX355">
        <f t="shared" si="304"/>
        <v>-5627.7218871668492</v>
      </c>
      <c r="AY355">
        <f t="shared" si="312"/>
        <v>-1.537242863350718</v>
      </c>
      <c r="BA355">
        <f t="shared" si="289"/>
        <v>1.8488945124977629</v>
      </c>
      <c r="BB355">
        <f t="shared" si="305"/>
        <v>5.3382426694029093</v>
      </c>
      <c r="BC355">
        <f t="shared" si="306"/>
        <v>-1.3860593755928958</v>
      </c>
      <c r="BD355">
        <f t="shared" si="290"/>
        <v>-259.41535246675642</v>
      </c>
      <c r="BF355">
        <f t="shared" si="291"/>
        <v>-41.427910703074808</v>
      </c>
      <c r="BG355">
        <f t="shared" si="292"/>
        <v>-178.98044311420395</v>
      </c>
      <c r="BH355">
        <f t="shared" si="307"/>
        <v>1.0195568857960495</v>
      </c>
      <c r="BI355">
        <f t="shared" si="308"/>
        <v>1.0195568857960495</v>
      </c>
      <c r="BJ355">
        <f t="shared" si="293"/>
        <v>0</v>
      </c>
      <c r="BK355">
        <f t="shared" si="309"/>
        <v>0</v>
      </c>
      <c r="BM355">
        <f t="shared" si="310"/>
        <v>-46.766153372477717</v>
      </c>
      <c r="BN355">
        <f t="shared" si="294"/>
        <v>-99.565090647447562</v>
      </c>
      <c r="BQ355" s="56">
        <f t="shared" si="311"/>
        <v>22.240203469688048</v>
      </c>
      <c r="BR355" s="59"/>
      <c r="BS355" s="59"/>
      <c r="BT355" s="59">
        <v>281838.29300000001</v>
      </c>
      <c r="BU355" s="59">
        <v>15.1486</v>
      </c>
      <c r="BV355" s="59">
        <v>-177.72399999999999</v>
      </c>
      <c r="BY355" s="59"/>
      <c r="BZ355" s="59"/>
      <c r="CA355" s="59"/>
      <c r="CC355" s="59"/>
    </row>
    <row r="356" spans="1:81" x14ac:dyDescent="0.25">
      <c r="A356">
        <f t="shared" si="263"/>
        <v>710000</v>
      </c>
      <c r="B356">
        <f t="shared" si="295"/>
        <v>710</v>
      </c>
      <c r="C356">
        <f t="shared" si="264"/>
        <v>5.9729075697259502</v>
      </c>
      <c r="D356">
        <f t="shared" si="265"/>
        <v>1.4025814930727216</v>
      </c>
      <c r="F356">
        <f t="shared" si="266"/>
        <v>5.084627280663375E-5</v>
      </c>
      <c r="G356">
        <f t="shared" si="267"/>
        <v>2.4257034253676035E-3</v>
      </c>
      <c r="H356">
        <f t="shared" si="268"/>
        <v>-3.1391669465746328</v>
      </c>
      <c r="J356">
        <f t="shared" si="269"/>
        <v>15</v>
      </c>
      <c r="M356">
        <f t="shared" si="270"/>
        <v>1.7918616461620157E-3</v>
      </c>
      <c r="N356">
        <f t="shared" si="271"/>
        <v>-1.5707963250000001</v>
      </c>
      <c r="O356">
        <f t="shared" si="272"/>
        <v>206.28191055476941</v>
      </c>
      <c r="P356">
        <f t="shared" si="273"/>
        <v>1.5659485729898852</v>
      </c>
      <c r="Q356">
        <f t="shared" si="274"/>
        <v>182.15681064885771</v>
      </c>
      <c r="R356">
        <f t="shared" si="275"/>
        <v>1.5653065236991726</v>
      </c>
      <c r="S356">
        <f t="shared" si="276"/>
        <v>0.1790105829030752</v>
      </c>
      <c r="T356">
        <f t="shared" si="277"/>
        <v>-1.3908156291388949</v>
      </c>
      <c r="U356">
        <f t="shared" si="278"/>
        <v>0.2191540387363678</v>
      </c>
      <c r="V356">
        <f t="shared" si="279"/>
        <v>-1.3498489795902033</v>
      </c>
      <c r="X356">
        <f t="shared" si="296"/>
        <v>-38.392492114125922</v>
      </c>
      <c r="Y356">
        <f t="shared" si="280"/>
        <v>-167.11983085953275</v>
      </c>
      <c r="Z356">
        <f t="shared" si="297"/>
        <v>12.880169140467245</v>
      </c>
      <c r="AC356">
        <v>1</v>
      </c>
      <c r="AD356">
        <f t="shared" si="281"/>
        <v>206.27948667312</v>
      </c>
      <c r="AE356">
        <f t="shared" si="282"/>
        <v>-0.13803382338492395</v>
      </c>
      <c r="AF356">
        <f t="shared" si="283"/>
        <v>3.1004377862849999E-2</v>
      </c>
      <c r="AG356">
        <f t="shared" si="298"/>
        <v>312.64831043744925</v>
      </c>
      <c r="AH356">
        <f t="shared" si="299"/>
        <v>-1424.1873150896638</v>
      </c>
      <c r="AJ356">
        <f t="shared" si="284"/>
        <v>18000</v>
      </c>
      <c r="AK356">
        <f t="shared" si="285"/>
        <v>98928.501221087994</v>
      </c>
      <c r="AL356">
        <v>1</v>
      </c>
      <c r="AM356">
        <f t="shared" si="286"/>
        <v>182.154065740416</v>
      </c>
      <c r="AN356">
        <f t="shared" si="300"/>
        <v>543.62955785701308</v>
      </c>
      <c r="AO356">
        <f t="shared" si="301"/>
        <v>-95.83299923164877</v>
      </c>
      <c r="AQ356">
        <f t="shared" si="287"/>
        <v>4.9593310060846033E-3</v>
      </c>
      <c r="AR356">
        <f t="shared" si="288"/>
        <v>-7.0422500286401366</v>
      </c>
      <c r="AT356">
        <f t="shared" si="313"/>
        <v>-10027.932634019151</v>
      </c>
      <c r="AU356">
        <f t="shared" si="314"/>
        <v>-2208.8105894426139</v>
      </c>
      <c r="AV356">
        <f t="shared" si="302"/>
        <v>-2.9247888349544149</v>
      </c>
      <c r="AW356">
        <f t="shared" si="303"/>
        <v>194.09168090011693</v>
      </c>
      <c r="AX356">
        <f t="shared" si="304"/>
        <v>-5589.0116211710156</v>
      </c>
      <c r="AY356">
        <f t="shared" si="312"/>
        <v>-1.5360829058483556</v>
      </c>
      <c r="BA356">
        <f t="shared" si="289"/>
        <v>1.836125736882019</v>
      </c>
      <c r="BB356">
        <f t="shared" si="305"/>
        <v>5.2780483626232844</v>
      </c>
      <c r="BC356">
        <f t="shared" si="306"/>
        <v>-1.3887059291060593</v>
      </c>
      <c r="BD356">
        <f t="shared" si="290"/>
        <v>-259.56698881348944</v>
      </c>
      <c r="BF356">
        <f t="shared" si="291"/>
        <v>-41.551228108539959</v>
      </c>
      <c r="BG356">
        <f t="shared" si="292"/>
        <v>-179.06600617665521</v>
      </c>
      <c r="BH356">
        <f t="shared" si="307"/>
        <v>0.93399382334479242</v>
      </c>
      <c r="BI356">
        <f t="shared" si="308"/>
        <v>0.93399382334479242</v>
      </c>
      <c r="BJ356">
        <f t="shared" si="293"/>
        <v>0</v>
      </c>
      <c r="BK356">
        <f t="shared" si="309"/>
        <v>0</v>
      </c>
      <c r="BM356">
        <f t="shared" si="310"/>
        <v>-46.82927647116324</v>
      </c>
      <c r="BN356">
        <f t="shared" si="294"/>
        <v>-99.499017363165777</v>
      </c>
      <c r="BQ356" s="56">
        <f t="shared" si="311"/>
        <v>22.180009162908419</v>
      </c>
      <c r="BR356" s="59"/>
      <c r="BS356" s="59"/>
      <c r="BT356" s="59">
        <v>288403.15000000002</v>
      </c>
      <c r="BU356" s="59">
        <v>14.961</v>
      </c>
      <c r="BV356" s="59">
        <v>-178.92099999999999</v>
      </c>
      <c r="BY356" s="59"/>
      <c r="BZ356" s="59"/>
      <c r="CA356" s="59"/>
      <c r="CC356" s="59"/>
    </row>
    <row r="357" spans="1:81" x14ac:dyDescent="0.25">
      <c r="A357">
        <f t="shared" si="263"/>
        <v>715000</v>
      </c>
      <c r="B357">
        <f t="shared" si="295"/>
        <v>715</v>
      </c>
      <c r="C357">
        <f t="shared" si="264"/>
        <v>6.0137952740811311</v>
      </c>
      <c r="D357">
        <f t="shared" si="265"/>
        <v>1.4037359811874912</v>
      </c>
      <c r="F357">
        <f t="shared" si="266"/>
        <v>5.013758893280374E-5</v>
      </c>
      <c r="G357">
        <f t="shared" si="267"/>
        <v>2.4087388132021533E-3</v>
      </c>
      <c r="H357">
        <f t="shared" si="268"/>
        <v>-3.1391839111867981</v>
      </c>
      <c r="J357">
        <f t="shared" si="269"/>
        <v>15</v>
      </c>
      <c r="M357">
        <f t="shared" si="270"/>
        <v>1.7793311451399034E-3</v>
      </c>
      <c r="N357">
        <f t="shared" si="271"/>
        <v>-1.5707963250000001</v>
      </c>
      <c r="O357">
        <f t="shared" si="272"/>
        <v>207.73456604610519</v>
      </c>
      <c r="P357">
        <f t="shared" si="273"/>
        <v>1.5659824728405827</v>
      </c>
      <c r="Q357">
        <f t="shared" si="274"/>
        <v>183.43956656482803</v>
      </c>
      <c r="R357">
        <f t="shared" si="275"/>
        <v>1.5653449131673527</v>
      </c>
      <c r="S357">
        <f t="shared" si="276"/>
        <v>0.17779846852650852</v>
      </c>
      <c r="T357">
        <f t="shared" si="277"/>
        <v>-1.3920475063253281</v>
      </c>
      <c r="U357">
        <f t="shared" si="278"/>
        <v>0.2176943651687375</v>
      </c>
      <c r="V357">
        <f t="shared" si="279"/>
        <v>-1.3513447708128574</v>
      </c>
      <c r="X357">
        <f t="shared" si="296"/>
        <v>-38.51125778356942</v>
      </c>
      <c r="Y357">
        <f t="shared" si="280"/>
        <v>-167.20679757871227</v>
      </c>
      <c r="Z357">
        <f t="shared" si="297"/>
        <v>12.793202421287731</v>
      </c>
      <c r="AC357">
        <v>1</v>
      </c>
      <c r="AD357">
        <f t="shared" si="281"/>
        <v>207.73215911448</v>
      </c>
      <c r="AE357">
        <f t="shared" si="282"/>
        <v>-0.13998480730005505</v>
      </c>
      <c r="AF357">
        <f t="shared" si="283"/>
        <v>3.1222718552024999E-2</v>
      </c>
      <c r="AG357">
        <f t="shared" si="298"/>
        <v>308.49739748575121</v>
      </c>
      <c r="AH357">
        <f t="shared" si="299"/>
        <v>-1415.1537978984115</v>
      </c>
      <c r="AJ357">
        <f t="shared" si="284"/>
        <v>18000</v>
      </c>
      <c r="AK357">
        <f t="shared" si="285"/>
        <v>99625.180807151992</v>
      </c>
      <c r="AL357">
        <v>1</v>
      </c>
      <c r="AM357">
        <f t="shared" si="286"/>
        <v>183.43684085126401</v>
      </c>
      <c r="AN357">
        <f t="shared" si="300"/>
        <v>543.62222562684383</v>
      </c>
      <c r="AO357">
        <f t="shared" si="301"/>
        <v>-95.162878369276442</v>
      </c>
      <c r="AQ357">
        <f t="shared" si="287"/>
        <v>4.8902122890056784E-3</v>
      </c>
      <c r="AR357">
        <f t="shared" si="288"/>
        <v>-6.9930035732781199</v>
      </c>
      <c r="AT357">
        <f t="shared" si="313"/>
        <v>-9894.6669476773823</v>
      </c>
      <c r="AU357">
        <f t="shared" si="314"/>
        <v>-2164.2438054581748</v>
      </c>
      <c r="AV357">
        <f t="shared" si="302"/>
        <v>-2.9262556509767581</v>
      </c>
      <c r="AW357">
        <f t="shared" si="303"/>
        <v>199.16859940418476</v>
      </c>
      <c r="AX357">
        <f t="shared" si="304"/>
        <v>-5550.824917418784</v>
      </c>
      <c r="AY357">
        <f t="shared" si="312"/>
        <v>-1.5349308120557825</v>
      </c>
      <c r="BA357">
        <f t="shared" si="289"/>
        <v>1.8235269402859307</v>
      </c>
      <c r="BB357">
        <f t="shared" si="305"/>
        <v>5.2182436768906415</v>
      </c>
      <c r="BC357">
        <f t="shared" si="306"/>
        <v>-1.3913248389209756</v>
      </c>
      <c r="BD357">
        <f t="shared" si="290"/>
        <v>-259.71704129298098</v>
      </c>
      <c r="BF357">
        <f t="shared" si="291"/>
        <v>-41.673689446316729</v>
      </c>
      <c r="BG357">
        <f t="shared" si="292"/>
        <v>-179.15088336027611</v>
      </c>
      <c r="BH357">
        <f t="shared" si="307"/>
        <v>0.84911663972388851</v>
      </c>
      <c r="BI357">
        <f t="shared" si="308"/>
        <v>0.84911663972388851</v>
      </c>
      <c r="BJ357">
        <f t="shared" si="293"/>
        <v>0</v>
      </c>
      <c r="BK357">
        <f t="shared" si="309"/>
        <v>0</v>
      </c>
      <c r="BM357">
        <f t="shared" si="310"/>
        <v>-46.89193312320738</v>
      </c>
      <c r="BN357">
        <f t="shared" si="294"/>
        <v>-99.433842067295132</v>
      </c>
      <c r="BQ357" s="56">
        <f t="shared" si="311"/>
        <v>22.120204477175779</v>
      </c>
      <c r="BR357" s="59"/>
      <c r="BS357" s="59"/>
      <c r="BT357" s="59">
        <v>295120.92300000001</v>
      </c>
      <c r="BU357" s="59">
        <v>14.946199999999999</v>
      </c>
      <c r="BV357" s="59">
        <v>-181.99</v>
      </c>
      <c r="BW357" s="61"/>
      <c r="BY357" s="59"/>
      <c r="BZ357" s="59"/>
      <c r="CA357" s="59"/>
      <c r="CC357" s="59"/>
    </row>
    <row r="358" spans="1:81" x14ac:dyDescent="0.25">
      <c r="A358">
        <f t="shared" si="263"/>
        <v>720000</v>
      </c>
      <c r="B358">
        <f t="shared" si="295"/>
        <v>720</v>
      </c>
      <c r="C358">
        <f t="shared" si="264"/>
        <v>6.0546908856163233</v>
      </c>
      <c r="D358">
        <f t="shared" si="265"/>
        <v>1.4048748751275841</v>
      </c>
      <c r="F358">
        <f t="shared" si="266"/>
        <v>4.944361890439384E-5</v>
      </c>
      <c r="G358">
        <f t="shared" si="267"/>
        <v>2.392009854693507E-3</v>
      </c>
      <c r="H358">
        <f t="shared" si="268"/>
        <v>-3.1392006401453068</v>
      </c>
      <c r="J358">
        <f t="shared" si="269"/>
        <v>15</v>
      </c>
      <c r="M358">
        <f t="shared" si="270"/>
        <v>1.7669746788542098E-3</v>
      </c>
      <c r="N358">
        <f t="shared" si="271"/>
        <v>-1.5707963250000001</v>
      </c>
      <c r="O358">
        <f t="shared" si="272"/>
        <v>209.18722177285389</v>
      </c>
      <c r="P358">
        <f t="shared" si="273"/>
        <v>1.5660159018708553</v>
      </c>
      <c r="Q358">
        <f t="shared" si="274"/>
        <v>184.72232274738792</v>
      </c>
      <c r="R358">
        <f t="shared" si="275"/>
        <v>1.5653827694642102</v>
      </c>
      <c r="S358">
        <f t="shared" si="276"/>
        <v>0.17660239604402145</v>
      </c>
      <c r="T358">
        <f t="shared" si="277"/>
        <v>-1.3932628113523131</v>
      </c>
      <c r="U358">
        <f t="shared" si="278"/>
        <v>0.21625353295407779</v>
      </c>
      <c r="V358">
        <f t="shared" si="279"/>
        <v>-1.3528207652100128</v>
      </c>
      <c r="X358">
        <f t="shared" si="296"/>
        <v>-38.629237061173178</v>
      </c>
      <c r="Y358">
        <f t="shared" si="280"/>
        <v>-167.29261801147166</v>
      </c>
      <c r="Z358">
        <f t="shared" si="297"/>
        <v>12.70738198852834</v>
      </c>
      <c r="AC358">
        <v>1</v>
      </c>
      <c r="AD358">
        <f t="shared" si="281"/>
        <v>209.18483155584002</v>
      </c>
      <c r="AE358">
        <f t="shared" si="282"/>
        <v>-0.14194948233038007</v>
      </c>
      <c r="AF358">
        <f t="shared" si="283"/>
        <v>3.1441059241199998E-2</v>
      </c>
      <c r="AG358">
        <f t="shared" si="298"/>
        <v>304.42726891672987</v>
      </c>
      <c r="AH358">
        <f t="shared" si="299"/>
        <v>-1406.2278529103949</v>
      </c>
      <c r="AJ358">
        <f t="shared" si="284"/>
        <v>18000</v>
      </c>
      <c r="AK358">
        <f t="shared" si="285"/>
        <v>100321.86039321599</v>
      </c>
      <c r="AL358">
        <v>1</v>
      </c>
      <c r="AM358">
        <f t="shared" si="286"/>
        <v>184.71961596211202</v>
      </c>
      <c r="AN358">
        <f t="shared" si="300"/>
        <v>543.61504561448157</v>
      </c>
      <c r="AO358">
        <f t="shared" si="301"/>
        <v>-94.502063917055835</v>
      </c>
      <c r="AQ358">
        <f t="shared" si="287"/>
        <v>4.822528538518259E-3</v>
      </c>
      <c r="AR358">
        <f t="shared" si="288"/>
        <v>-6.944441095466293</v>
      </c>
      <c r="AT358">
        <f t="shared" si="313"/>
        <v>-9763.9983821480218</v>
      </c>
      <c r="AU358">
        <f t="shared" si="314"/>
        <v>-2120.8588107982273</v>
      </c>
      <c r="AV358">
        <f t="shared" si="302"/>
        <v>-2.9277030725961386</v>
      </c>
      <c r="AW358">
        <f t="shared" si="303"/>
        <v>204.13456259006924</v>
      </c>
      <c r="AX358">
        <f t="shared" si="304"/>
        <v>-5513.1513173293279</v>
      </c>
      <c r="AY358">
        <f t="shared" si="312"/>
        <v>-1.5337863956475208</v>
      </c>
      <c r="BA358">
        <f t="shared" si="289"/>
        <v>1.811094797452578</v>
      </c>
      <c r="BB358">
        <f t="shared" si="305"/>
        <v>5.1588236604287232</v>
      </c>
      <c r="BC358">
        <f t="shared" si="306"/>
        <v>-1.3939166769486178</v>
      </c>
      <c r="BD358">
        <f t="shared" si="290"/>
        <v>-259.8655426733161</v>
      </c>
      <c r="BF358">
        <f t="shared" si="291"/>
        <v>-41.795306637110762</v>
      </c>
      <c r="BG358">
        <f t="shared" si="292"/>
        <v>-179.23508942317559</v>
      </c>
      <c r="BH358">
        <f t="shared" si="307"/>
        <v>0.76491057682440555</v>
      </c>
      <c r="BI358">
        <f t="shared" si="308"/>
        <v>0.76491057682440555</v>
      </c>
      <c r="BJ358">
        <f t="shared" si="293"/>
        <v>0</v>
      </c>
      <c r="BK358">
        <f t="shared" si="309"/>
        <v>0</v>
      </c>
      <c r="BM358">
        <f t="shared" si="310"/>
        <v>-46.954130297539479</v>
      </c>
      <c r="BN358">
        <f t="shared" si="294"/>
        <v>-99.369546749859524</v>
      </c>
      <c r="BQ358" s="56">
        <f t="shared" si="311"/>
        <v>22.060784460713858</v>
      </c>
      <c r="BR358" s="59"/>
      <c r="BS358" s="59"/>
      <c r="BT358" s="59">
        <v>301995.17200000002</v>
      </c>
      <c r="BU358" s="59">
        <v>15.1762</v>
      </c>
      <c r="BV358" s="59">
        <v>-183.36099999999999</v>
      </c>
      <c r="BW358" s="61"/>
      <c r="BY358" s="59"/>
      <c r="BZ358" s="59"/>
      <c r="CA358" s="59"/>
      <c r="CC358" s="59"/>
    </row>
    <row r="359" spans="1:81" x14ac:dyDescent="0.25">
      <c r="A359">
        <f t="shared" si="263"/>
        <v>725000</v>
      </c>
      <c r="B359">
        <f t="shared" si="295"/>
        <v>725</v>
      </c>
      <c r="C359">
        <f t="shared" si="264"/>
        <v>6.0955942451826663</v>
      </c>
      <c r="D359">
        <f t="shared" si="265"/>
        <v>1.4059984858338828</v>
      </c>
      <c r="F359">
        <f t="shared" si="266"/>
        <v>4.8763958193751151E-5</v>
      </c>
      <c r="G359">
        <f t="shared" si="267"/>
        <v>2.3755116733192665E-3</v>
      </c>
      <c r="H359">
        <f t="shared" si="268"/>
        <v>-3.1392171383266811</v>
      </c>
      <c r="J359">
        <f t="shared" si="269"/>
        <v>15</v>
      </c>
      <c r="M359">
        <f t="shared" si="270"/>
        <v>1.7547886465862496E-3</v>
      </c>
      <c r="N359">
        <f t="shared" si="271"/>
        <v>-1.5707963250000001</v>
      </c>
      <c r="O359">
        <f t="shared" si="272"/>
        <v>210.639877730145</v>
      </c>
      <c r="P359">
        <f t="shared" si="273"/>
        <v>1.56604886982152</v>
      </c>
      <c r="Q359">
        <f t="shared" si="274"/>
        <v>186.00507919102199</v>
      </c>
      <c r="R359">
        <f t="shared" si="275"/>
        <v>1.5654201036204467</v>
      </c>
      <c r="S359">
        <f t="shared" si="276"/>
        <v>0.17542205436645855</v>
      </c>
      <c r="T359">
        <f t="shared" si="277"/>
        <v>-1.3944618728790457</v>
      </c>
      <c r="U359">
        <f t="shared" si="278"/>
        <v>0.21483118909303034</v>
      </c>
      <c r="V359">
        <f t="shared" si="279"/>
        <v>-1.3542773469096869</v>
      </c>
      <c r="X359">
        <f t="shared" si="296"/>
        <v>-38.746440037767094</v>
      </c>
      <c r="Y359">
        <f t="shared" si="280"/>
        <v>-167.37731427119346</v>
      </c>
      <c r="Z359">
        <f t="shared" si="297"/>
        <v>12.622685728806545</v>
      </c>
      <c r="AC359">
        <v>1</v>
      </c>
      <c r="AD359">
        <f t="shared" si="281"/>
        <v>210.63750399720001</v>
      </c>
      <c r="AE359">
        <f t="shared" si="282"/>
        <v>-0.14392784847589896</v>
      </c>
      <c r="AF359">
        <f t="shared" si="283"/>
        <v>3.1659399930375004E-2</v>
      </c>
      <c r="AG359">
        <f t="shared" si="298"/>
        <v>300.43587709609335</v>
      </c>
      <c r="AH359">
        <f t="shared" si="299"/>
        <v>-1397.4077049061202</v>
      </c>
      <c r="AJ359">
        <f t="shared" si="284"/>
        <v>18000</v>
      </c>
      <c r="AK359">
        <f t="shared" si="285"/>
        <v>101018.53997928</v>
      </c>
      <c r="AL359">
        <v>1</v>
      </c>
      <c r="AM359">
        <f t="shared" si="286"/>
        <v>186.00239107295999</v>
      </c>
      <c r="AN359">
        <f t="shared" si="300"/>
        <v>543.60801363553139</v>
      </c>
      <c r="AO359">
        <f t="shared" si="301"/>
        <v>-93.85036335106652</v>
      </c>
      <c r="AQ359">
        <f t="shared" si="287"/>
        <v>4.7562403061877263E-3</v>
      </c>
      <c r="AR359">
        <f t="shared" si="288"/>
        <v>-6.8965484439722022</v>
      </c>
      <c r="AT359">
        <f t="shared" si="313"/>
        <v>-9635.8609876369992</v>
      </c>
      <c r="AU359">
        <f t="shared" si="314"/>
        <v>-2078.6169875507385</v>
      </c>
      <c r="AV359">
        <f t="shared" si="302"/>
        <v>-2.9291314756148852</v>
      </c>
      <c r="AW359">
        <f t="shared" si="303"/>
        <v>208.99279908401255</v>
      </c>
      <c r="AX359">
        <f t="shared" si="304"/>
        <v>-5475.9806370826291</v>
      </c>
      <c r="AY359">
        <f t="shared" si="312"/>
        <v>-1.5326494762321676</v>
      </c>
      <c r="BA359">
        <f t="shared" si="289"/>
        <v>1.7988260674536436</v>
      </c>
      <c r="BB359">
        <f t="shared" si="305"/>
        <v>5.0997834492683891</v>
      </c>
      <c r="BC359">
        <f t="shared" si="306"/>
        <v>-1.3964819993827176</v>
      </c>
      <c r="BD359">
        <f t="shared" si="290"/>
        <v>-260.01252482204819</v>
      </c>
      <c r="BF359">
        <f t="shared" si="291"/>
        <v>-41.916091356900566</v>
      </c>
      <c r="BG359">
        <f t="shared" si="292"/>
        <v>-179.31863869671099</v>
      </c>
      <c r="BH359">
        <f t="shared" si="307"/>
        <v>0.6813613032890089</v>
      </c>
      <c r="BI359">
        <f t="shared" si="308"/>
        <v>0.6813613032890089</v>
      </c>
      <c r="BJ359">
        <f t="shared" si="293"/>
        <v>0</v>
      </c>
      <c r="BK359">
        <f t="shared" si="309"/>
        <v>0</v>
      </c>
      <c r="BM359">
        <f t="shared" si="310"/>
        <v>-47.015874806168945</v>
      </c>
      <c r="BN359">
        <f t="shared" si="294"/>
        <v>-99.306113874662799</v>
      </c>
      <c r="BQ359" s="56">
        <f t="shared" si="311"/>
        <v>22.001744249553528</v>
      </c>
      <c r="BR359" s="59"/>
      <c r="BS359" s="59"/>
      <c r="BT359" s="59">
        <v>309029.54300000001</v>
      </c>
      <c r="BU359" s="59">
        <v>15.284700000000001</v>
      </c>
      <c r="BV359" s="59">
        <v>-186.209</v>
      </c>
      <c r="BW359" s="61"/>
      <c r="BY359" s="59"/>
      <c r="BZ359" s="59"/>
      <c r="CA359" s="59"/>
      <c r="CC359" s="59"/>
    </row>
    <row r="360" spans="1:81" x14ac:dyDescent="0.25">
      <c r="A360">
        <f t="shared" si="263"/>
        <v>730000</v>
      </c>
      <c r="B360">
        <f t="shared" si="295"/>
        <v>730</v>
      </c>
      <c r="C360">
        <f t="shared" si="264"/>
        <v>6.136505197844822</v>
      </c>
      <c r="D360">
        <f t="shared" si="265"/>
        <v>1.4071071161120547</v>
      </c>
      <c r="F360">
        <f t="shared" si="266"/>
        <v>4.8098216080572271E-5</v>
      </c>
      <c r="G360">
        <f t="shared" si="267"/>
        <v>2.359239526191896E-3</v>
      </c>
      <c r="H360">
        <f t="shared" si="268"/>
        <v>-3.1392334104738082</v>
      </c>
      <c r="J360">
        <f t="shared" si="269"/>
        <v>15</v>
      </c>
      <c r="M360">
        <f t="shared" si="270"/>
        <v>1.742769546267166E-3</v>
      </c>
      <c r="N360">
        <f t="shared" si="271"/>
        <v>-1.5707963250000001</v>
      </c>
      <c r="O360">
        <f t="shared" si="272"/>
        <v>212.09253391324151</v>
      </c>
      <c r="P360">
        <f t="shared" si="273"/>
        <v>1.5660813861665315</v>
      </c>
      <c r="Q360">
        <f t="shared" si="274"/>
        <v>187.28783589036581</v>
      </c>
      <c r="R360">
        <f t="shared" si="275"/>
        <v>1.5654569263645663</v>
      </c>
      <c r="S360">
        <f t="shared" si="276"/>
        <v>0.17425714025478048</v>
      </c>
      <c r="T360">
        <f t="shared" si="277"/>
        <v>-1.3956450110243792</v>
      </c>
      <c r="U360">
        <f t="shared" si="278"/>
        <v>0.21342698909589661</v>
      </c>
      <c r="V360">
        <f t="shared" si="279"/>
        <v>-1.355714890331208</v>
      </c>
      <c r="X360">
        <f t="shared" si="296"/>
        <v>-38.862876615997173</v>
      </c>
      <c r="Y360">
        <f t="shared" si="280"/>
        <v>-167.46090791672933</v>
      </c>
      <c r="Z360">
        <f t="shared" si="297"/>
        <v>12.539092083270674</v>
      </c>
      <c r="AC360">
        <v>1</v>
      </c>
      <c r="AD360">
        <f t="shared" si="281"/>
        <v>212.09017643855998</v>
      </c>
      <c r="AE360">
        <f t="shared" si="282"/>
        <v>-0.14591990573661176</v>
      </c>
      <c r="AF360">
        <f t="shared" si="283"/>
        <v>3.1877740619550003E-2</v>
      </c>
      <c r="AG360">
        <f t="shared" ref="AG360:AG423" si="315">AC360*AE360/(AE360^2+AF360^2)+AD360*AF360/(AE360^2+AF360^2)</f>
        <v>296.52123770456922</v>
      </c>
      <c r="AH360">
        <f t="shared" ref="AH360:AH423" si="316">AD360*AE360/(AE360^2+AF360^2)-AC360*AF360/(AE360^2+AF360^2)</f>
        <v>-1388.6916134704118</v>
      </c>
      <c r="AJ360">
        <f t="shared" si="284"/>
        <v>18000</v>
      </c>
      <c r="AK360">
        <f t="shared" si="285"/>
        <v>101715.219565344</v>
      </c>
      <c r="AL360">
        <v>1</v>
      </c>
      <c r="AM360">
        <f t="shared" si="286"/>
        <v>187.285166183808</v>
      </c>
      <c r="AN360">
        <f t="shared" ref="AN360:AN423" si="317">AJ360*AL360/(AL360^2+AM360^2)+AK360*AM360/(AL360^2+AM360^2)</f>
        <v>543.60112564839778</v>
      </c>
      <c r="AO360">
        <f t="shared" ref="AO360:AO423" si="318">AK360*AL360/(AL360^2+AM360^2)-AJ360*AM360/(AL360^2+AM360^2)</f>
        <v>-93.207589421253473</v>
      </c>
      <c r="AQ360">
        <f t="shared" si="287"/>
        <v>4.691309489909228E-3</v>
      </c>
      <c r="AR360">
        <f t="shared" si="288"/>
        <v>-6.849311855267473</v>
      </c>
      <c r="AT360">
        <f t="shared" si="313"/>
        <v>-9510.1908585570036</v>
      </c>
      <c r="AU360">
        <f t="shared" si="314"/>
        <v>-2037.4812108933215</v>
      </c>
      <c r="AV360">
        <f t="shared" si="302"/>
        <v>-2.9305412263547277</v>
      </c>
      <c r="AW360">
        <f t="shared" si="303"/>
        <v>213.74642055905352</v>
      </c>
      <c r="AX360">
        <f t="shared" si="304"/>
        <v>-5439.3029587009378</v>
      </c>
      <c r="AY360">
        <f t="shared" si="312"/>
        <v>-1.5315198791207367</v>
      </c>
      <c r="BA360">
        <f t="shared" si="289"/>
        <v>1.7867175911045077</v>
      </c>
      <c r="BB360">
        <f t="shared" si="305"/>
        <v>5.0411182653633198</v>
      </c>
      <c r="BC360">
        <f t="shared" si="306"/>
        <v>-1.399021347233991</v>
      </c>
      <c r="BD360">
        <f t="shared" si="290"/>
        <v>-260.158018736808</v>
      </c>
      <c r="BF360">
        <f t="shared" si="291"/>
        <v>-42.036055043529316</v>
      </c>
      <c r="BG360">
        <f t="shared" si="292"/>
        <v>-179.40154510077363</v>
      </c>
      <c r="BH360">
        <f t="shared" si="307"/>
        <v>0.5984548992263683</v>
      </c>
      <c r="BI360">
        <f t="shared" si="308"/>
        <v>0.5984548992263683</v>
      </c>
      <c r="BJ360">
        <f t="shared" si="293"/>
        <v>0</v>
      </c>
      <c r="BK360">
        <f t="shared" si="309"/>
        <v>0</v>
      </c>
      <c r="BM360">
        <f t="shared" si="310"/>
        <v>-47.07717330889264</v>
      </c>
      <c r="BN360">
        <f t="shared" si="294"/>
        <v>-99.243526363965614</v>
      </c>
      <c r="BQ360" s="56">
        <f t="shared" si="311"/>
        <v>21.943079065648455</v>
      </c>
      <c r="BR360" s="59"/>
      <c r="BS360" s="59"/>
      <c r="BT360" s="59">
        <v>316227.766</v>
      </c>
      <c r="BU360" s="59">
        <v>15.331799999999999</v>
      </c>
      <c r="BV360" s="59">
        <v>-189.75</v>
      </c>
      <c r="BW360" s="61"/>
      <c r="BY360" s="59"/>
      <c r="BZ360" s="59"/>
      <c r="CA360" s="59"/>
      <c r="CC360" s="59"/>
    </row>
    <row r="361" spans="1:81" x14ac:dyDescent="0.25">
      <c r="A361">
        <f t="shared" si="263"/>
        <v>735000</v>
      </c>
      <c r="B361">
        <f t="shared" si="295"/>
        <v>735</v>
      </c>
      <c r="C361">
        <f t="shared" si="264"/>
        <v>6.1774235927434056</v>
      </c>
      <c r="D361">
        <f t="shared" si="265"/>
        <v>1.4082010608943369</v>
      </c>
      <c r="F361">
        <f t="shared" si="266"/>
        <v>4.7446015090204063E-5</v>
      </c>
      <c r="G361">
        <f t="shared" si="267"/>
        <v>2.3431887995120438E-3</v>
      </c>
      <c r="H361">
        <f t="shared" si="268"/>
        <v>-3.139249461200488</v>
      </c>
      <c r="J361">
        <f t="shared" si="269"/>
        <v>15</v>
      </c>
      <c r="M361">
        <f t="shared" si="270"/>
        <v>1.7309139711224912E-3</v>
      </c>
      <c r="N361">
        <f t="shared" si="271"/>
        <v>-1.5707963250000001</v>
      </c>
      <c r="O361">
        <f t="shared" si="272"/>
        <v>213.54519031753523</v>
      </c>
      <c r="P361">
        <f t="shared" si="273"/>
        <v>1.5661134601220592</v>
      </c>
      <c r="Q361">
        <f t="shared" si="274"/>
        <v>188.57059284020096</v>
      </c>
      <c r="R361">
        <f t="shared" si="275"/>
        <v>1.5654932481331563</v>
      </c>
      <c r="S361">
        <f t="shared" si="276"/>
        <v>0.17310735807878019</v>
      </c>
      <c r="T361">
        <f t="shared" si="277"/>
        <v>-1.3968125376393645</v>
      </c>
      <c r="U361">
        <f t="shared" si="278"/>
        <v>0.21204059673632891</v>
      </c>
      <c r="V361">
        <f t="shared" si="279"/>
        <v>-1.3571337604846101</v>
      </c>
      <c r="X361">
        <f t="shared" si="296"/>
        <v>-38.978556514856749</v>
      </c>
      <c r="Y361">
        <f t="shared" si="280"/>
        <v>-167.54341996932155</v>
      </c>
      <c r="Z361">
        <f t="shared" si="297"/>
        <v>12.456580030678452</v>
      </c>
      <c r="AC361">
        <v>1</v>
      </c>
      <c r="AD361">
        <f t="shared" si="281"/>
        <v>213.54284887992</v>
      </c>
      <c r="AE361">
        <f t="shared" si="282"/>
        <v>-0.14792565411251846</v>
      </c>
      <c r="AF361">
        <f t="shared" si="283"/>
        <v>3.2096081308725002E-2</v>
      </c>
      <c r="AG361">
        <f t="shared" si="315"/>
        <v>292.68142744836581</v>
      </c>
      <c r="AH361">
        <f t="shared" si="316"/>
        <v>-1380.0778723053629</v>
      </c>
      <c r="AJ361">
        <f t="shared" si="284"/>
        <v>18000</v>
      </c>
      <c r="AK361">
        <f t="shared" si="285"/>
        <v>102411.899151408</v>
      </c>
      <c r="AL361">
        <v>1</v>
      </c>
      <c r="AM361">
        <f t="shared" si="286"/>
        <v>188.56794129465601</v>
      </c>
      <c r="AN361">
        <f t="shared" si="317"/>
        <v>543.594377748478</v>
      </c>
      <c r="AO361">
        <f t="shared" si="318"/>
        <v>-92.573559972074804</v>
      </c>
      <c r="AQ361">
        <f t="shared" si="287"/>
        <v>4.627699279143283E-3</v>
      </c>
      <c r="AR361">
        <f t="shared" si="288"/>
        <v>-6.8027179403406262</v>
      </c>
      <c r="AT361">
        <f t="shared" si="313"/>
        <v>-9386.9260593679901</v>
      </c>
      <c r="AU361">
        <f t="shared" si="314"/>
        <v>-1997.4157826823305</v>
      </c>
      <c r="AV361">
        <f t="shared" si="302"/>
        <v>-2.931932681948437</v>
      </c>
      <c r="AW361">
        <f t="shared" si="303"/>
        <v>218.39842678669584</v>
      </c>
      <c r="AX361">
        <f t="shared" si="304"/>
        <v>-5403.108621474461</v>
      </c>
      <c r="AY361">
        <f t="shared" si="312"/>
        <v>-1.5303974351056273</v>
      </c>
      <c r="BA361">
        <f t="shared" si="289"/>
        <v>1.7747662884704829</v>
      </c>
      <c r="BB361">
        <f t="shared" si="305"/>
        <v>4.9828234147477426</v>
      </c>
      <c r="BC361">
        <f t="shared" si="306"/>
        <v>-1.4015352468428097</v>
      </c>
      <c r="BD361">
        <f t="shared" si="290"/>
        <v>-260.30205457467753</v>
      </c>
      <c r="BF361">
        <f t="shared" si="291"/>
        <v>-42.155208903079028</v>
      </c>
      <c r="BG361">
        <f t="shared" si="292"/>
        <v>-179.48382215842426</v>
      </c>
      <c r="BH361">
        <f t="shared" si="307"/>
        <v>0.51617784157573965</v>
      </c>
      <c r="BI361">
        <f t="shared" si="308"/>
        <v>0.51617784157573965</v>
      </c>
      <c r="BJ361">
        <f t="shared" si="293"/>
        <v>0</v>
      </c>
      <c r="BK361">
        <f t="shared" si="309"/>
        <v>0</v>
      </c>
      <c r="BM361">
        <f t="shared" si="310"/>
        <v>-47.13803231782677</v>
      </c>
      <c r="BN361">
        <f t="shared" si="294"/>
        <v>-99.18176758374679</v>
      </c>
      <c r="BQ361" s="56">
        <f t="shared" si="311"/>
        <v>21.884784215032877</v>
      </c>
      <c r="BR361" s="59"/>
      <c r="BS361" s="59"/>
      <c r="BT361" s="59">
        <v>323593.65700000001</v>
      </c>
      <c r="BU361" s="59">
        <v>15.3347</v>
      </c>
      <c r="BV361" s="59">
        <v>-192.398</v>
      </c>
      <c r="BW361" s="61"/>
      <c r="BY361" s="59"/>
      <c r="BZ361" s="59"/>
      <c r="CA361" s="59"/>
      <c r="CC361" s="59"/>
    </row>
    <row r="362" spans="1:81" x14ac:dyDescent="0.25">
      <c r="A362">
        <f t="shared" si="263"/>
        <v>740000</v>
      </c>
      <c r="B362">
        <f t="shared" si="295"/>
        <v>740</v>
      </c>
      <c r="C362">
        <f t="shared" si="264"/>
        <v>6.2183492829627216</v>
      </c>
      <c r="D362">
        <f t="shared" si="265"/>
        <v>1.4092806074913753</v>
      </c>
      <c r="F362">
        <f t="shared" si="266"/>
        <v>4.6806990458424077E-5</v>
      </c>
      <c r="G362">
        <f t="shared" si="267"/>
        <v>2.3273550042062518E-3</v>
      </c>
      <c r="H362">
        <f t="shared" si="268"/>
        <v>-3.139265294995794</v>
      </c>
      <c r="J362">
        <f t="shared" si="269"/>
        <v>15</v>
      </c>
      <c r="M362">
        <f t="shared" si="270"/>
        <v>1.7192186064527446E-3</v>
      </c>
      <c r="N362">
        <f t="shared" si="271"/>
        <v>-1.5707963250000001</v>
      </c>
      <c r="O362">
        <f t="shared" si="272"/>
        <v>214.99784693854252</v>
      </c>
      <c r="P362">
        <f t="shared" si="273"/>
        <v>1.5661451006551961</v>
      </c>
      <c r="Q362">
        <f t="shared" si="274"/>
        <v>189.85335003545003</v>
      </c>
      <c r="R362">
        <f t="shared" si="275"/>
        <v>1.5655290790807461</v>
      </c>
      <c r="S362">
        <f t="shared" si="276"/>
        <v>0.17197241958444975</v>
      </c>
      <c r="T362">
        <f t="shared" si="277"/>
        <v>-1.397964756569541</v>
      </c>
      <c r="U362">
        <f t="shared" si="278"/>
        <v>0.21067168381317486</v>
      </c>
      <c r="V362">
        <f t="shared" si="279"/>
        <v>-1.3585343132592276</v>
      </c>
      <c r="X362">
        <f t="shared" si="296"/>
        <v>-39.093489274085719</v>
      </c>
      <c r="Y362">
        <f t="shared" si="280"/>
        <v>-167.62487092892329</v>
      </c>
      <c r="Z362">
        <f t="shared" si="297"/>
        <v>12.375129071076714</v>
      </c>
      <c r="AC362">
        <v>1</v>
      </c>
      <c r="AD362">
        <f t="shared" si="281"/>
        <v>214.99552132127999</v>
      </c>
      <c r="AE362">
        <f t="shared" si="282"/>
        <v>-0.14994509360361905</v>
      </c>
      <c r="AF362">
        <f t="shared" si="283"/>
        <v>3.2314421997899995E-2</v>
      </c>
      <c r="AG362">
        <f t="shared" si="315"/>
        <v>288.91458186356414</v>
      </c>
      <c r="AH362">
        <f t="shared" si="316"/>
        <v>-1371.5648085508965</v>
      </c>
      <c r="AJ362">
        <f t="shared" si="284"/>
        <v>18000</v>
      </c>
      <c r="AK362">
        <f t="shared" si="285"/>
        <v>103108.57873747199</v>
      </c>
      <c r="AL362">
        <v>1</v>
      </c>
      <c r="AM362">
        <f t="shared" si="286"/>
        <v>189.85071640550402</v>
      </c>
      <c r="AN362">
        <f t="shared" si="317"/>
        <v>543.58776616262742</v>
      </c>
      <c r="AO362">
        <f t="shared" si="318"/>
        <v>-91.948097770418983</v>
      </c>
      <c r="AQ362">
        <f t="shared" si="287"/>
        <v>4.5653741027327872E-3</v>
      </c>
      <c r="AR362">
        <f t="shared" si="288"/>
        <v>-6.7567536720445256</v>
      </c>
      <c r="AT362">
        <f t="shared" si="313"/>
        <v>-9266.0065534733749</v>
      </c>
      <c r="AU362">
        <f t="shared" si="314"/>
        <v>-1958.3863683710238</v>
      </c>
      <c r="AV362">
        <f t="shared" si="302"/>
        <v>-2.9333061906209728</v>
      </c>
      <c r="AW362">
        <f t="shared" si="303"/>
        <v>222.9517104360537</v>
      </c>
      <c r="AX362">
        <f t="shared" si="304"/>
        <v>-5367.388213715858</v>
      </c>
      <c r="AY362">
        <f t="shared" si="312"/>
        <v>-1.5292819802496707</v>
      </c>
      <c r="BA362">
        <f t="shared" si="289"/>
        <v>1.7629691564606833</v>
      </c>
      <c r="BB362">
        <f t="shared" si="305"/>
        <v>4.9248942857357001</v>
      </c>
      <c r="BC362">
        <f t="shared" si="306"/>
        <v>-1.4040242103713021</v>
      </c>
      <c r="BD362">
        <f t="shared" si="290"/>
        <v>-260.44466168038502</v>
      </c>
      <c r="BF362">
        <f t="shared" si="291"/>
        <v>-42.273563916035279</v>
      </c>
      <c r="BG362">
        <f t="shared" si="292"/>
        <v>-179.56548300990892</v>
      </c>
      <c r="BH362">
        <f t="shared" si="307"/>
        <v>0.43451699009108324</v>
      </c>
      <c r="BI362">
        <f t="shared" si="308"/>
        <v>0.43451699009108324</v>
      </c>
      <c r="BJ362">
        <f t="shared" si="293"/>
        <v>0</v>
      </c>
      <c r="BK362">
        <f t="shared" si="309"/>
        <v>0</v>
      </c>
      <c r="BM362">
        <f t="shared" si="310"/>
        <v>-47.198458201770976</v>
      </c>
      <c r="BN362">
        <f t="shared" si="294"/>
        <v>-99.120821329523849</v>
      </c>
      <c r="BQ362" s="56">
        <f t="shared" si="311"/>
        <v>21.826855086020839</v>
      </c>
      <c r="BR362" s="59"/>
      <c r="BS362" s="59"/>
      <c r="BT362" s="59">
        <v>331131.12099999998</v>
      </c>
      <c r="BU362" s="59">
        <v>15.331</v>
      </c>
      <c r="BV362" s="59">
        <v>-194.60300000000001</v>
      </c>
      <c r="BW362" s="61"/>
      <c r="BY362" s="59"/>
      <c r="BZ362" s="59"/>
      <c r="CA362" s="59"/>
      <c r="CC362" s="59"/>
    </row>
    <row r="363" spans="1:81" x14ac:dyDescent="0.25">
      <c r="A363">
        <f t="shared" si="263"/>
        <v>745000</v>
      </c>
      <c r="B363">
        <f t="shared" si="295"/>
        <v>745</v>
      </c>
      <c r="C363">
        <f t="shared" si="264"/>
        <v>6.2592821254035975</v>
      </c>
      <c r="D363">
        <f t="shared" si="265"/>
        <v>1.410346035834553</v>
      </c>
      <c r="F363">
        <f t="shared" si="266"/>
        <v>4.6180789621283745E-5</v>
      </c>
      <c r="G363">
        <f t="shared" si="267"/>
        <v>2.3117337717403815E-3</v>
      </c>
      <c r="H363">
        <f t="shared" si="268"/>
        <v>-3.1392809162282598</v>
      </c>
      <c r="J363">
        <f t="shared" si="269"/>
        <v>15</v>
      </c>
      <c r="M363">
        <f t="shared" si="270"/>
        <v>1.7076802265436656E-3</v>
      </c>
      <c r="N363">
        <f t="shared" si="271"/>
        <v>-1.5707963250000001</v>
      </c>
      <c r="O363">
        <f t="shared" si="272"/>
        <v>216.45050377190012</v>
      </c>
      <c r="P363">
        <f t="shared" si="273"/>
        <v>1.566176316492317</v>
      </c>
      <c r="Q363">
        <f t="shared" si="274"/>
        <v>191.13610747117198</v>
      </c>
      <c r="R363">
        <f t="shared" si="275"/>
        <v>1.5655644290892734</v>
      </c>
      <c r="S363">
        <f t="shared" si="276"/>
        <v>0.17085204366964837</v>
      </c>
      <c r="T363">
        <f t="shared" si="277"/>
        <v>-1.3991019639074191</v>
      </c>
      <c r="U363">
        <f t="shared" si="278"/>
        <v>0.209319929920179</v>
      </c>
      <c r="V363">
        <f t="shared" si="279"/>
        <v>-1.3599168957019347</v>
      </c>
      <c r="X363">
        <f t="shared" si="296"/>
        <v>-39.207684258442313</v>
      </c>
      <c r="Y363">
        <f t="shared" si="280"/>
        <v>-167.70528078994093</v>
      </c>
      <c r="Z363">
        <f t="shared" si="297"/>
        <v>12.294719210059071</v>
      </c>
      <c r="AC363">
        <v>1</v>
      </c>
      <c r="AD363">
        <f t="shared" si="281"/>
        <v>216.44819376264002</v>
      </c>
      <c r="AE363">
        <f t="shared" si="282"/>
        <v>-0.15197822420991358</v>
      </c>
      <c r="AF363">
        <f t="shared" si="283"/>
        <v>3.2532762687074994E-2</v>
      </c>
      <c r="AG363">
        <f t="shared" si="315"/>
        <v>285.21889321017187</v>
      </c>
      <c r="AH363">
        <f t="shared" si="316"/>
        <v>-1363.1507821134917</v>
      </c>
      <c r="AJ363">
        <f t="shared" si="284"/>
        <v>18000</v>
      </c>
      <c r="AK363">
        <f t="shared" si="285"/>
        <v>103805.25832353601</v>
      </c>
      <c r="AL363">
        <v>1</v>
      </c>
      <c r="AM363">
        <f t="shared" si="286"/>
        <v>191.133491516352</v>
      </c>
      <c r="AN363">
        <f t="shared" si="317"/>
        <v>543.58128724388325</v>
      </c>
      <c r="AO363">
        <f t="shared" si="318"/>
        <v>-91.331030340450141</v>
      </c>
      <c r="AQ363">
        <f t="shared" si="287"/>
        <v>4.50429957916329E-3</v>
      </c>
      <c r="AR363">
        <f t="shared" si="288"/>
        <v>-6.7114063729533022</v>
      </c>
      <c r="AT363">
        <f t="shared" si="313"/>
        <v>-9147.3741350321106</v>
      </c>
      <c r="AU363">
        <f t="shared" si="314"/>
        <v>-1920.3599370716447</v>
      </c>
      <c r="AV363">
        <f t="shared" si="302"/>
        <v>-2.9346620919605808</v>
      </c>
      <c r="AW363">
        <f t="shared" si="303"/>
        <v>227.40906163477047</v>
      </c>
      <c r="AX363">
        <f t="shared" si="304"/>
        <v>-5332.132564828913</v>
      </c>
      <c r="AY363">
        <f t="shared" si="312"/>
        <v>-1.5281733556847266</v>
      </c>
      <c r="BA363">
        <f t="shared" si="289"/>
        <v>1.751323266506102</v>
      </c>
      <c r="BB363">
        <f t="shared" si="305"/>
        <v>4.8673263471610877</v>
      </c>
      <c r="BC363">
        <f t="shared" si="306"/>
        <v>-1.4064887362758542</v>
      </c>
      <c r="BD363">
        <f t="shared" si="290"/>
        <v>-260.5858686133779</v>
      </c>
      <c r="BF363">
        <f t="shared" si="291"/>
        <v>-42.39113084325087</v>
      </c>
      <c r="BG363">
        <f t="shared" si="292"/>
        <v>-179.6465404260864</v>
      </c>
      <c r="BH363">
        <f t="shared" si="307"/>
        <v>0.35345957391359661</v>
      </c>
      <c r="BI363">
        <f t="shared" si="308"/>
        <v>0.35345957391359661</v>
      </c>
      <c r="BJ363">
        <f t="shared" si="293"/>
        <v>0</v>
      </c>
      <c r="BK363">
        <f t="shared" si="309"/>
        <v>0</v>
      </c>
      <c r="BM363">
        <f t="shared" si="310"/>
        <v>-47.25845719041196</v>
      </c>
      <c r="BN363">
        <f t="shared" si="294"/>
        <v>-99.060671812708506</v>
      </c>
      <c r="BQ363" s="56">
        <f t="shared" si="311"/>
        <v>21.769287147446224</v>
      </c>
      <c r="BR363" s="59"/>
      <c r="BS363" s="59"/>
      <c r="BT363" s="59">
        <v>338844.15600000002</v>
      </c>
      <c r="BU363" s="59">
        <v>15.2844</v>
      </c>
      <c r="BV363" s="59">
        <v>-197.85300000000001</v>
      </c>
      <c r="BW363" s="61"/>
      <c r="BY363" s="59"/>
      <c r="BZ363" s="59"/>
      <c r="CA363" s="59"/>
      <c r="CC363" s="59"/>
    </row>
    <row r="364" spans="1:81" x14ac:dyDescent="0.25">
      <c r="A364">
        <f t="shared" ref="A364:A427" si="319">A363+5000</f>
        <v>750000</v>
      </c>
      <c r="B364">
        <f t="shared" si="295"/>
        <v>750</v>
      </c>
      <c r="C364">
        <f t="shared" si="264"/>
        <v>6.3002219806610622</v>
      </c>
      <c r="D364">
        <f t="shared" si="265"/>
        <v>1.411397618709223</v>
      </c>
      <c r="F364">
        <f t="shared" si="266"/>
        <v>4.5567071728681838E-5</v>
      </c>
      <c r="G364">
        <f t="shared" si="267"/>
        <v>2.2963208501005574E-3</v>
      </c>
      <c r="H364">
        <f t="shared" si="268"/>
        <v>-3.1392963291498996</v>
      </c>
      <c r="J364">
        <f t="shared" si="269"/>
        <v>15</v>
      </c>
      <c r="M364">
        <f t="shared" si="270"/>
        <v>1.6962956917000414E-3</v>
      </c>
      <c r="N364">
        <f t="shared" si="271"/>
        <v>-1.5707963250000001</v>
      </c>
      <c r="O364">
        <f t="shared" si="272"/>
        <v>217.90316081336107</v>
      </c>
      <c r="P364">
        <f t="shared" si="273"/>
        <v>1.566207116127101</v>
      </c>
      <c r="Q364">
        <f t="shared" si="274"/>
        <v>192.41886514255751</v>
      </c>
      <c r="R364">
        <f t="shared" si="275"/>
        <v>1.5655993077771697</v>
      </c>
      <c r="S364">
        <f t="shared" si="276"/>
        <v>0.16974595616773525</v>
      </c>
      <c r="T364">
        <f t="shared" si="277"/>
        <v>-1.4002244482355757</v>
      </c>
      <c r="U364">
        <f t="shared" si="278"/>
        <v>0.20798502222325718</v>
      </c>
      <c r="V364">
        <f t="shared" si="279"/>
        <v>-1.3612818462854464</v>
      </c>
      <c r="X364">
        <f t="shared" si="296"/>
        <v>-39.32115066185164</v>
      </c>
      <c r="Y364">
        <f t="shared" si="280"/>
        <v>-167.78466905642176</v>
      </c>
      <c r="Z364">
        <f t="shared" si="297"/>
        <v>12.215330943578238</v>
      </c>
      <c r="AC364">
        <v>1</v>
      </c>
      <c r="AD364">
        <f t="shared" si="281"/>
        <v>217.90086620400001</v>
      </c>
      <c r="AE364">
        <f t="shared" si="282"/>
        <v>-0.15402504593140198</v>
      </c>
      <c r="AF364">
        <f t="shared" si="283"/>
        <v>3.275110337625E-2</v>
      </c>
      <c r="AG364">
        <f t="shared" si="315"/>
        <v>281.59260845178318</v>
      </c>
      <c r="AH364">
        <f t="shared" si="316"/>
        <v>-1354.8341850035656</v>
      </c>
      <c r="AJ364">
        <f t="shared" si="284"/>
        <v>18000</v>
      </c>
      <c r="AK364">
        <f t="shared" si="285"/>
        <v>104501.9379096</v>
      </c>
      <c r="AL364">
        <v>1</v>
      </c>
      <c r="AM364">
        <f t="shared" si="286"/>
        <v>192.4162666272</v>
      </c>
      <c r="AN364">
        <f t="shared" si="317"/>
        <v>543.57493746643468</v>
      </c>
      <c r="AO364">
        <f t="shared" si="318"/>
        <v>-90.72218980505842</v>
      </c>
      <c r="AQ364">
        <f t="shared" si="287"/>
        <v>4.4444424691366807E-3</v>
      </c>
      <c r="AR364">
        <f t="shared" si="288"/>
        <v>-6.6666637037050203</v>
      </c>
      <c r="AT364">
        <f t="shared" si="313"/>
        <v>-9030.9723635540449</v>
      </c>
      <c r="AU364">
        <f t="shared" si="314"/>
        <v>-1883.3047045875903</v>
      </c>
      <c r="AV364">
        <f t="shared" si="302"/>
        <v>-2.9360007171802374</v>
      </c>
      <c r="AW364">
        <f t="shared" si="303"/>
        <v>231.77317230509999</v>
      </c>
      <c r="AX364">
        <f t="shared" si="304"/>
        <v>-5297.3327376775487</v>
      </c>
      <c r="AY364">
        <f t="shared" si="312"/>
        <v>-1.5270714074193383</v>
      </c>
      <c r="BA364">
        <f t="shared" si="289"/>
        <v>1.7398257623186586</v>
      </c>
      <c r="BB364">
        <f t="shared" si="305"/>
        <v>4.81011514665785</v>
      </c>
      <c r="BC364">
        <f t="shared" si="306"/>
        <v>-1.408929309760899</v>
      </c>
      <c r="BD364">
        <f t="shared" si="290"/>
        <v>-260.7257031738223</v>
      </c>
      <c r="BF364">
        <f t="shared" si="291"/>
        <v>-42.507920231715886</v>
      </c>
      <c r="BG364">
        <f t="shared" si="292"/>
        <v>-179.72700682129607</v>
      </c>
      <c r="BH364">
        <f t="shared" si="307"/>
        <v>0.2729931787039277</v>
      </c>
      <c r="BI364">
        <f t="shared" si="308"/>
        <v>0.2729931787039277</v>
      </c>
      <c r="BJ364">
        <f t="shared" si="293"/>
        <v>0</v>
      </c>
      <c r="BK364">
        <f t="shared" si="309"/>
        <v>0</v>
      </c>
      <c r="BM364">
        <f t="shared" si="310"/>
        <v>-47.318035378373729</v>
      </c>
      <c r="BN364">
        <f t="shared" si="294"/>
        <v>-99.001303647473776</v>
      </c>
      <c r="BQ364" s="56">
        <f t="shared" si="311"/>
        <v>21.712075946942985</v>
      </c>
      <c r="BR364" s="59"/>
      <c r="BS364" s="59"/>
      <c r="BT364" s="59">
        <v>346736.85</v>
      </c>
      <c r="BU364" s="59">
        <v>15.295400000000001</v>
      </c>
      <c r="BV364" s="59">
        <v>-200.482</v>
      </c>
      <c r="BW364" s="61"/>
      <c r="BY364" s="59"/>
      <c r="BZ364" s="59"/>
      <c r="CA364" s="59"/>
      <c r="CC364" s="59"/>
    </row>
    <row r="365" spans="1:81" x14ac:dyDescent="0.25">
      <c r="A365">
        <f t="shared" si="319"/>
        <v>755000</v>
      </c>
      <c r="B365">
        <f t="shared" si="295"/>
        <v>755</v>
      </c>
      <c r="C365">
        <f t="shared" si="264"/>
        <v>6.3411687129066703</v>
      </c>
      <c r="D365">
        <f t="shared" si="265"/>
        <v>1.4124356219792316</v>
      </c>
      <c r="F365">
        <f t="shared" si="266"/>
        <v>4.4965507180414854E-5</v>
      </c>
      <c r="G365">
        <f t="shared" si="267"/>
        <v>2.2811120999338529E-3</v>
      </c>
      <c r="H365">
        <f t="shared" si="268"/>
        <v>-3.1393115379000665</v>
      </c>
      <c r="J365">
        <f t="shared" si="269"/>
        <v>15</v>
      </c>
      <c r="M365">
        <f t="shared" si="270"/>
        <v>1.6850619453973922E-3</v>
      </c>
      <c r="N365">
        <f t="shared" si="271"/>
        <v>-1.5707963250000001</v>
      </c>
      <c r="O365">
        <f t="shared" si="272"/>
        <v>219.35581805879102</v>
      </c>
      <c r="P365">
        <f t="shared" si="273"/>
        <v>1.5662375078282373</v>
      </c>
      <c r="Q365">
        <f t="shared" si="274"/>
        <v>193.70162304492462</v>
      </c>
      <c r="R365">
        <f t="shared" si="275"/>
        <v>1.5656337245080849</v>
      </c>
      <c r="S365">
        <f t="shared" si="276"/>
        <v>0.16865388963884906</v>
      </c>
      <c r="T365">
        <f t="shared" si="277"/>
        <v>-1.4013324908607605</v>
      </c>
      <c r="U365">
        <f t="shared" si="278"/>
        <v>0.20666665524506925</v>
      </c>
      <c r="V365">
        <f t="shared" si="279"/>
        <v>-1.3626294951670899</v>
      </c>
      <c r="X365">
        <f t="shared" si="296"/>
        <v>-39.433897511435191</v>
      </c>
      <c r="Y365">
        <f t="shared" si="280"/>
        <v>-167.86305475670923</v>
      </c>
      <c r="Z365">
        <f t="shared" si="297"/>
        <v>12.136945243290768</v>
      </c>
      <c r="AC365">
        <v>1</v>
      </c>
      <c r="AD365">
        <f t="shared" si="281"/>
        <v>219.35353864536003</v>
      </c>
      <c r="AE365">
        <f t="shared" si="282"/>
        <v>-0.1560855587680843</v>
      </c>
      <c r="AF365">
        <f t="shared" si="283"/>
        <v>3.2969444065424999E-2</v>
      </c>
      <c r="AG365">
        <f t="shared" si="315"/>
        <v>278.03402731698003</v>
      </c>
      <c r="AH365">
        <f t="shared" si="316"/>
        <v>-1346.6134406819072</v>
      </c>
      <c r="AJ365">
        <f t="shared" si="284"/>
        <v>18000</v>
      </c>
      <c r="AK365">
        <f t="shared" si="285"/>
        <v>105198.61749566399</v>
      </c>
      <c r="AL365">
        <v>1</v>
      </c>
      <c r="AM365">
        <f t="shared" si="286"/>
        <v>193.69904173804798</v>
      </c>
      <c r="AN365">
        <f t="shared" si="317"/>
        <v>543.56871342082593</v>
      </c>
      <c r="AO365">
        <f t="shared" si="318"/>
        <v>-90.121412733608977</v>
      </c>
      <c r="AQ365">
        <f t="shared" si="287"/>
        <v>4.3857706303361121E-3</v>
      </c>
      <c r="AR365">
        <f t="shared" si="288"/>
        <v>-6.6225136518075294</v>
      </c>
      <c r="AT365">
        <f t="shared" si="313"/>
        <v>-8916.7465011521981</v>
      </c>
      <c r="AU365">
        <f t="shared" si="314"/>
        <v>-1847.1900792522863</v>
      </c>
      <c r="AV365">
        <f t="shared" si="302"/>
        <v>-2.9373223893698328</v>
      </c>
      <c r="AW365">
        <f t="shared" si="303"/>
        <v>236.04664028770438</v>
      </c>
      <c r="AX365">
        <f t="shared" si="304"/>
        <v>-5262.9800212419705</v>
      </c>
      <c r="AY365">
        <f t="shared" si="312"/>
        <v>-1.5259759861549784</v>
      </c>
      <c r="BA365">
        <f t="shared" si="289"/>
        <v>1.7284738577280649</v>
      </c>
      <c r="BB365">
        <f t="shared" si="305"/>
        <v>4.7532563089795294</v>
      </c>
      <c r="BC365">
        <f t="shared" si="306"/>
        <v>-1.4113464032148544</v>
      </c>
      <c r="BD365">
        <f t="shared" si="290"/>
        <v>-260.86419242758086</v>
      </c>
      <c r="BF365">
        <f t="shared" si="291"/>
        <v>-42.623942420141617</v>
      </c>
      <c r="BG365">
        <f t="shared" si="292"/>
        <v>-179.80689426569162</v>
      </c>
      <c r="BH365">
        <f t="shared" si="307"/>
        <v>0.19310573430837508</v>
      </c>
      <c r="BI365">
        <f t="shared" si="308"/>
        <v>0.19310573430837508</v>
      </c>
      <c r="BJ365">
        <f t="shared" si="293"/>
        <v>0</v>
      </c>
      <c r="BK365">
        <f t="shared" si="309"/>
        <v>0</v>
      </c>
      <c r="BM365">
        <f t="shared" si="310"/>
        <v>-47.377198729121147</v>
      </c>
      <c r="BN365">
        <f t="shared" si="294"/>
        <v>-98.942701838110764</v>
      </c>
      <c r="BQ365" s="56">
        <f t="shared" si="311"/>
        <v>21.655217109264665</v>
      </c>
      <c r="BR365" s="59"/>
      <c r="BS365" s="59"/>
      <c r="BT365" s="59">
        <v>354813.38900000002</v>
      </c>
      <c r="BU365" s="59">
        <v>15.3028</v>
      </c>
      <c r="BV365" s="59">
        <v>-203.33199999999999</v>
      </c>
      <c r="BW365" s="61"/>
      <c r="BY365" s="59"/>
      <c r="BZ365" s="59"/>
      <c r="CA365" s="59"/>
      <c r="CC365" s="59"/>
    </row>
    <row r="366" spans="1:81" x14ac:dyDescent="0.25">
      <c r="A366">
        <f t="shared" si="319"/>
        <v>760000</v>
      </c>
      <c r="B366">
        <f t="shared" si="295"/>
        <v>760</v>
      </c>
      <c r="C366">
        <f t="shared" si="264"/>
        <v>6.3821221897752718</v>
      </c>
      <c r="D366">
        <f t="shared" si="265"/>
        <v>1.4134603048031105</v>
      </c>
      <c r="F366">
        <f t="shared" si="266"/>
        <v>4.4375777183525558E-5</v>
      </c>
      <c r="G366">
        <f t="shared" si="267"/>
        <v>2.2661034908413712E-3</v>
      </c>
      <c r="H366">
        <f t="shared" si="268"/>
        <v>-3.1393265465091589</v>
      </c>
      <c r="J366">
        <f t="shared" si="269"/>
        <v>15</v>
      </c>
      <c r="M366">
        <f t="shared" si="270"/>
        <v>1.6739760115460935E-3</v>
      </c>
      <c r="N366">
        <f t="shared" si="271"/>
        <v>-1.5707963250000001</v>
      </c>
      <c r="O366">
        <f t="shared" si="272"/>
        <v>220.80847550416436</v>
      </c>
      <c r="P366">
        <f t="shared" si="273"/>
        <v>1.5662674996468258</v>
      </c>
      <c r="Q366">
        <f t="shared" si="274"/>
        <v>194.98438117371461</v>
      </c>
      <c r="R366">
        <f t="shared" si="275"/>
        <v>1.565667688399268</v>
      </c>
      <c r="S366">
        <f t="shared" si="276"/>
        <v>0.16757558316852658</v>
      </c>
      <c r="T366">
        <f t="shared" si="277"/>
        <v>-1.4024263660393954</v>
      </c>
      <c r="U366">
        <f t="shared" si="278"/>
        <v>0.20536453065662735</v>
      </c>
      <c r="V366">
        <f t="shared" si="279"/>
        <v>-1.3639601644384276</v>
      </c>
      <c r="X366">
        <f t="shared" si="296"/>
        <v>-39.54593367142521</v>
      </c>
      <c r="Y366">
        <f t="shared" si="280"/>
        <v>-167.94045645758689</v>
      </c>
      <c r="Z366">
        <f t="shared" si="297"/>
        <v>12.05954354241311</v>
      </c>
      <c r="AC366">
        <v>1</v>
      </c>
      <c r="AD366">
        <f t="shared" si="281"/>
        <v>220.80621108671997</v>
      </c>
      <c r="AE366">
        <f t="shared" si="282"/>
        <v>-0.15815976271996052</v>
      </c>
      <c r="AF366">
        <f t="shared" si="283"/>
        <v>3.3187784754599998E-2</v>
      </c>
      <c r="AG366">
        <f t="shared" si="315"/>
        <v>274.541500438811</v>
      </c>
      <c r="AH366">
        <f t="shared" si="316"/>
        <v>-1338.4870034155338</v>
      </c>
      <c r="AJ366">
        <f t="shared" si="284"/>
        <v>18000</v>
      </c>
      <c r="AK366">
        <f t="shared" si="285"/>
        <v>105895.297081728</v>
      </c>
      <c r="AL366">
        <v>1</v>
      </c>
      <c r="AM366">
        <f t="shared" si="286"/>
        <v>194.98181684889602</v>
      </c>
      <c r="AN366">
        <f t="shared" si="317"/>
        <v>543.56261180937804</v>
      </c>
      <c r="AO366">
        <f t="shared" si="318"/>
        <v>-89.528539995699916</v>
      </c>
      <c r="AQ366">
        <f t="shared" si="287"/>
        <v>4.3282529742672375E-3</v>
      </c>
      <c r="AR366">
        <f t="shared" si="288"/>
        <v>-6.5789445208862007</v>
      </c>
      <c r="AT366">
        <f t="shared" si="313"/>
        <v>-8804.6434523321805</v>
      </c>
      <c r="AU366">
        <f t="shared" si="314"/>
        <v>-1811.9866104213434</v>
      </c>
      <c r="AV366">
        <f t="shared" si="302"/>
        <v>-2.9386274237394705</v>
      </c>
      <c r="AW366">
        <f t="shared" si="303"/>
        <v>240.23197326493889</v>
      </c>
      <c r="AX366">
        <f t="shared" si="304"/>
        <v>-5229.0659235494222</v>
      </c>
      <c r="AY366">
        <f t="shared" si="312"/>
        <v>-1.5248869471104489</v>
      </c>
      <c r="BA366">
        <f t="shared" si="289"/>
        <v>1.7172648345935386</v>
      </c>
      <c r="BB366">
        <f t="shared" si="305"/>
        <v>4.6967455343575519</v>
      </c>
      <c r="BC366">
        <f t="shared" si="306"/>
        <v>-1.4137404766290216</v>
      </c>
      <c r="BD366">
        <f t="shared" si="290"/>
        <v>-261.00136273021388</v>
      </c>
      <c r="BF366">
        <f t="shared" si="291"/>
        <v>-42.739207544365442</v>
      </c>
      <c r="BG366">
        <f t="shared" si="292"/>
        <v>-179.8862144970681</v>
      </c>
      <c r="BH366">
        <f t="shared" si="307"/>
        <v>0.11378550293190415</v>
      </c>
      <c r="BI366">
        <f t="shared" si="308"/>
        <v>0.11378550293190415</v>
      </c>
      <c r="BJ366">
        <f t="shared" si="293"/>
        <v>0</v>
      </c>
      <c r="BK366">
        <f t="shared" si="309"/>
        <v>0</v>
      </c>
      <c r="BM366">
        <f t="shared" si="310"/>
        <v>-47.435953078722989</v>
      </c>
      <c r="BN366">
        <f t="shared" si="294"/>
        <v>-98.884851766854197</v>
      </c>
      <c r="BQ366" s="56">
        <f t="shared" si="311"/>
        <v>21.598706334642689</v>
      </c>
      <c r="BR366" s="59"/>
      <c r="BS366" s="59"/>
      <c r="BT366" s="59">
        <v>363078.05499999999</v>
      </c>
      <c r="BU366" s="59">
        <v>15.049200000000001</v>
      </c>
      <c r="BV366" s="59">
        <v>-205.19499999999999</v>
      </c>
      <c r="BW366" s="61"/>
      <c r="BY366" s="59"/>
      <c r="BZ366" s="59"/>
      <c r="CA366" s="59"/>
      <c r="CC366" s="59"/>
    </row>
    <row r="367" spans="1:81" x14ac:dyDescent="0.25">
      <c r="A367">
        <f t="shared" si="319"/>
        <v>765000</v>
      </c>
      <c r="B367">
        <f t="shared" si="295"/>
        <v>765</v>
      </c>
      <c r="C367">
        <f t="shared" si="264"/>
        <v>6.4230822822560221</v>
      </c>
      <c r="D367">
        <f t="shared" si="265"/>
        <v>1.4144719198422897</v>
      </c>
      <c r="F367">
        <f t="shared" si="266"/>
        <v>4.3797573329838975E-5</v>
      </c>
      <c r="G367">
        <f t="shared" si="267"/>
        <v>2.2512910978167359E-3</v>
      </c>
      <c r="H367">
        <f t="shared" si="268"/>
        <v>-3.1393413589021835</v>
      </c>
      <c r="J367">
        <f t="shared" si="269"/>
        <v>15</v>
      </c>
      <c r="M367">
        <f t="shared" si="270"/>
        <v>1.6630349918627858E-3</v>
      </c>
      <c r="N367">
        <f t="shared" si="271"/>
        <v>-1.5707963250000001</v>
      </c>
      <c r="O367">
        <f t="shared" si="272"/>
        <v>222.26113314556062</v>
      </c>
      <c r="P367">
        <f t="shared" si="273"/>
        <v>1.5662970994234866</v>
      </c>
      <c r="Q367">
        <f t="shared" si="274"/>
        <v>196.26713952448793</v>
      </c>
      <c r="R367">
        <f t="shared" si="275"/>
        <v>1.5657012083296189</v>
      </c>
      <c r="S367">
        <f t="shared" si="276"/>
        <v>0.16651078217336959</v>
      </c>
      <c r="T367">
        <f t="shared" si="277"/>
        <v>-1.4035063411948292</v>
      </c>
      <c r="U367">
        <f t="shared" si="278"/>
        <v>0.20407835707568636</v>
      </c>
      <c r="V367">
        <f t="shared" si="279"/>
        <v>-1.3652741683660996</v>
      </c>
      <c r="X367">
        <f t="shared" si="296"/>
        <v>-39.657267846967777</v>
      </c>
      <c r="Y367">
        <f t="shared" si="280"/>
        <v>-168.01689227793076</v>
      </c>
      <c r="Z367">
        <f t="shared" si="297"/>
        <v>11.983107722069235</v>
      </c>
      <c r="AC367">
        <v>1</v>
      </c>
      <c r="AD367">
        <f t="shared" si="281"/>
        <v>222.25888352807999</v>
      </c>
      <c r="AE367">
        <f t="shared" si="282"/>
        <v>-0.16024765778703065</v>
      </c>
      <c r="AF367">
        <f t="shared" si="283"/>
        <v>3.3406125443774998E-2</v>
      </c>
      <c r="AG367">
        <f t="shared" si="315"/>
        <v>271.1134275688525</v>
      </c>
      <c r="AH367">
        <f t="shared" si="316"/>
        <v>-1330.4533576432602</v>
      </c>
      <c r="AJ367">
        <f t="shared" si="284"/>
        <v>18000</v>
      </c>
      <c r="AK367">
        <f t="shared" si="285"/>
        <v>106591.976667792</v>
      </c>
      <c r="AL367">
        <v>1</v>
      </c>
      <c r="AM367">
        <f t="shared" si="286"/>
        <v>196.26459195974402</v>
      </c>
      <c r="AN367">
        <f t="shared" si="317"/>
        <v>543.55662944182029</v>
      </c>
      <c r="AO367">
        <f t="shared" si="318"/>
        <v>-88.943416620654034</v>
      </c>
      <c r="AQ367">
        <f t="shared" si="287"/>
        <v>4.2718594250675274E-3</v>
      </c>
      <c r="AR367">
        <f t="shared" si="288"/>
        <v>-6.5359449203533169</v>
      </c>
      <c r="AT367">
        <f t="shared" si="313"/>
        <v>-8694.6117062046596</v>
      </c>
      <c r="AU367">
        <f t="shared" si="314"/>
        <v>-1777.6659394736794</v>
      </c>
      <c r="AV367">
        <f t="shared" si="302"/>
        <v>-2.9399161278542332</v>
      </c>
      <c r="AW367">
        <f t="shared" si="303"/>
        <v>244.33159249466863</v>
      </c>
      <c r="AX367">
        <f t="shared" si="304"/>
        <v>-5195.5821648676856</v>
      </c>
      <c r="AY367">
        <f t="shared" si="312"/>
        <v>-1.5238041498540222</v>
      </c>
      <c r="BA367">
        <f t="shared" si="289"/>
        <v>1.7061960407874714</v>
      </c>
      <c r="BB367">
        <f t="shared" si="305"/>
        <v>4.6405785968974635</v>
      </c>
      <c r="BC367">
        <f t="shared" si="306"/>
        <v>-1.4161119780002109</v>
      </c>
      <c r="BD367">
        <f t="shared" si="290"/>
        <v>-261.1372397500478</v>
      </c>
      <c r="BF367">
        <f t="shared" si="291"/>
        <v>-42.85372554258327</v>
      </c>
      <c r="BG367">
        <f t="shared" si="292"/>
        <v>-179.96497893220459</v>
      </c>
      <c r="BH367">
        <f t="shared" si="307"/>
        <v>3.5021067795412364E-2</v>
      </c>
      <c r="BI367">
        <f t="shared" si="308"/>
        <v>3.5021067795412364E-2</v>
      </c>
      <c r="BJ367">
        <f t="shared" si="293"/>
        <v>0</v>
      </c>
      <c r="BK367">
        <f t="shared" si="309"/>
        <v>0</v>
      </c>
      <c r="BM367">
        <f t="shared" si="310"/>
        <v>-47.494304139480725</v>
      </c>
      <c r="BN367">
        <f t="shared" si="294"/>
        <v>-98.827739182156819</v>
      </c>
      <c r="BQ367" s="56">
        <f t="shared" si="311"/>
        <v>21.542539397182598</v>
      </c>
      <c r="BR367" s="59"/>
      <c r="BS367" s="59"/>
      <c r="BT367" s="59">
        <v>371535.22899999999</v>
      </c>
      <c r="BU367" s="59">
        <v>14.9002</v>
      </c>
      <c r="BV367" s="59">
        <v>-207.41</v>
      </c>
      <c r="BW367" s="61"/>
      <c r="BY367" s="59"/>
      <c r="BZ367" s="59"/>
      <c r="CA367" s="59"/>
      <c r="CC367" s="59"/>
    </row>
    <row r="368" spans="1:81" x14ac:dyDescent="0.25">
      <c r="A368">
        <f t="shared" si="319"/>
        <v>770000</v>
      </c>
      <c r="B368">
        <f t="shared" si="295"/>
        <v>770</v>
      </c>
      <c r="C368">
        <f t="shared" si="264"/>
        <v>6.464048864587455</v>
      </c>
      <c r="D368">
        <f t="shared" si="265"/>
        <v>1.4154707134616713</v>
      </c>
      <c r="F368">
        <f t="shared" si="266"/>
        <v>4.3230597192640904E-5</v>
      </c>
      <c r="G368">
        <f t="shared" si="267"/>
        <v>2.2366710978233822E-3</v>
      </c>
      <c r="H368">
        <f t="shared" si="268"/>
        <v>-3.1393559789021768</v>
      </c>
      <c r="J368">
        <f t="shared" si="269"/>
        <v>15</v>
      </c>
      <c r="M368">
        <f t="shared" si="270"/>
        <v>1.6522360633441961E-3</v>
      </c>
      <c r="N368">
        <f t="shared" si="271"/>
        <v>-1.5707963250000001</v>
      </c>
      <c r="O368">
        <f t="shared" si="272"/>
        <v>223.7137909791613</v>
      </c>
      <c r="P368">
        <f t="shared" si="273"/>
        <v>1.5663263147951947</v>
      </c>
      <c r="Q368">
        <f t="shared" si="274"/>
        <v>197.54989809292039</v>
      </c>
      <c r="R368">
        <f t="shared" si="275"/>
        <v>1.5657342929474269</v>
      </c>
      <c r="S368">
        <f t="shared" si="276"/>
        <v>0.16545923821347927</v>
      </c>
      <c r="T368">
        <f t="shared" si="277"/>
        <v>-1.4045726771266935</v>
      </c>
      <c r="U368">
        <f t="shared" si="278"/>
        <v>0.20280784987167161</v>
      </c>
      <c r="V368">
        <f t="shared" si="279"/>
        <v>-1.3665718136242389</v>
      </c>
      <c r="X368">
        <f t="shared" si="296"/>
        <v>-39.767908587818283</v>
      </c>
      <c r="Y368">
        <f t="shared" si="280"/>
        <v>-168.0923799018905</v>
      </c>
      <c r="Z368">
        <f t="shared" si="297"/>
        <v>11.907620098109504</v>
      </c>
      <c r="AC368">
        <v>1</v>
      </c>
      <c r="AD368">
        <f t="shared" si="281"/>
        <v>223.71155596943998</v>
      </c>
      <c r="AE368">
        <f t="shared" si="282"/>
        <v>-0.16234924396929459</v>
      </c>
      <c r="AF368">
        <f t="shared" si="283"/>
        <v>3.3624466132949997E-2</v>
      </c>
      <c r="AG368">
        <f t="shared" si="315"/>
        <v>267.74825586253291</v>
      </c>
      <c r="AH368">
        <f t="shared" si="316"/>
        <v>-1322.5110173512237</v>
      </c>
      <c r="AJ368">
        <f t="shared" si="284"/>
        <v>18000</v>
      </c>
      <c r="AK368">
        <f t="shared" si="285"/>
        <v>107288.65625385598</v>
      </c>
      <c r="AL368">
        <v>1</v>
      </c>
      <c r="AM368">
        <f t="shared" si="286"/>
        <v>197.547367070592</v>
      </c>
      <c r="AN368">
        <f t="shared" si="317"/>
        <v>543.55076323111973</v>
      </c>
      <c r="AO368">
        <f t="shared" si="318"/>
        <v>-88.365891662483946</v>
      </c>
      <c r="AQ368">
        <f t="shared" si="287"/>
        <v>4.2165608801817845E-3</v>
      </c>
      <c r="AR368">
        <f t="shared" si="288"/>
        <v>-6.4935037554799475</v>
      </c>
      <c r="AT368">
        <f t="shared" si="313"/>
        <v>-8586.6012810123702</v>
      </c>
      <c r="AU368">
        <f t="shared" si="314"/>
        <v>-1744.200753185936</v>
      </c>
      <c r="AV368">
        <f t="shared" si="302"/>
        <v>-2.9411888018607542</v>
      </c>
      <c r="AW368">
        <f t="shared" si="303"/>
        <v>248.34783636498577</v>
      </c>
      <c r="AX368">
        <f t="shared" si="304"/>
        <v>-5162.5206711499795</v>
      </c>
      <c r="AY368">
        <f t="shared" si="312"/>
        <v>-1.5227274581429318</v>
      </c>
      <c r="BA368">
        <f t="shared" si="289"/>
        <v>1.6952648882482912</v>
      </c>
      <c r="BB368">
        <f t="shared" si="305"/>
        <v>4.5847513430123312</v>
      </c>
      <c r="BC368">
        <f t="shared" si="306"/>
        <v>-1.4184613437178224</v>
      </c>
      <c r="BD368">
        <f t="shared" si="290"/>
        <v>-261.27184849035348</v>
      </c>
      <c r="BF368">
        <f t="shared" si="291"/>
        <v>-42.967506160416235</v>
      </c>
      <c r="BG368">
        <f t="shared" si="292"/>
        <v>-180.04319867774677</v>
      </c>
      <c r="BH368">
        <f t="shared" si="307"/>
        <v>-4.3198677746772773E-2</v>
      </c>
      <c r="BI368">
        <f t="shared" si="308"/>
        <v>-4.3198677746772773E-2</v>
      </c>
      <c r="BJ368">
        <f t="shared" si="293"/>
        <v>0</v>
      </c>
      <c r="BK368">
        <f t="shared" si="309"/>
        <v>0</v>
      </c>
      <c r="BM368">
        <f t="shared" si="310"/>
        <v>-47.552257503428564</v>
      </c>
      <c r="BN368">
        <f t="shared" si="294"/>
        <v>-98.771350187393324</v>
      </c>
      <c r="BQ368" s="56">
        <f t="shared" si="311"/>
        <v>21.486712143297471</v>
      </c>
      <c r="BR368" s="59"/>
      <c r="BS368" s="59"/>
      <c r="BT368" s="59">
        <v>380189.39600000001</v>
      </c>
      <c r="BU368" s="59">
        <v>14.938000000000001</v>
      </c>
      <c r="BV368" s="59">
        <v>-210.39400000000001</v>
      </c>
      <c r="BW368" s="61"/>
      <c r="BY368" s="59"/>
      <c r="BZ368" s="59"/>
      <c r="CA368" s="59"/>
      <c r="CC368" s="59"/>
    </row>
    <row r="369" spans="1:81" x14ac:dyDescent="0.25">
      <c r="A369">
        <f t="shared" si="319"/>
        <v>775000</v>
      </c>
      <c r="B369">
        <f t="shared" si="295"/>
        <v>775</v>
      </c>
      <c r="C369">
        <f t="shared" si="264"/>
        <v>6.5050218141564553</v>
      </c>
      <c r="D369">
        <f t="shared" si="265"/>
        <v>1.4164569259228834</v>
      </c>
      <c r="F369">
        <f t="shared" si="266"/>
        <v>4.2674559941513808E-5</v>
      </c>
      <c r="G369">
        <f t="shared" si="267"/>
        <v>2.2222397665043804E-3</v>
      </c>
      <c r="H369">
        <f t="shared" si="268"/>
        <v>-3.1393704102334956</v>
      </c>
      <c r="J369">
        <f t="shared" si="269"/>
        <v>15</v>
      </c>
      <c r="M369">
        <f t="shared" si="270"/>
        <v>1.6415764758387498E-3</v>
      </c>
      <c r="N369">
        <f t="shared" si="271"/>
        <v>-1.5707963250000001</v>
      </c>
      <c r="O369">
        <f t="shared" si="272"/>
        <v>225.16644900124641</v>
      </c>
      <c r="P369">
        <f t="shared" si="273"/>
        <v>1.5663551532018487</v>
      </c>
      <c r="Q369">
        <f t="shared" si="274"/>
        <v>198.83265687479926</v>
      </c>
      <c r="R369">
        <f t="shared" si="275"/>
        <v>1.5657669506778094</v>
      </c>
      <c r="S369">
        <f t="shared" si="276"/>
        <v>0.16442070881139229</v>
      </c>
      <c r="T369">
        <f t="shared" si="277"/>
        <v>-1.4056256282126884</v>
      </c>
      <c r="U369">
        <f t="shared" si="278"/>
        <v>0.20155273097691084</v>
      </c>
      <c r="V369">
        <f t="shared" si="279"/>
        <v>-1.3678533995187911</v>
      </c>
      <c r="X369">
        <f t="shared" si="296"/>
        <v>-39.877864291932809</v>
      </c>
      <c r="Y369">
        <f t="shared" si="280"/>
        <v>-168.16693659161638</v>
      </c>
      <c r="Z369">
        <f t="shared" si="297"/>
        <v>11.833063408383623</v>
      </c>
      <c r="AC369">
        <v>1</v>
      </c>
      <c r="AD369">
        <f t="shared" si="281"/>
        <v>225.16422841080001</v>
      </c>
      <c r="AE369">
        <f t="shared" si="282"/>
        <v>-0.16446452126675251</v>
      </c>
      <c r="AF369">
        <f t="shared" si="283"/>
        <v>3.3842806822124996E-2</v>
      </c>
      <c r="AG369">
        <f t="shared" si="315"/>
        <v>264.44447823255894</v>
      </c>
      <c r="AH369">
        <f t="shared" si="316"/>
        <v>-1314.6585254585666</v>
      </c>
      <c r="AJ369">
        <f t="shared" si="284"/>
        <v>18000</v>
      </c>
      <c r="AK369">
        <f t="shared" si="285"/>
        <v>107985.33583991999</v>
      </c>
      <c r="AL369">
        <v>1</v>
      </c>
      <c r="AM369">
        <f t="shared" si="286"/>
        <v>198.83014218144001</v>
      </c>
      <c r="AN369">
        <f t="shared" si="317"/>
        <v>543.54501018949759</v>
      </c>
      <c r="AO369">
        <f t="shared" si="318"/>
        <v>-87.795818070083286</v>
      </c>
      <c r="AQ369">
        <f t="shared" si="287"/>
        <v>4.1623291728078368E-3</v>
      </c>
      <c r="AR369">
        <f t="shared" si="288"/>
        <v>-6.4516102178521466</v>
      </c>
      <c r="AT369">
        <f t="shared" si="313"/>
        <v>-8480.5636708685906</v>
      </c>
      <c r="AU369">
        <f t="shared" si="314"/>
        <v>-1711.5647393525535</v>
      </c>
      <c r="AV369">
        <f t="shared" si="302"/>
        <v>-2.9424457387059255</v>
      </c>
      <c r="AW369">
        <f t="shared" si="303"/>
        <v>252.28296377955954</v>
      </c>
      <c r="AX369">
        <f t="shared" si="304"/>
        <v>-5129.8735677205041</v>
      </c>
      <c r="AY369">
        <f t="shared" si="312"/>
        <v>-1.5216567397698453</v>
      </c>
      <c r="BA369">
        <f t="shared" si="289"/>
        <v>1.6844688510998889</v>
      </c>
      <c r="BB369">
        <f t="shared" si="305"/>
        <v>4.5292596898926565</v>
      </c>
      <c r="BC369">
        <f t="shared" si="306"/>
        <v>-1.4207889989360802</v>
      </c>
      <c r="BD369">
        <f t="shared" si="290"/>
        <v>-261.40521331067362</v>
      </c>
      <c r="BF369">
        <f t="shared" si="291"/>
        <v>-43.080558955817594</v>
      </c>
      <c r="BG369">
        <f t="shared" si="292"/>
        <v>-180.12088454064997</v>
      </c>
      <c r="BH369">
        <f t="shared" si="307"/>
        <v>-0.12088454064996768</v>
      </c>
      <c r="BI369">
        <f t="shared" si="308"/>
        <v>-0.12088454064996768</v>
      </c>
      <c r="BJ369">
        <f t="shared" si="293"/>
        <v>0</v>
      </c>
      <c r="BK369">
        <f t="shared" si="309"/>
        <v>0</v>
      </c>
      <c r="BM369">
        <f t="shared" si="310"/>
        <v>-47.609818645710256</v>
      </c>
      <c r="BN369">
        <f t="shared" si="294"/>
        <v>-98.715671229976351</v>
      </c>
      <c r="BQ369" s="56">
        <f t="shared" si="311"/>
        <v>21.431220490177797</v>
      </c>
      <c r="BR369" s="59"/>
      <c r="BS369" s="59"/>
      <c r="BT369" s="59">
        <v>389045.14500000002</v>
      </c>
      <c r="BU369" s="59">
        <v>14.7561</v>
      </c>
      <c r="BV369" s="59">
        <v>-213.04300000000001</v>
      </c>
      <c r="BW369" s="61"/>
      <c r="BY369" s="59"/>
      <c r="BZ369" s="59"/>
      <c r="CA369" s="59"/>
      <c r="CC369" s="59"/>
    </row>
    <row r="370" spans="1:81" x14ac:dyDescent="0.25">
      <c r="A370">
        <f t="shared" si="319"/>
        <v>780000</v>
      </c>
      <c r="B370">
        <f t="shared" si="295"/>
        <v>780</v>
      </c>
      <c r="C370">
        <f t="shared" si="264"/>
        <v>6.546001011400941</v>
      </c>
      <c r="D370">
        <f t="shared" si="265"/>
        <v>1.4174307915705244</v>
      </c>
      <c r="F370">
        <f t="shared" si="266"/>
        <v>4.2129181974401825E-5</v>
      </c>
      <c r="G370">
        <f t="shared" si="267"/>
        <v>2.2079934750188403E-3</v>
      </c>
      <c r="H370">
        <f t="shared" si="268"/>
        <v>-3.1393846565249812</v>
      </c>
      <c r="J370">
        <f t="shared" si="269"/>
        <v>15</v>
      </c>
      <c r="M370">
        <f t="shared" si="270"/>
        <v>1.6310535497115783E-3</v>
      </c>
      <c r="N370">
        <f t="shared" si="271"/>
        <v>-1.5707963250000001</v>
      </c>
      <c r="O370">
        <f t="shared" si="272"/>
        <v>226.61910720819128</v>
      </c>
      <c r="P370">
        <f t="shared" si="273"/>
        <v>1.5663836218925862</v>
      </c>
      <c r="Q370">
        <f t="shared" si="274"/>
        <v>200.11541586601993</v>
      </c>
      <c r="R370">
        <f t="shared" si="275"/>
        <v>1.5657991897298635</v>
      </c>
      <c r="S370">
        <f t="shared" si="276"/>
        <v>0.16339495727726169</v>
      </c>
      <c r="T370">
        <f t="shared" si="277"/>
        <v>-1.4066654426031118</v>
      </c>
      <c r="U370">
        <f t="shared" si="278"/>
        <v>0.2003127287039439</v>
      </c>
      <c r="V370">
        <f t="shared" si="279"/>
        <v>-1.369119218204065</v>
      </c>
      <c r="X370">
        <f t="shared" si="296"/>
        <v>-39.987143208958891</v>
      </c>
      <c r="Y370">
        <f t="shared" si="280"/>
        <v>-168.24057919955123</v>
      </c>
      <c r="Z370">
        <f t="shared" si="297"/>
        <v>11.759420800448765</v>
      </c>
      <c r="AC370">
        <v>1</v>
      </c>
      <c r="AD370">
        <f t="shared" si="281"/>
        <v>226.61690085216</v>
      </c>
      <c r="AE370">
        <f t="shared" si="282"/>
        <v>-0.16659348967940435</v>
      </c>
      <c r="AF370">
        <f t="shared" si="283"/>
        <v>3.4061147511300002E-2</v>
      </c>
      <c r="AG370">
        <f t="shared" si="315"/>
        <v>261.20063176743957</v>
      </c>
      <c r="AH370">
        <f t="shared" si="316"/>
        <v>-1306.8944532134426</v>
      </c>
      <c r="AJ370">
        <f t="shared" si="284"/>
        <v>18000</v>
      </c>
      <c r="AK370">
        <f t="shared" si="285"/>
        <v>108682.01542598401</v>
      </c>
      <c r="AL370">
        <v>1</v>
      </c>
      <c r="AM370">
        <f t="shared" si="286"/>
        <v>200.11291729228799</v>
      </c>
      <c r="AN370">
        <f t="shared" si="317"/>
        <v>543.53936742462452</v>
      </c>
      <c r="AO370">
        <f t="shared" si="318"/>
        <v>-87.233052562410052</v>
      </c>
      <c r="AQ370">
        <f t="shared" si="287"/>
        <v>4.1091370360219282E-3</v>
      </c>
      <c r="AR370">
        <f t="shared" si="288"/>
        <v>-6.4102537761942076</v>
      </c>
      <c r="AT370">
        <f t="shared" si="313"/>
        <v>-8376.4517946089072</v>
      </c>
      <c r="AU370">
        <f t="shared" si="314"/>
        <v>-1679.7325445314132</v>
      </c>
      <c r="AV370">
        <f t="shared" si="302"/>
        <v>-2.9436872243480483</v>
      </c>
      <c r="AW370">
        <f t="shared" si="303"/>
        <v>256.13915738276665</v>
      </c>
      <c r="AX370">
        <f t="shared" si="304"/>
        <v>-5097.6331731904202</v>
      </c>
      <c r="AY370">
        <f t="shared" si="312"/>
        <v>-1.5205918664159739</v>
      </c>
      <c r="BA370">
        <f t="shared" si="289"/>
        <v>1.6738054638350561</v>
      </c>
      <c r="BB370">
        <f t="shared" si="305"/>
        <v>4.4740996240119699</v>
      </c>
      <c r="BC370">
        <f t="shared" si="306"/>
        <v>-1.4230953579320744</v>
      </c>
      <c r="BD370">
        <f t="shared" si="290"/>
        <v>-261.53735794733711</v>
      </c>
      <c r="BF370">
        <f t="shared" si="291"/>
        <v>-43.192893303825876</v>
      </c>
      <c r="BG370">
        <f t="shared" si="292"/>
        <v>-180.19804703820387</v>
      </c>
      <c r="BH370">
        <f t="shared" si="307"/>
        <v>-0.19804703820386749</v>
      </c>
      <c r="BI370">
        <f t="shared" si="308"/>
        <v>-0.19804703820386749</v>
      </c>
      <c r="BJ370">
        <f t="shared" si="293"/>
        <v>0</v>
      </c>
      <c r="BK370">
        <f t="shared" si="309"/>
        <v>0</v>
      </c>
      <c r="BM370">
        <f t="shared" si="310"/>
        <v>-47.666992927837839</v>
      </c>
      <c r="BN370">
        <f t="shared" si="294"/>
        <v>-98.660689090866768</v>
      </c>
      <c r="BQ370" s="56">
        <f t="shared" si="311"/>
        <v>21.376060424297108</v>
      </c>
      <c r="BR370" s="59"/>
      <c r="BS370" s="59"/>
      <c r="BT370" s="59">
        <v>398107.17099999997</v>
      </c>
      <c r="BU370" s="59">
        <v>14.525499999999999</v>
      </c>
      <c r="BV370" s="59">
        <v>-214.58500000000001</v>
      </c>
      <c r="BW370" s="61"/>
      <c r="BY370" s="59"/>
      <c r="BZ370" s="59"/>
      <c r="CA370" s="59"/>
      <c r="CC370" s="59"/>
    </row>
    <row r="371" spans="1:81" x14ac:dyDescent="0.25">
      <c r="A371">
        <f t="shared" si="319"/>
        <v>785000</v>
      </c>
      <c r="B371">
        <f t="shared" si="295"/>
        <v>785</v>
      </c>
      <c r="C371">
        <f t="shared" si="264"/>
        <v>6.5869863397161206</v>
      </c>
      <c r="D371">
        <f t="shared" si="265"/>
        <v>1.4183925390116872</v>
      </c>
      <c r="F371">
        <f t="shared" si="266"/>
        <v>4.1594192566029876E-5</v>
      </c>
      <c r="G371">
        <f t="shared" si="267"/>
        <v>2.1939286869992565E-3</v>
      </c>
      <c r="H371">
        <f t="shared" si="268"/>
        <v>-3.1393987213130008</v>
      </c>
      <c r="J371">
        <f t="shared" si="269"/>
        <v>15</v>
      </c>
      <c r="M371">
        <f t="shared" si="270"/>
        <v>1.6206646735987657E-3</v>
      </c>
      <c r="N371">
        <f t="shared" si="271"/>
        <v>-1.5707963250000001</v>
      </c>
      <c r="O371">
        <f t="shared" si="272"/>
        <v>228.07176559646371</v>
      </c>
      <c r="P371">
        <f t="shared" si="273"/>
        <v>1.5664117279318599</v>
      </c>
      <c r="Q371">
        <f t="shared" si="274"/>
        <v>201.3981750625824</v>
      </c>
      <c r="R371">
        <f t="shared" si="275"/>
        <v>1.5658310181035469</v>
      </c>
      <c r="S371">
        <f t="shared" si="276"/>
        <v>0.16238175254003892</v>
      </c>
      <c r="T371">
        <f t="shared" si="277"/>
        <v>-1.4076923624084328</v>
      </c>
      <c r="U371">
        <f t="shared" si="278"/>
        <v>0.19908757756869366</v>
      </c>
      <c r="V371">
        <f t="shared" si="279"/>
        <v>-1.3703695548918127</v>
      </c>
      <c r="X371">
        <f t="shared" si="296"/>
        <v>-40.09575344362883</v>
      </c>
      <c r="Y371">
        <f t="shared" si="280"/>
        <v>-168.31332418030306</v>
      </c>
      <c r="Z371">
        <f t="shared" si="297"/>
        <v>11.686675819696944</v>
      </c>
      <c r="AC371">
        <v>1</v>
      </c>
      <c r="AD371">
        <f t="shared" si="281"/>
        <v>228.06957329352002</v>
      </c>
      <c r="AE371">
        <f t="shared" si="282"/>
        <v>-0.16873614920725008</v>
      </c>
      <c r="AF371">
        <f t="shared" si="283"/>
        <v>3.4279488200475002E-2</v>
      </c>
      <c r="AG371">
        <f t="shared" si="315"/>
        <v>258.01529621224148</v>
      </c>
      <c r="AH371">
        <f t="shared" si="316"/>
        <v>-1299.2173995994631</v>
      </c>
      <c r="AJ371">
        <f t="shared" si="284"/>
        <v>18000</v>
      </c>
      <c r="AK371">
        <f t="shared" si="285"/>
        <v>109378.695012048</v>
      </c>
      <c r="AL371">
        <v>1</v>
      </c>
      <c r="AM371">
        <f t="shared" si="286"/>
        <v>201.39569240313602</v>
      </c>
      <c r="AN371">
        <f t="shared" si="317"/>
        <v>543.53383213598408</v>
      </c>
      <c r="AO371">
        <f t="shared" si="318"/>
        <v>-86.677455508438641</v>
      </c>
      <c r="AQ371">
        <f t="shared" si="287"/>
        <v>4.056958068498491E-3</v>
      </c>
      <c r="AR371">
        <f t="shared" si="288"/>
        <v>-6.3694241675426317</v>
      </c>
      <c r="AT371">
        <f t="shared" si="313"/>
        <v>-8274.21994666295</v>
      </c>
      <c r="AU371">
        <f t="shared" si="314"/>
        <v>-1648.6797338019605</v>
      </c>
      <c r="AV371">
        <f t="shared" si="302"/>
        <v>-2.9449135379607219</v>
      </c>
      <c r="AW371">
        <f t="shared" si="303"/>
        <v>259.91852663319639</v>
      </c>
      <c r="AX371">
        <f t="shared" si="304"/>
        <v>-5065.7919935945129</v>
      </c>
      <c r="AY371">
        <f t="shared" si="312"/>
        <v>-1.5195327135104857</v>
      </c>
      <c r="BA371">
        <f t="shared" si="289"/>
        <v>1.6632723195605161</v>
      </c>
      <c r="BB371">
        <f t="shared" si="305"/>
        <v>4.4192671996674111</v>
      </c>
      <c r="BC371">
        <f t="shared" si="306"/>
        <v>-1.4253808244502362</v>
      </c>
      <c r="BD371">
        <f t="shared" si="290"/>
        <v>-261.66830553319585</v>
      </c>
      <c r="BF371">
        <f t="shared" si="291"/>
        <v>-43.304518401169886</v>
      </c>
      <c r="BG371">
        <f t="shared" si="292"/>
        <v>-180.27469640765773</v>
      </c>
      <c r="BH371">
        <f t="shared" si="307"/>
        <v>-0.27469640765772851</v>
      </c>
      <c r="BI371">
        <f t="shared" si="308"/>
        <v>-0.27469640765772851</v>
      </c>
      <c r="BJ371">
        <f t="shared" si="293"/>
        <v>0</v>
      </c>
      <c r="BK371">
        <f t="shared" si="309"/>
        <v>0</v>
      </c>
      <c r="BM371">
        <f t="shared" si="310"/>
        <v>-47.723785600837296</v>
      </c>
      <c r="BN371">
        <f t="shared" si="294"/>
        <v>-98.606390874461852</v>
      </c>
      <c r="BQ371" s="56">
        <f t="shared" si="311"/>
        <v>21.321227999952548</v>
      </c>
      <c r="BR371" s="59"/>
      <c r="BS371" s="59"/>
      <c r="BT371" s="59">
        <v>407380.27799999999</v>
      </c>
      <c r="BU371" s="59">
        <v>14.4298</v>
      </c>
      <c r="BV371" s="59">
        <v>-217.34299999999999</v>
      </c>
      <c r="BW371" s="61"/>
      <c r="BY371" s="59"/>
      <c r="BZ371" s="59"/>
      <c r="CA371" s="59"/>
      <c r="CC371" s="59"/>
    </row>
    <row r="372" spans="1:81" x14ac:dyDescent="0.25">
      <c r="A372">
        <f t="shared" si="319"/>
        <v>790000</v>
      </c>
      <c r="B372">
        <f t="shared" si="295"/>
        <v>790</v>
      </c>
      <c r="C372">
        <f t="shared" si="264"/>
        <v>6.6279776853641597</v>
      </c>
      <c r="D372">
        <f t="shared" si="265"/>
        <v>1.4193423912890428</v>
      </c>
      <c r="F372">
        <f t="shared" si="266"/>
        <v>4.1069329531851089E-5</v>
      </c>
      <c r="G372">
        <f t="shared" si="267"/>
        <v>2.1800419556244235E-3</v>
      </c>
      <c r="H372">
        <f t="shared" si="268"/>
        <v>-3.1394126080443758</v>
      </c>
      <c r="J372">
        <f t="shared" si="269"/>
        <v>15</v>
      </c>
      <c r="M372">
        <f t="shared" si="270"/>
        <v>1.6104073022468746E-3</v>
      </c>
      <c r="N372">
        <f t="shared" si="271"/>
        <v>-1.5707963250000001</v>
      </c>
      <c r="O372">
        <f t="shared" si="272"/>
        <v>229.52442416262073</v>
      </c>
      <c r="P372">
        <f t="shared" si="273"/>
        <v>1.5664394782052808</v>
      </c>
      <c r="Q372">
        <f t="shared" si="274"/>
        <v>202.68093446058776</v>
      </c>
      <c r="R372">
        <f t="shared" si="275"/>
        <v>1.5658624435962945</v>
      </c>
      <c r="S372">
        <f t="shared" si="276"/>
        <v>0.16138086898442308</v>
      </c>
      <c r="T372">
        <f t="shared" si="277"/>
        <v>-1.4087066238801937</v>
      </c>
      <c r="U372">
        <f t="shared" si="278"/>
        <v>0.19787701811928887</v>
      </c>
      <c r="V372">
        <f t="shared" si="279"/>
        <v>-1.3716046880531412</v>
      </c>
      <c r="X372">
        <f t="shared" si="296"/>
        <v>-40.203702959058859</v>
      </c>
      <c r="Y372">
        <f t="shared" si="280"/>
        <v>-168.38518760211534</v>
      </c>
      <c r="Z372">
        <f t="shared" si="297"/>
        <v>11.614812397884663</v>
      </c>
      <c r="AC372">
        <v>1</v>
      </c>
      <c r="AD372">
        <f t="shared" si="281"/>
        <v>229.52224573487999</v>
      </c>
      <c r="AE372">
        <f t="shared" si="282"/>
        <v>-0.17089249985028973</v>
      </c>
      <c r="AF372">
        <f t="shared" si="283"/>
        <v>3.4497828889650001E-2</v>
      </c>
      <c r="AG372">
        <f t="shared" si="315"/>
        <v>254.88709250885276</v>
      </c>
      <c r="AH372">
        <f t="shared" si="316"/>
        <v>-1291.6259907526594</v>
      </c>
      <c r="AJ372">
        <f t="shared" si="284"/>
        <v>18000</v>
      </c>
      <c r="AK372">
        <f t="shared" si="285"/>
        <v>110075.37459811199</v>
      </c>
      <c r="AL372">
        <v>1</v>
      </c>
      <c r="AM372">
        <f t="shared" si="286"/>
        <v>202.67846751398403</v>
      </c>
      <c r="AN372">
        <f t="shared" si="317"/>
        <v>543.52840161139932</v>
      </c>
      <c r="AO372">
        <f t="shared" si="318"/>
        <v>-86.128890811670331</v>
      </c>
      <c r="AQ372">
        <f t="shared" si="287"/>
        <v>4.0057667017438306E-3</v>
      </c>
      <c r="AR372">
        <f t="shared" si="288"/>
        <v>-6.3291113887552521</v>
      </c>
      <c r="AT372">
        <f t="shared" si="313"/>
        <v>-8173.8237498570661</v>
      </c>
      <c r="AU372">
        <f t="shared" si="314"/>
        <v>-1618.3827524293574</v>
      </c>
      <c r="AV372">
        <f t="shared" si="302"/>
        <v>-2.9461249521297579</v>
      </c>
      <c r="AW372">
        <f t="shared" si="303"/>
        <v>263.62311073361127</v>
      </c>
      <c r="AX372">
        <f t="shared" si="304"/>
        <v>-5034.3427167392492</v>
      </c>
      <c r="AY372">
        <f t="shared" si="312"/>
        <v>-1.5184791600959184</v>
      </c>
      <c r="BA372">
        <f t="shared" si="289"/>
        <v>1.6528670683011883</v>
      </c>
      <c r="BB372">
        <f t="shared" si="305"/>
        <v>4.36475853755445</v>
      </c>
      <c r="BC372">
        <f t="shared" si="306"/>
        <v>-1.4276457920338395</v>
      </c>
      <c r="BD372">
        <f t="shared" si="290"/>
        <v>-261.79807861661857</v>
      </c>
      <c r="BF372">
        <f t="shared" si="291"/>
        <v>-43.415443270731167</v>
      </c>
      <c r="BG372">
        <f t="shared" si="292"/>
        <v>-180.35084261546479</v>
      </c>
      <c r="BH372">
        <f t="shared" si="307"/>
        <v>-0.35084261546478501</v>
      </c>
      <c r="BI372">
        <f t="shared" si="308"/>
        <v>-0.35084261546478501</v>
      </c>
      <c r="BJ372">
        <f t="shared" si="293"/>
        <v>0</v>
      </c>
      <c r="BK372">
        <f t="shared" si="309"/>
        <v>0</v>
      </c>
      <c r="BM372">
        <f t="shared" si="310"/>
        <v>-47.780201808285625</v>
      </c>
      <c r="BN372">
        <f t="shared" si="294"/>
        <v>-98.552763998846231</v>
      </c>
      <c r="BQ372" s="56">
        <f t="shared" si="311"/>
        <v>21.266719337839586</v>
      </c>
      <c r="BR372" s="59"/>
      <c r="BS372" s="59"/>
      <c r="BT372" s="59">
        <v>416869.38299999997</v>
      </c>
      <c r="BU372" s="59">
        <v>14.126799999999999</v>
      </c>
      <c r="BV372" s="59">
        <v>-219.017</v>
      </c>
      <c r="BW372" s="61"/>
      <c r="BY372" s="59"/>
      <c r="BZ372" s="59"/>
      <c r="CA372" s="59"/>
      <c r="CC372" s="59"/>
    </row>
    <row r="373" spans="1:81" x14ac:dyDescent="0.25">
      <c r="A373">
        <f t="shared" si="319"/>
        <v>795000</v>
      </c>
      <c r="B373">
        <f t="shared" si="295"/>
        <v>795</v>
      </c>
      <c r="C373">
        <f t="shared" si="264"/>
        <v>6.6689749373871203</v>
      </c>
      <c r="D373">
        <f t="shared" si="265"/>
        <v>1.4202805660477489</v>
      </c>
      <c r="F373">
        <f t="shared" si="266"/>
        <v>4.0554338906743813E-5</v>
      </c>
      <c r="G373">
        <f t="shared" si="267"/>
        <v>2.1663299208028409E-3</v>
      </c>
      <c r="H373">
        <f t="shared" si="268"/>
        <v>-3.1394263200791972</v>
      </c>
      <c r="J373">
        <f t="shared" si="269"/>
        <v>15</v>
      </c>
      <c r="M373">
        <f t="shared" si="270"/>
        <v>1.6002789544340014E-3</v>
      </c>
      <c r="N373">
        <f t="shared" si="271"/>
        <v>-1.5707963250000001</v>
      </c>
      <c r="O373">
        <f t="shared" si="272"/>
        <v>230.97708290330613</v>
      </c>
      <c r="P373">
        <f t="shared" si="273"/>
        <v>1.5664668794252432</v>
      </c>
      <c r="Q373">
        <f t="shared" si="274"/>
        <v>203.96369405623543</v>
      </c>
      <c r="R373">
        <f t="shared" si="275"/>
        <v>1.5658934738093873</v>
      </c>
      <c r="S373">
        <f t="shared" si="276"/>
        <v>0.16039208629335344</v>
      </c>
      <c r="T373">
        <f t="shared" si="277"/>
        <v>-1.4097084575855126</v>
      </c>
      <c r="U373">
        <f t="shared" si="278"/>
        <v>0.19668079677033931</v>
      </c>
      <c r="V373">
        <f t="shared" si="279"/>
        <v>-1.3728248896135291</v>
      </c>
      <c r="X373">
        <f t="shared" si="296"/>
        <v>-40.31099957995697</v>
      </c>
      <c r="Y373">
        <f t="shared" si="280"/>
        <v>-168.45618515794996</v>
      </c>
      <c r="Z373">
        <f t="shared" si="297"/>
        <v>11.54381484205004</v>
      </c>
      <c r="AC373">
        <v>1</v>
      </c>
      <c r="AD373">
        <f t="shared" si="281"/>
        <v>230.97491817623998</v>
      </c>
      <c r="AE373">
        <f t="shared" si="282"/>
        <v>-0.17306254160852325</v>
      </c>
      <c r="AF373">
        <f t="shared" si="283"/>
        <v>3.4716169578825E-2</v>
      </c>
      <c r="AG373">
        <f t="shared" si="315"/>
        <v>251.8146813931607</v>
      </c>
      <c r="AH373">
        <f t="shared" si="316"/>
        <v>-1284.1188793890474</v>
      </c>
      <c r="AJ373">
        <f t="shared" si="284"/>
        <v>18000</v>
      </c>
      <c r="AK373">
        <f t="shared" si="285"/>
        <v>110772.054184176</v>
      </c>
      <c r="AL373">
        <v>1</v>
      </c>
      <c r="AM373">
        <f t="shared" si="286"/>
        <v>203.96124262483198</v>
      </c>
      <c r="AN373">
        <f t="shared" si="317"/>
        <v>543.5230732237078</v>
      </c>
      <c r="AO373">
        <f t="shared" si="318"/>
        <v>-85.587225799000848</v>
      </c>
      <c r="AQ373">
        <f t="shared" si="287"/>
        <v>3.9555381687677825E-3</v>
      </c>
      <c r="AR373">
        <f t="shared" si="288"/>
        <v>-6.2893056883407743</v>
      </c>
      <c r="AT373">
        <f t="shared" si="313"/>
        <v>-8075.2201100636094</v>
      </c>
      <c r="AU373">
        <f t="shared" si="314"/>
        <v>-1588.818889334384</v>
      </c>
      <c r="AV373">
        <f t="shared" si="302"/>
        <v>-2.9473217330433941</v>
      </c>
      <c r="AW373">
        <f t="shared" si="303"/>
        <v>267.2548814249613</v>
      </c>
      <c r="AX373">
        <f t="shared" si="304"/>
        <v>-5003.2782067534381</v>
      </c>
      <c r="AY373">
        <f t="shared" si="312"/>
        <v>-1.5174310886992968</v>
      </c>
      <c r="BA373">
        <f t="shared" si="289"/>
        <v>1.642587415361489</v>
      </c>
      <c r="BB373">
        <f t="shared" si="305"/>
        <v>4.3105698233751726</v>
      </c>
      <c r="BC373">
        <f t="shared" si="306"/>
        <v>-1.4298906443440973</v>
      </c>
      <c r="BD373">
        <f t="shared" si="290"/>
        <v>-261.92669917977349</v>
      </c>
      <c r="BF373">
        <f t="shared" si="291"/>
        <v>-43.525676765868852</v>
      </c>
      <c r="BG373">
        <f t="shared" si="292"/>
        <v>-180.42649536616344</v>
      </c>
      <c r="BH373">
        <f t="shared" si="307"/>
        <v>-0.42649536616343653</v>
      </c>
      <c r="BI373">
        <f t="shared" si="308"/>
        <v>-0.42649536616343653</v>
      </c>
      <c r="BJ373">
        <f t="shared" si="293"/>
        <v>0</v>
      </c>
      <c r="BK373">
        <f t="shared" si="309"/>
        <v>0</v>
      </c>
      <c r="BM373">
        <f t="shared" si="310"/>
        <v>-47.83624658924402</v>
      </c>
      <c r="BN373">
        <f t="shared" si="294"/>
        <v>-98.499796186389943</v>
      </c>
      <c r="BQ373" s="56">
        <f t="shared" si="311"/>
        <v>21.212530623660307</v>
      </c>
      <c r="BR373" s="59"/>
      <c r="BS373" s="59"/>
      <c r="BT373" s="59">
        <v>426579.51899999997</v>
      </c>
      <c r="BU373" s="59">
        <v>14.106299999999999</v>
      </c>
      <c r="BV373" s="59">
        <v>-221.39400000000001</v>
      </c>
      <c r="BW373" s="61"/>
      <c r="BY373" s="59"/>
      <c r="BZ373" s="59"/>
      <c r="CA373" s="59"/>
      <c r="CC373" s="59"/>
    </row>
    <row r="374" spans="1:81" x14ac:dyDescent="0.25">
      <c r="A374">
        <f t="shared" si="319"/>
        <v>800000</v>
      </c>
      <c r="B374">
        <f t="shared" si="295"/>
        <v>800</v>
      </c>
      <c r="C374">
        <f t="shared" si="264"/>
        <v>6.7099779875230343</v>
      </c>
      <c r="D374">
        <f t="shared" si="265"/>
        <v>1.421207275696436</v>
      </c>
      <c r="F374">
        <f t="shared" si="266"/>
        <v>4.0048974637722904E-5</v>
      </c>
      <c r="G374">
        <f t="shared" si="267"/>
        <v>2.1527893064617739E-3</v>
      </c>
      <c r="H374">
        <f t="shared" si="268"/>
        <v>-3.1394398606935385</v>
      </c>
      <c r="J374">
        <f t="shared" si="269"/>
        <v>15</v>
      </c>
      <c r="M374">
        <f t="shared" si="270"/>
        <v>1.5902772109687886E-3</v>
      </c>
      <c r="N374">
        <f t="shared" si="271"/>
        <v>-1.5707963250000001</v>
      </c>
      <c r="O374">
        <f t="shared" si="272"/>
        <v>232.42974181524758</v>
      </c>
      <c r="P374">
        <f t="shared" si="273"/>
        <v>1.5664939381363363</v>
      </c>
      <c r="Q374">
        <f t="shared" si="274"/>
        <v>205.24645384581956</v>
      </c>
      <c r="R374">
        <f t="shared" si="275"/>
        <v>1.5659241161540822</v>
      </c>
      <c r="S374">
        <f t="shared" si="276"/>
        <v>0.15941518929583115</v>
      </c>
      <c r="T374">
        <f t="shared" si="277"/>
        <v>-1.4106980885754468</v>
      </c>
      <c r="U374">
        <f t="shared" si="278"/>
        <v>0.19549866564246851</v>
      </c>
      <c r="V374">
        <f t="shared" si="279"/>
        <v>-1.3740304251412199</v>
      </c>
      <c r="X374">
        <f t="shared" si="296"/>
        <v>-40.417650995742761</v>
      </c>
      <c r="Y374">
        <f t="shared" si="280"/>
        <v>-168.52633217619828</v>
      </c>
      <c r="Z374">
        <f t="shared" si="297"/>
        <v>11.473667823801719</v>
      </c>
      <c r="AC374">
        <v>1</v>
      </c>
      <c r="AD374">
        <f t="shared" si="281"/>
        <v>232.4275906176</v>
      </c>
      <c r="AE374">
        <f t="shared" si="282"/>
        <v>-0.17524627448195068</v>
      </c>
      <c r="AF374">
        <f t="shared" si="283"/>
        <v>3.4934510267999999E-2</v>
      </c>
      <c r="AG374">
        <f t="shared" si="315"/>
        <v>248.79676204667007</v>
      </c>
      <c r="AH374">
        <f t="shared" si="316"/>
        <v>-1276.6947442427879</v>
      </c>
      <c r="AJ374">
        <f t="shared" si="284"/>
        <v>18000</v>
      </c>
      <c r="AK374">
        <f t="shared" si="285"/>
        <v>111468.73377024</v>
      </c>
      <c r="AL374">
        <v>1</v>
      </c>
      <c r="AM374">
        <f t="shared" si="286"/>
        <v>205.24401773567999</v>
      </c>
      <c r="AN374">
        <f t="shared" si="317"/>
        <v>543.51784442758481</v>
      </c>
      <c r="AO374">
        <f t="shared" si="318"/>
        <v>-85.052331113754803</v>
      </c>
      <c r="AQ374">
        <f t="shared" si="287"/>
        <v>3.90624847412169E-3</v>
      </c>
      <c r="AR374">
        <f t="shared" si="288"/>
        <v>-6.2499975585947034</v>
      </c>
      <c r="AT374">
        <f t="shared" si="313"/>
        <v>-7978.3671726160019</v>
      </c>
      <c r="AU374">
        <f t="shared" si="314"/>
        <v>-1559.9662422745728</v>
      </c>
      <c r="AV374">
        <f t="shared" si="302"/>
        <v>-2.9485041406760568</v>
      </c>
      <c r="AW374">
        <f t="shared" si="303"/>
        <v>270.81574565160884</v>
      </c>
      <c r="AX374">
        <f t="shared" si="304"/>
        <v>-4972.5914988330505</v>
      </c>
      <c r="AY374">
        <f t="shared" si="312"/>
        <v>-1.5163883852086741</v>
      </c>
      <c r="BA374">
        <f t="shared" si="289"/>
        <v>1.6324311197414696</v>
      </c>
      <c r="BB374">
        <f t="shared" si="305"/>
        <v>4.256697306479154</v>
      </c>
      <c r="BC374">
        <f t="shared" si="306"/>
        <v>-1.4321157554673827</v>
      </c>
      <c r="BD374">
        <f t="shared" si="290"/>
        <v>-262.05418865623108</v>
      </c>
      <c r="BF374">
        <f t="shared" si="291"/>
        <v>-43.635227574612088</v>
      </c>
      <c r="BG374">
        <f t="shared" si="292"/>
        <v>-180.50166411091115</v>
      </c>
      <c r="BH374">
        <f t="shared" si="307"/>
        <v>-0.50166411091115037</v>
      </c>
      <c r="BI374">
        <f t="shared" si="308"/>
        <v>-0.50166411091115037</v>
      </c>
      <c r="BJ374">
        <f t="shared" si="293"/>
        <v>0</v>
      </c>
      <c r="BK374">
        <f t="shared" si="309"/>
        <v>0</v>
      </c>
      <c r="BM374">
        <f t="shared" si="310"/>
        <v>-47.891924881091242</v>
      </c>
      <c r="BN374">
        <f t="shared" si="294"/>
        <v>-98.447475454680102</v>
      </c>
      <c r="BQ374" s="56">
        <f t="shared" si="311"/>
        <v>21.158658106764289</v>
      </c>
      <c r="BR374" s="59"/>
      <c r="BS374" s="59"/>
      <c r="BT374" s="59">
        <v>436515.83199999999</v>
      </c>
      <c r="BU374" s="59">
        <v>13.8226</v>
      </c>
      <c r="BV374" s="59">
        <v>-223.214</v>
      </c>
      <c r="BW374" s="61"/>
      <c r="BY374" s="59"/>
      <c r="BZ374" s="59"/>
      <c r="CA374" s="59"/>
      <c r="CC374" s="59"/>
    </row>
    <row r="375" spans="1:81" x14ac:dyDescent="0.25">
      <c r="A375">
        <f t="shared" si="319"/>
        <v>805000</v>
      </c>
      <c r="B375">
        <f t="shared" si="295"/>
        <v>805</v>
      </c>
      <c r="C375">
        <f t="shared" si="264"/>
        <v>6.7509867301249846</v>
      </c>
      <c r="D375">
        <f t="shared" si="265"/>
        <v>1.422122727562515</v>
      </c>
      <c r="F375">
        <f t="shared" si="266"/>
        <v>3.9552998289971077E-5</v>
      </c>
      <c r="G375">
        <f t="shared" si="267"/>
        <v>2.1394169179373619E-3</v>
      </c>
      <c r="H375">
        <f t="shared" si="268"/>
        <v>-3.139453233082063</v>
      </c>
      <c r="J375">
        <f t="shared" si="269"/>
        <v>15</v>
      </c>
      <c r="M375">
        <f t="shared" si="270"/>
        <v>1.5803997127640137E-3</v>
      </c>
      <c r="N375">
        <f t="shared" si="271"/>
        <v>-1.5707963250000001</v>
      </c>
      <c r="O375">
        <f t="shared" si="272"/>
        <v>233.88240089525405</v>
      </c>
      <c r="P375">
        <f t="shared" si="273"/>
        <v>1.5665206607205557</v>
      </c>
      <c r="Q375">
        <f t="shared" si="274"/>
        <v>206.5292138257266</v>
      </c>
      <c r="R375">
        <f t="shared" si="275"/>
        <v>1.5659543778575125</v>
      </c>
      <c r="S375">
        <f t="shared" si="276"/>
        <v>0.15844996781986523</v>
      </c>
      <c r="T375">
        <f t="shared" si="277"/>
        <v>-1.4116757365474655</v>
      </c>
      <c r="U375">
        <f t="shared" si="278"/>
        <v>0.1943303824069198</v>
      </c>
      <c r="V375">
        <f t="shared" si="279"/>
        <v>-1.3752215540292456</v>
      </c>
      <c r="X375">
        <f t="shared" si="296"/>
        <v>-40.52366476358155</v>
      </c>
      <c r="Y375">
        <f t="shared" si="280"/>
        <v>-168.59564363103354</v>
      </c>
      <c r="Z375">
        <f t="shared" si="297"/>
        <v>11.404356368966461</v>
      </c>
      <c r="AC375">
        <v>1</v>
      </c>
      <c r="AD375">
        <f t="shared" si="281"/>
        <v>233.88026305896</v>
      </c>
      <c r="AE375">
        <f t="shared" si="282"/>
        <v>-0.17744369847057204</v>
      </c>
      <c r="AF375">
        <f t="shared" si="283"/>
        <v>3.5152850957174998E-2</v>
      </c>
      <c r="AG375">
        <f t="shared" si="315"/>
        <v>245.83207080021106</v>
      </c>
      <c r="AH375">
        <f t="shared" si="316"/>
        <v>-1269.3522895149808</v>
      </c>
      <c r="AJ375">
        <f t="shared" si="284"/>
        <v>18000</v>
      </c>
      <c r="AK375">
        <f t="shared" si="285"/>
        <v>112165.41335630398</v>
      </c>
      <c r="AL375">
        <v>1</v>
      </c>
      <c r="AM375">
        <f t="shared" si="286"/>
        <v>206.526792846528</v>
      </c>
      <c r="AN375">
        <f t="shared" si="317"/>
        <v>543.51271275650254</v>
      </c>
      <c r="AO375">
        <f t="shared" si="318"/>
        <v>-84.52408061270566</v>
      </c>
      <c r="AQ375">
        <f t="shared" si="287"/>
        <v>3.8578743652349966E-3</v>
      </c>
      <c r="AR375">
        <f t="shared" si="288"/>
        <v>-6.2111777280283444</v>
      </c>
      <c r="AT375">
        <f t="shared" si="313"/>
        <v>-7883.2242804131429</v>
      </c>
      <c r="AU375">
        <f t="shared" si="314"/>
        <v>-1531.8036846475302</v>
      </c>
      <c r="AV375">
        <f t="shared" si="302"/>
        <v>-2.949672428965934</v>
      </c>
      <c r="AW375">
        <f t="shared" si="303"/>
        <v>274.30754810449196</v>
      </c>
      <c r="AX375">
        <f t="shared" si="304"/>
        <v>-4942.275794172213</v>
      </c>
      <c r="AY375">
        <f t="shared" si="312"/>
        <v>-1.5153509387548429</v>
      </c>
      <c r="BA375">
        <f t="shared" si="289"/>
        <v>1.6223959926057869</v>
      </c>
      <c r="BB375">
        <f t="shared" si="305"/>
        <v>4.2031372985364497</v>
      </c>
      <c r="BC375">
        <f t="shared" si="306"/>
        <v>-1.434321490211091</v>
      </c>
      <c r="BD375">
        <f t="shared" si="290"/>
        <v>-262.18056794791534</v>
      </c>
      <c r="BF375">
        <f t="shared" si="291"/>
        <v>-43.744104223724847</v>
      </c>
      <c r="BG375">
        <f t="shared" si="292"/>
        <v>-180.57635805568711</v>
      </c>
      <c r="BH375">
        <f t="shared" si="307"/>
        <v>-0.57635805568710907</v>
      </c>
      <c r="BI375">
        <f t="shared" si="308"/>
        <v>-0.57635805568710907</v>
      </c>
      <c r="BJ375">
        <f t="shared" si="293"/>
        <v>0</v>
      </c>
      <c r="BK375">
        <f t="shared" si="309"/>
        <v>0</v>
      </c>
      <c r="BM375">
        <f t="shared" si="310"/>
        <v>-47.947241522261294</v>
      </c>
      <c r="BN375">
        <f t="shared" si="294"/>
        <v>-98.395790107771802</v>
      </c>
      <c r="BQ375" s="56">
        <f t="shared" si="311"/>
        <v>21.105098098821585</v>
      </c>
      <c r="BR375" s="59"/>
      <c r="BS375" s="59"/>
      <c r="BT375" s="59">
        <v>446683.592</v>
      </c>
      <c r="BU375" s="59">
        <v>13.599500000000001</v>
      </c>
      <c r="BV375" s="59">
        <v>-225.053</v>
      </c>
      <c r="BW375" s="61"/>
      <c r="BY375" s="59"/>
      <c r="BZ375" s="59"/>
      <c r="CA375" s="59"/>
      <c r="CC375" s="59"/>
    </row>
    <row r="376" spans="1:81" x14ac:dyDescent="0.25">
      <c r="A376">
        <f t="shared" si="319"/>
        <v>810000</v>
      </c>
      <c r="B376">
        <f t="shared" si="295"/>
        <v>810</v>
      </c>
      <c r="C376">
        <f t="shared" si="264"/>
        <v>6.7920010620830613</v>
      </c>
      <c r="D376">
        <f t="shared" si="265"/>
        <v>1.4230271240420331</v>
      </c>
      <c r="F376">
        <f t="shared" si="266"/>
        <v>3.9066178765534353E-5</v>
      </c>
      <c r="G376">
        <f t="shared" si="267"/>
        <v>2.1262096394614239E-3</v>
      </c>
      <c r="H376">
        <f t="shared" si="268"/>
        <v>-3.1394664403605388</v>
      </c>
      <c r="J376">
        <f t="shared" si="269"/>
        <v>15</v>
      </c>
      <c r="M376">
        <f t="shared" si="270"/>
        <v>1.5706441589815197E-3</v>
      </c>
      <c r="N376">
        <f t="shared" si="271"/>
        <v>-1.5707963250000001</v>
      </c>
      <c r="O376">
        <f t="shared" si="272"/>
        <v>235.33506014021322</v>
      </c>
      <c r="P376">
        <f t="shared" si="273"/>
        <v>1.566547053402322</v>
      </c>
      <c r="Q376">
        <f t="shared" si="274"/>
        <v>207.81197399243214</v>
      </c>
      <c r="R376">
        <f t="shared" si="275"/>
        <v>1.5659842659683707</v>
      </c>
      <c r="S376">
        <f t="shared" si="276"/>
        <v>0.15749621655034651</v>
      </c>
      <c r="T376">
        <f t="shared" si="277"/>
        <v>-1.4126416160022666</v>
      </c>
      <c r="U376">
        <f t="shared" si="278"/>
        <v>0.19317571013505605</v>
      </c>
      <c r="V376">
        <f t="shared" si="279"/>
        <v>-1.3763985296713315</v>
      </c>
      <c r="X376">
        <f t="shared" si="296"/>
        <v>-40.629048311336049</v>
      </c>
      <c r="Y376">
        <f t="shared" si="280"/>
        <v>-168.66413415241914</v>
      </c>
      <c r="Z376">
        <f t="shared" si="297"/>
        <v>11.335865847580862</v>
      </c>
      <c r="AC376">
        <v>1</v>
      </c>
      <c r="AD376">
        <f t="shared" si="281"/>
        <v>235.33293550032002</v>
      </c>
      <c r="AE376">
        <f t="shared" si="282"/>
        <v>-0.17965481357438726</v>
      </c>
      <c r="AF376">
        <f t="shared" si="283"/>
        <v>3.5371191646349998E-2</v>
      </c>
      <c r="AG376">
        <f t="shared" si="315"/>
        <v>242.91937988749137</v>
      </c>
      <c r="AH376">
        <f t="shared" si="316"/>
        <v>-1262.0902443330504</v>
      </c>
      <c r="AJ376">
        <f t="shared" si="284"/>
        <v>18000</v>
      </c>
      <c r="AK376">
        <f t="shared" si="285"/>
        <v>112862.09294236799</v>
      </c>
      <c r="AL376">
        <v>1</v>
      </c>
      <c r="AM376">
        <f t="shared" si="286"/>
        <v>207.80956795737603</v>
      </c>
      <c r="AN376">
        <f t="shared" si="317"/>
        <v>543.50767581982245</v>
      </c>
      <c r="AO376">
        <f t="shared" si="318"/>
        <v>-84.002351266909372</v>
      </c>
      <c r="AQ376">
        <f t="shared" si="287"/>
        <v>3.8103933049865473E-3</v>
      </c>
      <c r="AR376">
        <f t="shared" si="288"/>
        <v>-6.1728371540782065</v>
      </c>
      <c r="AT376">
        <f t="shared" si="313"/>
        <v>-7789.75193363992</v>
      </c>
      <c r="AU376">
        <f t="shared" si="314"/>
        <v>-1504.3108338324403</v>
      </c>
      <c r="AV376">
        <f t="shared" si="302"/>
        <v>-2.9508268459865885</v>
      </c>
      <c r="AW376">
        <f t="shared" si="303"/>
        <v>277.73207364857137</v>
      </c>
      <c r="AX376">
        <f t="shared" si="304"/>
        <v>-4912.3244550727386</v>
      </c>
      <c r="AY376">
        <f t="shared" si="312"/>
        <v>-1.5143186415979606</v>
      </c>
      <c r="BA376">
        <f t="shared" si="289"/>
        <v>1.6124798958034743</v>
      </c>
      <c r="BB376">
        <f t="shared" si="305"/>
        <v>4.1498861722416933</v>
      </c>
      <c r="BC376">
        <f t="shared" si="306"/>
        <v>-1.4365082043886279</v>
      </c>
      <c r="BD376">
        <f t="shared" si="290"/>
        <v>-262.30585744143275</v>
      </c>
      <c r="BF376">
        <f t="shared" si="291"/>
        <v>-43.852315082647493</v>
      </c>
      <c r="BG376">
        <f t="shared" si="292"/>
        <v>-180.65058616917887</v>
      </c>
      <c r="BH376">
        <f t="shared" si="307"/>
        <v>-0.65058616917886525</v>
      </c>
      <c r="BI376">
        <f t="shared" si="308"/>
        <v>-0.65058616917886525</v>
      </c>
      <c r="BJ376">
        <f t="shared" si="293"/>
        <v>0</v>
      </c>
      <c r="BK376">
        <f t="shared" si="309"/>
        <v>0</v>
      </c>
      <c r="BM376">
        <f t="shared" si="310"/>
        <v>-48.002201254889187</v>
      </c>
      <c r="BN376">
        <f t="shared" si="294"/>
        <v>-98.344728727746102</v>
      </c>
      <c r="BQ376" s="56">
        <f t="shared" si="311"/>
        <v>21.051846972526832</v>
      </c>
      <c r="BR376" s="59"/>
      <c r="BS376" s="59"/>
      <c r="BT376" s="59">
        <v>457088.19</v>
      </c>
      <c r="BU376" s="59">
        <v>13.3674</v>
      </c>
      <c r="BV376" s="59">
        <v>-226.50200000000001</v>
      </c>
      <c r="BW376" s="61"/>
      <c r="BY376" s="59"/>
      <c r="BZ376" s="59"/>
      <c r="CA376" s="59"/>
      <c r="CC376" s="59"/>
    </row>
    <row r="377" spans="1:81" x14ac:dyDescent="0.25">
      <c r="A377">
        <f t="shared" si="319"/>
        <v>815000</v>
      </c>
      <c r="B377">
        <f t="shared" si="295"/>
        <v>815</v>
      </c>
      <c r="C377">
        <f t="shared" si="264"/>
        <v>6.8330208827490821</v>
      </c>
      <c r="D377">
        <f t="shared" si="265"/>
        <v>1.4239206627442997</v>
      </c>
      <c r="F377">
        <f t="shared" si="266"/>
        <v>3.8588292034062152E-5</v>
      </c>
      <c r="G377">
        <f t="shared" si="267"/>
        <v>2.1131644317407931E-3</v>
      </c>
      <c r="H377">
        <f t="shared" si="268"/>
        <v>-3.1394794855682595</v>
      </c>
      <c r="J377">
        <f t="shared" si="269"/>
        <v>15</v>
      </c>
      <c r="M377">
        <f t="shared" si="270"/>
        <v>1.5610083052454368E-3</v>
      </c>
      <c r="N377">
        <f t="shared" si="271"/>
        <v>-1.5707963250000001</v>
      </c>
      <c r="O377">
        <f t="shared" si="272"/>
        <v>236.78771954708921</v>
      </c>
      <c r="P377">
        <f t="shared" si="273"/>
        <v>1.5665731222533139</v>
      </c>
      <c r="Q377">
        <f t="shared" si="274"/>
        <v>209.09473434249821</v>
      </c>
      <c r="R377">
        <f t="shared" si="275"/>
        <v>1.5660137873623825</v>
      </c>
      <c r="S377">
        <f t="shared" si="276"/>
        <v>0.15655373489166199</v>
      </c>
      <c r="T377">
        <f t="shared" si="277"/>
        <v>-1.4135959363951669</v>
      </c>
      <c r="U377">
        <f t="shared" si="278"/>
        <v>0.19203441715258115</v>
      </c>
      <c r="V377">
        <f t="shared" si="279"/>
        <v>-1.3775615996319086</v>
      </c>
      <c r="X377">
        <f t="shared" si="296"/>
        <v>-40.733808940437861</v>
      </c>
      <c r="Y377">
        <f t="shared" si="280"/>
        <v>-168.73181803578541</v>
      </c>
      <c r="Z377">
        <f t="shared" si="297"/>
        <v>11.268181964214591</v>
      </c>
      <c r="AC377">
        <v>1</v>
      </c>
      <c r="AD377">
        <f t="shared" si="281"/>
        <v>236.78560794168001</v>
      </c>
      <c r="AE377">
        <f t="shared" si="282"/>
        <v>-0.1818796197933964</v>
      </c>
      <c r="AF377">
        <f t="shared" si="283"/>
        <v>3.5589532335524997E-2</v>
      </c>
      <c r="AG377">
        <f t="shared" si="315"/>
        <v>240.05749624635669</v>
      </c>
      <c r="AH377">
        <f t="shared" si="316"/>
        <v>-1254.9073622207015</v>
      </c>
      <c r="AJ377">
        <f t="shared" si="284"/>
        <v>18000</v>
      </c>
      <c r="AK377">
        <f t="shared" si="285"/>
        <v>113558.772528432</v>
      </c>
      <c r="AL377">
        <v>1</v>
      </c>
      <c r="AM377">
        <f t="shared" si="286"/>
        <v>209.09234306822398</v>
      </c>
      <c r="AN377">
        <f t="shared" si="317"/>
        <v>543.50273130000869</v>
      </c>
      <c r="AO377">
        <f t="shared" si="318"/>
        <v>-83.487023066187433</v>
      </c>
      <c r="AQ377">
        <f t="shared" si="287"/>
        <v>3.7637834454501691E-3</v>
      </c>
      <c r="AR377">
        <f t="shared" si="288"/>
        <v>-6.1349670160837757</v>
      </c>
      <c r="AT377">
        <f t="shared" si="313"/>
        <v>-7697.9117510343704</v>
      </c>
      <c r="AU377">
        <f t="shared" si="314"/>
        <v>-1477.468020990553</v>
      </c>
      <c r="AV377">
        <f t="shared" si="302"/>
        <v>-2.9519676341128411</v>
      </c>
      <c r="AW377">
        <f t="shared" si="303"/>
        <v>281.09104964052489</v>
      </c>
      <c r="AX377">
        <f t="shared" si="304"/>
        <v>-4882.7310002248796</v>
      </c>
      <c r="AY377">
        <f t="shared" si="312"/>
        <v>-1.5132913890188615</v>
      </c>
      <c r="BA377">
        <f t="shared" si="289"/>
        <v>1.6026807404366714</v>
      </c>
      <c r="BB377">
        <f t="shared" si="305"/>
        <v>4.0969403600488645</v>
      </c>
      <c r="BC377">
        <f t="shared" si="306"/>
        <v>-1.4386762450939796</v>
      </c>
      <c r="BD377">
        <f t="shared" si="290"/>
        <v>-262.43007702380396</v>
      </c>
      <c r="BF377">
        <f t="shared" si="291"/>
        <v>-43.959868367319743</v>
      </c>
      <c r="BG377">
        <f t="shared" si="292"/>
        <v>-180.72435719036619</v>
      </c>
      <c r="BH377">
        <f t="shared" si="307"/>
        <v>-0.72435719036619162</v>
      </c>
      <c r="BI377">
        <f t="shared" si="308"/>
        <v>-0.72435719036619162</v>
      </c>
      <c r="BJ377">
        <f t="shared" si="293"/>
        <v>0</v>
      </c>
      <c r="BK377">
        <f t="shared" si="309"/>
        <v>0</v>
      </c>
      <c r="BM377">
        <f t="shared" si="310"/>
        <v>-48.056808727368612</v>
      </c>
      <c r="BN377">
        <f t="shared" si="294"/>
        <v>-98.294280166562245</v>
      </c>
      <c r="BQ377" s="56">
        <f t="shared" si="311"/>
        <v>20.998901160334</v>
      </c>
      <c r="BR377" s="59"/>
      <c r="BS377" s="59"/>
      <c r="BT377" s="59">
        <v>467735.141</v>
      </c>
      <c r="BU377" s="59">
        <v>13.1959</v>
      </c>
      <c r="BV377" s="59">
        <v>131.81700000000001</v>
      </c>
      <c r="BY377" s="59"/>
      <c r="BZ377" s="59"/>
      <c r="CA377" s="59"/>
      <c r="CC377" s="59"/>
    </row>
    <row r="378" spans="1:81" x14ac:dyDescent="0.25">
      <c r="A378">
        <f t="shared" si="319"/>
        <v>820000</v>
      </c>
      <c r="B378">
        <f t="shared" si="295"/>
        <v>820</v>
      </c>
      <c r="C378">
        <f t="shared" si="264"/>
        <v>6.8740460938639707</v>
      </c>
      <c r="D378">
        <f t="shared" si="265"/>
        <v>1.4248035366314942</v>
      </c>
      <c r="F378">
        <f t="shared" si="266"/>
        <v>3.8119120875006001E-5</v>
      </c>
      <c r="G378">
        <f t="shared" si="267"/>
        <v>2.1002783296252387E-3</v>
      </c>
      <c r="H378">
        <f t="shared" si="268"/>
        <v>-3.1394923716703751</v>
      </c>
      <c r="J378">
        <f t="shared" si="269"/>
        <v>15</v>
      </c>
      <c r="M378">
        <f t="shared" si="270"/>
        <v>1.5514899619207697E-3</v>
      </c>
      <c r="N378">
        <f t="shared" si="271"/>
        <v>-1.5707963250000001</v>
      </c>
      <c r="O378">
        <f t="shared" si="272"/>
        <v>238.24037911292027</v>
      </c>
      <c r="P378">
        <f t="shared" si="273"/>
        <v>1.5665988731971243</v>
      </c>
      <c r="Q378">
        <f t="shared" si="274"/>
        <v>210.37749487257071</v>
      </c>
      <c r="R378">
        <f t="shared" si="275"/>
        <v>1.5660429487475784</v>
      </c>
      <c r="S378">
        <f t="shared" si="276"/>
        <v>0.15562232683486907</v>
      </c>
      <c r="T378">
        <f t="shared" si="277"/>
        <v>-1.4145389022822767</v>
      </c>
      <c r="U378">
        <f t="shared" si="278"/>
        <v>0.19090627689831871</v>
      </c>
      <c r="V378">
        <f t="shared" si="279"/>
        <v>-1.3787110058104675</v>
      </c>
      <c r="X378">
        <f t="shared" si="296"/>
        <v>-40.837953828681393</v>
      </c>
      <c r="Y378">
        <f t="shared" si="280"/>
        <v>-168.79870925138752</v>
      </c>
      <c r="Z378">
        <f t="shared" si="297"/>
        <v>11.201290748612479</v>
      </c>
      <c r="AC378">
        <v>1</v>
      </c>
      <c r="AD378">
        <f t="shared" si="281"/>
        <v>238.23828038303998</v>
      </c>
      <c r="AE378">
        <f t="shared" si="282"/>
        <v>-0.18411811712759946</v>
      </c>
      <c r="AF378">
        <f t="shared" si="283"/>
        <v>3.5807873024699996E-2</v>
      </c>
      <c r="AG378">
        <f t="shared" si="315"/>
        <v>237.24526036572252</v>
      </c>
      <c r="AH378">
        <f t="shared" si="316"/>
        <v>-1247.8024205783797</v>
      </c>
      <c r="AJ378">
        <f t="shared" si="284"/>
        <v>18000</v>
      </c>
      <c r="AK378">
        <f t="shared" si="285"/>
        <v>114255.452114496</v>
      </c>
      <c r="AL378">
        <v>1</v>
      </c>
      <c r="AM378">
        <f t="shared" si="286"/>
        <v>210.37511817907199</v>
      </c>
      <c r="AN378">
        <f t="shared" si="317"/>
        <v>543.49787694996257</v>
      </c>
      <c r="AO378">
        <f t="shared" si="318"/>
        <v>-82.977978927103933</v>
      </c>
      <c r="AQ378">
        <f t="shared" si="287"/>
        <v>3.7180236027574351E-3</v>
      </c>
      <c r="AR378">
        <f t="shared" si="288"/>
        <v>-6.0975587085221932</v>
      </c>
      <c r="AT378">
        <f t="shared" si="313"/>
        <v>-7607.6664326350892</v>
      </c>
      <c r="AU378">
        <f t="shared" si="314"/>
        <v>-1451.2562622499147</v>
      </c>
      <c r="AV378">
        <f t="shared" si="302"/>
        <v>-2.9530950301811449</v>
      </c>
      <c r="AW378">
        <f t="shared" si="303"/>
        <v>284.38614814232898</v>
      </c>
      <c r="AX378">
        <f t="shared" si="304"/>
        <v>-4853.4891001524047</v>
      </c>
      <c r="AY378">
        <f t="shared" si="312"/>
        <v>-1.5122690792148277</v>
      </c>
      <c r="BA378">
        <f t="shared" si="289"/>
        <v>1.5929964854764482</v>
      </c>
      <c r="BB378">
        <f t="shared" si="305"/>
        <v>4.0442963529357652</v>
      </c>
      <c r="BC378">
        <f t="shared" si="306"/>
        <v>-1.4408259509663173</v>
      </c>
      <c r="BD378">
        <f t="shared" si="290"/>
        <v>-262.55324609762414</v>
      </c>
      <c r="BF378">
        <f t="shared" si="291"/>
        <v>-44.066772143889096</v>
      </c>
      <c r="BG378">
        <f t="shared" si="292"/>
        <v>-180.79767963581642</v>
      </c>
      <c r="BH378">
        <f t="shared" si="307"/>
        <v>-0.79767963581642221</v>
      </c>
      <c r="BI378">
        <f t="shared" si="308"/>
        <v>-0.79767963581642221</v>
      </c>
      <c r="BJ378">
        <f t="shared" si="293"/>
        <v>0</v>
      </c>
      <c r="BK378">
        <f t="shared" si="309"/>
        <v>0</v>
      </c>
      <c r="BM378">
        <f t="shared" si="310"/>
        <v>-48.111068496824856</v>
      </c>
      <c r="BN378">
        <f t="shared" si="294"/>
        <v>-98.244433538192339</v>
      </c>
      <c r="BQ378" s="56">
        <f t="shared" si="311"/>
        <v>20.946257153220902</v>
      </c>
      <c r="BR378" s="59"/>
      <c r="BS378" s="59"/>
      <c r="BT378" s="59">
        <v>478630.092</v>
      </c>
      <c r="BU378" s="59">
        <v>13.0069</v>
      </c>
      <c r="BV378" s="59">
        <v>129.95699999999999</v>
      </c>
      <c r="BY378" s="59"/>
      <c r="BZ378" s="59"/>
      <c r="CA378" s="59"/>
      <c r="CC378" s="59"/>
    </row>
    <row r="379" spans="1:81" x14ac:dyDescent="0.25">
      <c r="A379">
        <f t="shared" si="319"/>
        <v>825000</v>
      </c>
      <c r="B379">
        <f t="shared" si="295"/>
        <v>825</v>
      </c>
      <c r="C379">
        <f t="shared" si="264"/>
        <v>6.9150765994876577</v>
      </c>
      <c r="D379">
        <f t="shared" si="265"/>
        <v>1.4256759341534526</v>
      </c>
      <c r="F379">
        <f t="shared" si="266"/>
        <v>3.7658454630723006E-5</v>
      </c>
      <c r="G379">
        <f t="shared" si="267"/>
        <v>2.0875484398602132E-3</v>
      </c>
      <c r="H379">
        <f t="shared" si="268"/>
        <v>-3.1395051015601401</v>
      </c>
      <c r="J379">
        <f t="shared" si="269"/>
        <v>15</v>
      </c>
      <c r="M379">
        <f t="shared" si="270"/>
        <v>1.5420869924545829E-3</v>
      </c>
      <c r="N379">
        <f t="shared" si="271"/>
        <v>-1.5707963250000001</v>
      </c>
      <c r="O379">
        <f t="shared" si="272"/>
        <v>239.69303883481624</v>
      </c>
      <c r="P379">
        <f t="shared" si="273"/>
        <v>1.5666243120137486</v>
      </c>
      <c r="Q379">
        <f t="shared" si="274"/>
        <v>211.66025557937695</v>
      </c>
      <c r="R379">
        <f t="shared" si="275"/>
        <v>1.5660717566693769</v>
      </c>
      <c r="S379">
        <f t="shared" si="276"/>
        <v>0.15470180082925802</v>
      </c>
      <c r="T379">
        <f t="shared" si="277"/>
        <v>-1.4154707134616713</v>
      </c>
      <c r="U379">
        <f t="shared" si="278"/>
        <v>0.18979106778738725</v>
      </c>
      <c r="V379">
        <f t="shared" si="279"/>
        <v>-1.3798469846004626</v>
      </c>
      <c r="X379">
        <f t="shared" si="296"/>
        <v>-40.941490032942774</v>
      </c>
      <c r="Y379">
        <f t="shared" si="280"/>
        <v>-168.86482145335592</v>
      </c>
      <c r="Z379">
        <f t="shared" si="297"/>
        <v>11.135178546644084</v>
      </c>
      <c r="AC379">
        <v>1</v>
      </c>
      <c r="AD379">
        <f t="shared" si="281"/>
        <v>239.6909528244</v>
      </c>
      <c r="AE379">
        <f t="shared" si="282"/>
        <v>-0.18637030557699641</v>
      </c>
      <c r="AF379">
        <f t="shared" si="283"/>
        <v>3.6026213713874995E-2</v>
      </c>
      <c r="AG379">
        <f t="shared" si="315"/>
        <v>234.48154517623703</v>
      </c>
      <c r="AH379">
        <f t="shared" si="316"/>
        <v>-1240.7742201741796</v>
      </c>
      <c r="AJ379">
        <f t="shared" si="284"/>
        <v>18000</v>
      </c>
      <c r="AK379">
        <f t="shared" si="285"/>
        <v>114952.13170055998</v>
      </c>
      <c r="AL379">
        <v>1</v>
      </c>
      <c r="AM379">
        <f t="shared" si="286"/>
        <v>211.65789328992</v>
      </c>
      <c r="AN379">
        <f t="shared" si="317"/>
        <v>543.49311059046943</v>
      </c>
      <c r="AO379">
        <f t="shared" si="318"/>
        <v>-82.475104604288717</v>
      </c>
      <c r="AQ379">
        <f t="shared" si="287"/>
        <v>3.6730932330236057E-3</v>
      </c>
      <c r="AR379">
        <f t="shared" si="288"/>
        <v>-6.0606038344889495</v>
      </c>
      <c r="AT379">
        <f t="shared" si="313"/>
        <v>-7518.979723945813</v>
      </c>
      <c r="AU379">
        <f t="shared" si="314"/>
        <v>-1425.6572312038279</v>
      </c>
      <c r="AV379">
        <f t="shared" si="302"/>
        <v>-2.9542092656446504</v>
      </c>
      <c r="AW379">
        <f t="shared" si="303"/>
        <v>287.61898803602543</v>
      </c>
      <c r="AX379">
        <f t="shared" si="304"/>
        <v>-4824.5925728153697</v>
      </c>
      <c r="AY379">
        <f t="shared" si="312"/>
        <v>-1.5112516131996141</v>
      </c>
      <c r="BA379">
        <f t="shared" si="289"/>
        <v>1.5834251364240097</v>
      </c>
      <c r="BB379">
        <f t="shared" si="305"/>
        <v>3.9919506991976847</v>
      </c>
      <c r="BC379">
        <f t="shared" si="306"/>
        <v>-1.4429576524450363</v>
      </c>
      <c r="BD379">
        <f t="shared" si="290"/>
        <v>-262.67538359567607</v>
      </c>
      <c r="BF379">
        <f t="shared" si="291"/>
        <v>-44.173034332308788</v>
      </c>
      <c r="BG379">
        <f t="shared" si="292"/>
        <v>-180.87056180670342</v>
      </c>
      <c r="BH379">
        <f t="shared" si="307"/>
        <v>-0.87056180670342087</v>
      </c>
      <c r="BI379">
        <f t="shared" si="308"/>
        <v>-0.87056180670342087</v>
      </c>
      <c r="BJ379">
        <f t="shared" si="293"/>
        <v>0</v>
      </c>
      <c r="BK379">
        <f t="shared" si="309"/>
        <v>0</v>
      </c>
      <c r="BM379">
        <f t="shared" si="310"/>
        <v>-48.164985031506482</v>
      </c>
      <c r="BN379">
        <f t="shared" si="294"/>
        <v>-98.195178211027368</v>
      </c>
      <c r="BQ379" s="56">
        <f t="shared" si="311"/>
        <v>20.893911499482822</v>
      </c>
      <c r="BR379" s="59"/>
      <c r="BS379" s="59"/>
      <c r="BT379" s="59">
        <v>489778.81900000002</v>
      </c>
      <c r="BU379" s="59">
        <v>12.7394</v>
      </c>
      <c r="BV379" s="59">
        <v>126.41800000000001</v>
      </c>
      <c r="BY379" s="59"/>
      <c r="BZ379" s="59"/>
      <c r="CA379" s="59"/>
      <c r="CC379" s="59"/>
    </row>
    <row r="380" spans="1:81" x14ac:dyDescent="0.25">
      <c r="A380">
        <f t="shared" si="319"/>
        <v>830000</v>
      </c>
      <c r="B380">
        <f t="shared" si="295"/>
        <v>830</v>
      </c>
      <c r="C380">
        <f t="shared" si="264"/>
        <v>6.9561123059314474</v>
      </c>
      <c r="D380">
        <f t="shared" si="265"/>
        <v>1.426538039377826</v>
      </c>
      <c r="F380">
        <f t="shared" si="266"/>
        <v>3.7206088969960125E-5</v>
      </c>
      <c r="G380">
        <f t="shared" si="267"/>
        <v>2.0749719389208409E-3</v>
      </c>
      <c r="H380">
        <f t="shared" si="268"/>
        <v>-3.1395176780610794</v>
      </c>
      <c r="J380">
        <f t="shared" si="269"/>
        <v>15</v>
      </c>
      <c r="M380">
        <f t="shared" si="270"/>
        <v>1.532797311777146E-3</v>
      </c>
      <c r="N380">
        <f t="shared" si="271"/>
        <v>-1.5707963250000001</v>
      </c>
      <c r="O380">
        <f t="shared" si="272"/>
        <v>241.14569870995683</v>
      </c>
      <c r="P380">
        <f t="shared" si="273"/>
        <v>1.5666494443439092</v>
      </c>
      <c r="Q380">
        <f t="shared" si="274"/>
        <v>212.94301645972297</v>
      </c>
      <c r="R380">
        <f t="shared" si="275"/>
        <v>1.5661002175154815</v>
      </c>
      <c r="S380">
        <f t="shared" si="276"/>
        <v>0.15379196965813721</v>
      </c>
      <c r="T380">
        <f t="shared" si="277"/>
        <v>-1.4163915651097492</v>
      </c>
      <c r="U380">
        <f t="shared" si="278"/>
        <v>0.18868857307862003</v>
      </c>
      <c r="V380">
        <f t="shared" si="279"/>
        <v>-1.3809697670429755</v>
      </c>
      <c r="X380">
        <f t="shared" si="296"/>
        <v>-41.044424491825993</v>
      </c>
      <c r="Y380">
        <f t="shared" si="280"/>
        <v>-168.93016798845187</v>
      </c>
      <c r="Z380">
        <f t="shared" si="297"/>
        <v>11.069832011548129</v>
      </c>
      <c r="AC380">
        <v>1</v>
      </c>
      <c r="AD380">
        <f t="shared" si="281"/>
        <v>241.14362526575999</v>
      </c>
      <c r="AE380">
        <f t="shared" si="282"/>
        <v>-0.18863618514158725</v>
      </c>
      <c r="AF380">
        <f t="shared" si="283"/>
        <v>3.6244554403050001E-2</v>
      </c>
      <c r="AG380">
        <f t="shared" si="315"/>
        <v>231.76525498282024</v>
      </c>
      <c r="AH380">
        <f t="shared" si="316"/>
        <v>-1233.8215846450933</v>
      </c>
      <c r="AJ380">
        <f t="shared" si="284"/>
        <v>18000</v>
      </c>
      <c r="AK380">
        <f t="shared" si="285"/>
        <v>115648.811286624</v>
      </c>
      <c r="AL380">
        <v>1</v>
      </c>
      <c r="AM380">
        <f t="shared" si="286"/>
        <v>212.94066840076803</v>
      </c>
      <c r="AN380">
        <f t="shared" si="317"/>
        <v>543.48843010775272</v>
      </c>
      <c r="AO380">
        <f t="shared" si="318"/>
        <v>-81.978288604964689</v>
      </c>
      <c r="AQ380">
        <f t="shared" si="287"/>
        <v>3.6289724092856694E-3</v>
      </c>
      <c r="AR380">
        <f t="shared" si="288"/>
        <v>-6.0240941994142112</v>
      </c>
      <c r="AT380">
        <f t="shared" si="313"/>
        <v>-7431.8163814567934</v>
      </c>
      <c r="AU380">
        <f t="shared" si="314"/>
        <v>-1400.6532326564213</v>
      </c>
      <c r="AV380">
        <f t="shared" si="302"/>
        <v>-2.9553105667231758</v>
      </c>
      <c r="AW380">
        <f t="shared" si="303"/>
        <v>290.79113704468244</v>
      </c>
      <c r="AX380">
        <f t="shared" si="304"/>
        <v>-4796.0353793642244</v>
      </c>
      <c r="AY380">
        <f t="shared" si="312"/>
        <v>-1.5102388947075251</v>
      </c>
      <c r="BA380">
        <f t="shared" si="289"/>
        <v>1.5739647440155826</v>
      </c>
      <c r="BB380">
        <f t="shared" si="305"/>
        <v>3.9399000032694307</v>
      </c>
      <c r="BC380">
        <f t="shared" si="306"/>
        <v>-1.4450716720156507</v>
      </c>
      <c r="BD380">
        <f t="shared" si="290"/>
        <v>-262.79650799501871</v>
      </c>
      <c r="BF380">
        <f t="shared" si="291"/>
        <v>-44.278662709829305</v>
      </c>
      <c r="BG380">
        <f t="shared" si="292"/>
        <v>-180.94301179556257</v>
      </c>
      <c r="BH380">
        <f t="shared" si="307"/>
        <v>-0.94301179556256898</v>
      </c>
      <c r="BI380">
        <f t="shared" si="308"/>
        <v>-0.94301179556256898</v>
      </c>
      <c r="BJ380">
        <f t="shared" si="293"/>
        <v>0</v>
      </c>
      <c r="BK380">
        <f t="shared" si="309"/>
        <v>0</v>
      </c>
      <c r="BM380">
        <f t="shared" si="310"/>
        <v>-48.218562713098734</v>
      </c>
      <c r="BN380">
        <f t="shared" si="294"/>
        <v>-98.14650380054384</v>
      </c>
      <c r="BQ380" s="56">
        <f t="shared" si="311"/>
        <v>20.841860803554567</v>
      </c>
      <c r="BR380" s="59"/>
      <c r="BS380" s="59"/>
      <c r="BT380" s="59">
        <v>501187.234</v>
      </c>
      <c r="BU380" s="59">
        <v>12.4757</v>
      </c>
      <c r="BV380" s="59">
        <v>125.40900000000001</v>
      </c>
      <c r="BY380" s="59"/>
      <c r="BZ380" s="59"/>
      <c r="CA380" s="59"/>
      <c r="CC380" s="59"/>
    </row>
    <row r="381" spans="1:81" x14ac:dyDescent="0.25">
      <c r="A381">
        <f t="shared" si="319"/>
        <v>835000</v>
      </c>
      <c r="B381">
        <f t="shared" si="295"/>
        <v>835</v>
      </c>
      <c r="C381">
        <f t="shared" si="264"/>
        <v>6.9971531216926977</v>
      </c>
      <c r="D381">
        <f t="shared" si="265"/>
        <v>1.4273900321157948</v>
      </c>
      <c r="F381">
        <f t="shared" si="266"/>
        <v>3.6761825661223381E-5</v>
      </c>
      <c r="G381">
        <f t="shared" si="267"/>
        <v>2.0625460709237571E-3</v>
      </c>
      <c r="H381">
        <f t="shared" si="268"/>
        <v>-3.1395301039290766</v>
      </c>
      <c r="J381">
        <f t="shared" si="269"/>
        <v>15</v>
      </c>
      <c r="M381">
        <f t="shared" si="270"/>
        <v>1.5236188847605162E-3</v>
      </c>
      <c r="N381">
        <f t="shared" si="271"/>
        <v>-1.5707963250000001</v>
      </c>
      <c r="O381">
        <f t="shared" si="272"/>
        <v>242.59835873558913</v>
      </c>
      <c r="P381">
        <f t="shared" si="273"/>
        <v>1.5666742756932248</v>
      </c>
      <c r="Q381">
        <f t="shared" si="274"/>
        <v>214.22577751049135</v>
      </c>
      <c r="R381">
        <f t="shared" si="275"/>
        <v>1.5661283375206014</v>
      </c>
      <c r="S381">
        <f t="shared" si="276"/>
        <v>0.15289265031868271</v>
      </c>
      <c r="T381">
        <f t="shared" si="277"/>
        <v>-1.4173016479129719</v>
      </c>
      <c r="U381">
        <f t="shared" si="278"/>
        <v>0.18759858074608196</v>
      </c>
      <c r="V381">
        <f t="shared" si="279"/>
        <v>-1.3820795789753335</v>
      </c>
      <c r="X381">
        <f t="shared" si="296"/>
        <v>-41.146764028238508</v>
      </c>
      <c r="Y381">
        <f t="shared" si="280"/>
        <v>-168.99476190453811</v>
      </c>
      <c r="Z381">
        <f t="shared" si="297"/>
        <v>11.005238095461891</v>
      </c>
      <c r="AC381">
        <v>1</v>
      </c>
      <c r="AD381">
        <f t="shared" si="281"/>
        <v>242.59629770712002</v>
      </c>
      <c r="AE381">
        <f t="shared" si="282"/>
        <v>-0.19091575582137202</v>
      </c>
      <c r="AF381">
        <f t="shared" si="283"/>
        <v>3.6462895092225001E-2</v>
      </c>
      <c r="AG381">
        <f t="shared" si="315"/>
        <v>229.09532443731894</v>
      </c>
      <c r="AH381">
        <f t="shared" si="316"/>
        <v>-1226.9433600085331</v>
      </c>
      <c r="AJ381">
        <f t="shared" si="284"/>
        <v>18000</v>
      </c>
      <c r="AK381">
        <f t="shared" si="285"/>
        <v>116345.49087268801</v>
      </c>
      <c r="AL381">
        <v>1</v>
      </c>
      <c r="AM381">
        <f t="shared" si="286"/>
        <v>214.22344351161598</v>
      </c>
      <c r="AN381">
        <f t="shared" si="317"/>
        <v>543.4838334511295</v>
      </c>
      <c r="AO381">
        <f t="shared" si="318"/>
        <v>-81.48742210654602</v>
      </c>
      <c r="AQ381">
        <f t="shared" si="287"/>
        <v>3.585641799404138E-3</v>
      </c>
      <c r="AR381">
        <f t="shared" si="288"/>
        <v>-5.9880218050049105</v>
      </c>
      <c r="AT381">
        <f t="shared" si="313"/>
        <v>-7346.1421394657355</v>
      </c>
      <c r="AU381">
        <f t="shared" si="314"/>
        <v>-1376.227177552488</v>
      </c>
      <c r="AV381">
        <f t="shared" si="302"/>
        <v>-2.956399154548262</v>
      </c>
      <c r="AW381">
        <f t="shared" si="303"/>
        <v>293.90411366426957</v>
      </c>
      <c r="AX381">
        <f t="shared" si="304"/>
        <v>-4767.8116200392778</v>
      </c>
      <c r="AY381">
        <f t="shared" si="312"/>
        <v>-1.5092308301013562</v>
      </c>
      <c r="BA381">
        <f t="shared" si="289"/>
        <v>1.5646134029693979</v>
      </c>
      <c r="BB381">
        <f t="shared" si="305"/>
        <v>3.8881409245751577</v>
      </c>
      <c r="BC381">
        <f t="shared" si="306"/>
        <v>-1.4471683244469058</v>
      </c>
      <c r="BD381">
        <f t="shared" si="290"/>
        <v>-262.91663733057277</v>
      </c>
      <c r="BF381">
        <f t="shared" si="291"/>
        <v>-44.383664914386856</v>
      </c>
      <c r="BG381">
        <f t="shared" si="292"/>
        <v>-181.01503749279325</v>
      </c>
      <c r="BH381">
        <f t="shared" si="307"/>
        <v>-1.0150374927932546</v>
      </c>
      <c r="BI381">
        <f t="shared" si="308"/>
        <v>-1.0150374927932546</v>
      </c>
      <c r="BJ381">
        <f t="shared" si="293"/>
        <v>0</v>
      </c>
      <c r="BK381">
        <f t="shared" si="309"/>
        <v>0</v>
      </c>
      <c r="BM381">
        <f t="shared" si="310"/>
        <v>-48.27180583896201</v>
      </c>
      <c r="BN381">
        <f t="shared" si="294"/>
        <v>-98.098400162220486</v>
      </c>
      <c r="BQ381" s="56">
        <f t="shared" si="311"/>
        <v>20.790101724860293</v>
      </c>
      <c r="BR381" s="59"/>
      <c r="BS381" s="59"/>
      <c r="BT381" s="59">
        <v>512861.38400000002</v>
      </c>
      <c r="BU381" s="59">
        <v>12.1639</v>
      </c>
      <c r="BV381" s="59">
        <v>124.027</v>
      </c>
      <c r="BY381" s="59"/>
      <c r="BZ381" s="59"/>
      <c r="CA381" s="59"/>
      <c r="CC381" s="59"/>
    </row>
    <row r="382" spans="1:81" x14ac:dyDescent="0.25">
      <c r="A382">
        <f t="shared" si="319"/>
        <v>840000</v>
      </c>
      <c r="B382">
        <f t="shared" si="295"/>
        <v>840</v>
      </c>
      <c r="C382">
        <f t="shared" si="264"/>
        <v>7.0381989573917734</v>
      </c>
      <c r="D382">
        <f t="shared" si="265"/>
        <v>1.4282320880435118</v>
      </c>
      <c r="F382">
        <f t="shared" si="266"/>
        <v>3.6325472355562625E-5</v>
      </c>
      <c r="G382">
        <f t="shared" si="267"/>
        <v>2.05026814561353E-3</v>
      </c>
      <c r="H382">
        <f t="shared" si="268"/>
        <v>-3.1395423818543868</v>
      </c>
      <c r="J382">
        <f t="shared" si="269"/>
        <v>15</v>
      </c>
      <c r="M382">
        <f t="shared" si="270"/>
        <v>1.5145497247321799E-3</v>
      </c>
      <c r="N382">
        <f t="shared" si="271"/>
        <v>-1.5707963250000001</v>
      </c>
      <c r="O382">
        <f t="shared" si="272"/>
        <v>244.0510189090258</v>
      </c>
      <c r="P382">
        <f t="shared" si="273"/>
        <v>1.5666988114362319</v>
      </c>
      <c r="Q382">
        <f t="shared" si="274"/>
        <v>215.50853872863891</v>
      </c>
      <c r="R382">
        <f t="shared" si="275"/>
        <v>1.5661561227710068</v>
      </c>
      <c r="S382">
        <f t="shared" si="276"/>
        <v>0.15200366390570139</v>
      </c>
      <c r="T382">
        <f t="shared" si="277"/>
        <v>-1.4182011481951609</v>
      </c>
      <c r="U382">
        <f t="shared" si="278"/>
        <v>0.18652088335454081</v>
      </c>
      <c r="V382">
        <f t="shared" si="279"/>
        <v>-1.3831766411748758</v>
      </c>
      <c r="X382">
        <f t="shared" si="296"/>
        <v>-41.248515351898703</v>
      </c>
      <c r="Y382">
        <f t="shared" si="280"/>
        <v>-169.05861595877525</v>
      </c>
      <c r="Z382">
        <f t="shared" si="297"/>
        <v>10.941384041224751</v>
      </c>
      <c r="AC382">
        <v>1</v>
      </c>
      <c r="AD382">
        <f t="shared" si="281"/>
        <v>244.04897014848001</v>
      </c>
      <c r="AE382">
        <f t="shared" si="282"/>
        <v>-0.19320901761635068</v>
      </c>
      <c r="AF382">
        <f t="shared" si="283"/>
        <v>3.66812357814E-2</v>
      </c>
      <c r="AG382">
        <f t="shared" si="315"/>
        <v>226.47071754959055</v>
      </c>
      <c r="AH382">
        <f t="shared" si="316"/>
        <v>-1220.1384141839897</v>
      </c>
      <c r="AJ382">
        <f t="shared" si="284"/>
        <v>18000</v>
      </c>
      <c r="AK382">
        <f t="shared" si="285"/>
        <v>117042.17045875199</v>
      </c>
      <c r="AL382">
        <v>1</v>
      </c>
      <c r="AM382">
        <f t="shared" si="286"/>
        <v>215.50621862246399</v>
      </c>
      <c r="AN382">
        <f t="shared" si="317"/>
        <v>543.47931863076383</v>
      </c>
      <c r="AO382">
        <f t="shared" si="318"/>
        <v>-81.002398877178365</v>
      </c>
      <c r="AQ382">
        <f t="shared" si="287"/>
        <v>3.5430826448828497E-3</v>
      </c>
      <c r="AR382">
        <f t="shared" si="288"/>
        <v>-5.9523788434031877</v>
      </c>
      <c r="AT382">
        <f t="shared" si="313"/>
        <v>-7261.9236781433719</v>
      </c>
      <c r="AU382">
        <f t="shared" si="314"/>
        <v>-1352.3625590321719</v>
      </c>
      <c r="AV382">
        <f t="shared" si="302"/>
        <v>-2.957475245303498</v>
      </c>
      <c r="AW382">
        <f t="shared" si="303"/>
        <v>296.9593890109071</v>
      </c>
      <c r="AX382">
        <f t="shared" si="304"/>
        <v>-4739.9155302097215</v>
      </c>
      <c r="AY382">
        <f t="shared" si="312"/>
        <v>-1.5082273282840202</v>
      </c>
      <c r="BA382">
        <f t="shared" si="289"/>
        <v>1.5553692507732118</v>
      </c>
      <c r="BB382">
        <f t="shared" si="305"/>
        <v>3.8366701764052493</v>
      </c>
      <c r="BC382">
        <f t="shared" si="306"/>
        <v>-1.4492479170194779</v>
      </c>
      <c r="BD382">
        <f t="shared" si="290"/>
        <v>-263.03578920822406</v>
      </c>
      <c r="BF382">
        <f t="shared" si="291"/>
        <v>-44.48804844789278</v>
      </c>
      <c r="BG382">
        <f t="shared" si="292"/>
        <v>-181.08664659291952</v>
      </c>
      <c r="BH382">
        <f t="shared" si="307"/>
        <v>-1.0866465929195215</v>
      </c>
      <c r="BI382">
        <f t="shared" si="308"/>
        <v>-1.0866465929195215</v>
      </c>
      <c r="BJ382">
        <f t="shared" si="293"/>
        <v>0</v>
      </c>
      <c r="BK382">
        <f t="shared" si="309"/>
        <v>0</v>
      </c>
      <c r="BM382">
        <f t="shared" si="310"/>
        <v>-48.324718624298022</v>
      </c>
      <c r="BN382">
        <f t="shared" si="294"/>
        <v>-98.050857384695462</v>
      </c>
      <c r="BQ382" s="56">
        <f t="shared" si="311"/>
        <v>20.738630976690384</v>
      </c>
      <c r="BR382" s="59"/>
      <c r="BS382" s="59"/>
      <c r="BT382" s="59">
        <v>524807.46</v>
      </c>
      <c r="BU382" s="59">
        <v>11.9579</v>
      </c>
      <c r="BV382" s="59">
        <v>122.795</v>
      </c>
      <c r="BY382" s="59"/>
      <c r="BZ382" s="59"/>
      <c r="CA382" s="59"/>
      <c r="CC382" s="59"/>
    </row>
    <row r="383" spans="1:81" x14ac:dyDescent="0.25">
      <c r="A383">
        <f t="shared" si="319"/>
        <v>845000</v>
      </c>
      <c r="B383">
        <f t="shared" si="295"/>
        <v>845</v>
      </c>
      <c r="C383">
        <f t="shared" si="264"/>
        <v>7.0792497257111409</v>
      </c>
      <c r="D383">
        <f t="shared" si="265"/>
        <v>1.4290643788194408</v>
      </c>
      <c r="F383">
        <f t="shared" si="266"/>
        <v>3.5896842378327462E-5</v>
      </c>
      <c r="G383">
        <f t="shared" si="267"/>
        <v>2.0381355364206015E-3</v>
      </c>
      <c r="H383">
        <f t="shared" si="268"/>
        <v>-3.1395545144635797</v>
      </c>
      <c r="J383">
        <f t="shared" si="269"/>
        <v>15</v>
      </c>
      <c r="M383">
        <f t="shared" si="270"/>
        <v>1.5055878920414568E-3</v>
      </c>
      <c r="N383">
        <f t="shared" si="271"/>
        <v>-1.5707963250000001</v>
      </c>
      <c r="O383">
        <f t="shared" si="272"/>
        <v>245.5036792276432</v>
      </c>
      <c r="P383">
        <f t="shared" si="273"/>
        <v>1.5667230568202628</v>
      </c>
      <c r="Q383">
        <f t="shared" si="274"/>
        <v>216.79130011119449</v>
      </c>
      <c r="R383">
        <f t="shared" si="275"/>
        <v>1.5661835792089192</v>
      </c>
      <c r="S383">
        <f t="shared" si="276"/>
        <v>0.15112483549916145</v>
      </c>
      <c r="T383">
        <f t="shared" si="277"/>
        <v>-1.4190902480405261</v>
      </c>
      <c r="U383">
        <f t="shared" si="278"/>
        <v>0.18545527793875749</v>
      </c>
      <c r="V383">
        <f t="shared" si="279"/>
        <v>-1.3842611694980425</v>
      </c>
      <c r="X383">
        <f t="shared" si="296"/>
        <v>-41.349685061777024</v>
      </c>
      <c r="Y383">
        <f t="shared" si="280"/>
        <v>-169.12174262555476</v>
      </c>
      <c r="Z383">
        <f t="shared" si="297"/>
        <v>10.878257374445241</v>
      </c>
      <c r="AC383">
        <v>1</v>
      </c>
      <c r="AD383">
        <f t="shared" si="281"/>
        <v>245.50164258984003</v>
      </c>
      <c r="AE383">
        <f t="shared" si="282"/>
        <v>-0.19551597052652323</v>
      </c>
      <c r="AF383">
        <f t="shared" si="283"/>
        <v>3.6899576470574999E-2</v>
      </c>
      <c r="AG383">
        <f t="shared" si="315"/>
        <v>223.89042673541019</v>
      </c>
      <c r="AH383">
        <f t="shared" si="316"/>
        <v>-1213.4056365247343</v>
      </c>
      <c r="AJ383">
        <f t="shared" si="284"/>
        <v>18000</v>
      </c>
      <c r="AK383">
        <f t="shared" si="285"/>
        <v>117738.85004481599</v>
      </c>
      <c r="AL383">
        <v>1</v>
      </c>
      <c r="AM383">
        <f t="shared" si="286"/>
        <v>216.788993733312</v>
      </c>
      <c r="AN383">
        <f t="shared" si="317"/>
        <v>543.47488371551435</v>
      </c>
      <c r="AO383">
        <f t="shared" si="318"/>
        <v>-80.523115199100175</v>
      </c>
      <c r="AQ383">
        <f t="shared" si="287"/>
        <v>3.5012767405634463E-3</v>
      </c>
      <c r="AR383">
        <f t="shared" si="288"/>
        <v>-5.9171576915522248</v>
      </c>
      <c r="AT383">
        <f t="shared" si="313"/>
        <v>-7179.1285927915915</v>
      </c>
      <c r="AU383">
        <f t="shared" si="314"/>
        <v>-1329.0434295543748</v>
      </c>
      <c r="AV383">
        <f t="shared" si="302"/>
        <v>-2.9585390503603</v>
      </c>
      <c r="AW383">
        <f t="shared" si="303"/>
        <v>299.9583885876927</v>
      </c>
      <c r="AX383">
        <f t="shared" si="304"/>
        <v>-4712.341476546746</v>
      </c>
      <c r="AY383">
        <f t="shared" si="312"/>
        <v>-1.5072283006136911</v>
      </c>
      <c r="BA383">
        <f t="shared" si="289"/>
        <v>1.5462304665108864</v>
      </c>
      <c r="BB383">
        <f t="shared" si="305"/>
        <v>3.785484524819613</v>
      </c>
      <c r="BC383">
        <f t="shared" si="306"/>
        <v>-1.4513107497466089</v>
      </c>
      <c r="BD383">
        <f t="shared" si="290"/>
        <v>-263.1539808174652</v>
      </c>
      <c r="BF383">
        <f t="shared" si="291"/>
        <v>-44.59182067942703</v>
      </c>
      <c r="BG383">
        <f t="shared" si="292"/>
        <v>-181.15784660061976</v>
      </c>
      <c r="BH383">
        <f t="shared" si="307"/>
        <v>-1.157846600619763</v>
      </c>
      <c r="BI383">
        <f t="shared" si="308"/>
        <v>-1.157846600619763</v>
      </c>
      <c r="BJ383">
        <f t="shared" si="293"/>
        <v>0</v>
      </c>
      <c r="BK383">
        <f t="shared" si="309"/>
        <v>0</v>
      </c>
      <c r="BM383">
        <f t="shared" si="310"/>
        <v>-48.377305204246646</v>
      </c>
      <c r="BN383">
        <f t="shared" si="294"/>
        <v>-98.003865783154595</v>
      </c>
      <c r="BQ383" s="56">
        <f t="shared" si="311"/>
        <v>20.687445325104751</v>
      </c>
      <c r="BR383" s="59"/>
      <c r="BS383" s="59"/>
      <c r="BT383" s="59">
        <v>537031.79599999997</v>
      </c>
      <c r="BU383" s="59">
        <v>11.690200000000001</v>
      </c>
      <c r="BV383" s="59">
        <v>121.76300000000001</v>
      </c>
      <c r="BY383" s="59"/>
      <c r="BZ383" s="59"/>
      <c r="CA383" s="59"/>
      <c r="CC383" s="59"/>
    </row>
    <row r="384" spans="1:81" x14ac:dyDescent="0.25">
      <c r="A384">
        <f t="shared" si="319"/>
        <v>850000</v>
      </c>
      <c r="B384">
        <f t="shared" si="295"/>
        <v>850</v>
      </c>
      <c r="C384">
        <f t="shared" si="264"/>
        <v>7.120305341336544</v>
      </c>
      <c r="D384">
        <f t="shared" si="265"/>
        <v>1.4298870721977537</v>
      </c>
      <c r="F384">
        <f t="shared" si="266"/>
        <v>3.5475754529473374E-5</v>
      </c>
      <c r="G384">
        <f t="shared" si="267"/>
        <v>2.0261456785877793E-3</v>
      </c>
      <c r="H384">
        <f t="shared" si="268"/>
        <v>-3.1395665043214125</v>
      </c>
      <c r="J384">
        <f t="shared" si="269"/>
        <v>15</v>
      </c>
      <c r="M384">
        <f t="shared" si="270"/>
        <v>1.4967314926765071E-3</v>
      </c>
      <c r="N384">
        <f t="shared" si="271"/>
        <v>-1.5707963250000001</v>
      </c>
      <c r="O384">
        <f t="shared" si="272"/>
        <v>246.95633968887935</v>
      </c>
      <c r="P384">
        <f t="shared" si="273"/>
        <v>1.5667470169691866</v>
      </c>
      <c r="Q384">
        <f t="shared" si="274"/>
        <v>218.07406165525686</v>
      </c>
      <c r="R384">
        <f t="shared" si="275"/>
        <v>1.5662107126367473</v>
      </c>
      <c r="S384">
        <f t="shared" si="276"/>
        <v>0.15025599405535162</v>
      </c>
      <c r="T384">
        <f t="shared" si="277"/>
        <v>-1.419969125412589</v>
      </c>
      <c r="U384">
        <f t="shared" si="278"/>
        <v>0.18440156588646309</v>
      </c>
      <c r="V384">
        <f t="shared" si="279"/>
        <v>-1.3853333750149666</v>
      </c>
      <c r="X384">
        <f t="shared" si="296"/>
        <v>-41.450279648473085</v>
      </c>
      <c r="Y384">
        <f t="shared" si="280"/>
        <v>-169.1841541041772</v>
      </c>
      <c r="Z384">
        <f t="shared" si="297"/>
        <v>10.815845895822804</v>
      </c>
      <c r="AC384">
        <v>1</v>
      </c>
      <c r="AD384">
        <f t="shared" si="281"/>
        <v>246.9543150312</v>
      </c>
      <c r="AE384">
        <f t="shared" si="282"/>
        <v>-0.19783661455188967</v>
      </c>
      <c r="AF384">
        <f t="shared" si="283"/>
        <v>3.7117917159749998E-2</v>
      </c>
      <c r="AG384">
        <f t="shared" si="315"/>
        <v>221.35347189966947</v>
      </c>
      <c r="AH384">
        <f t="shared" si="316"/>
        <v>-1206.7439373594189</v>
      </c>
      <c r="AJ384">
        <f t="shared" si="284"/>
        <v>18000</v>
      </c>
      <c r="AK384">
        <f t="shared" si="285"/>
        <v>118435.52963088</v>
      </c>
      <c r="AL384">
        <v>1</v>
      </c>
      <c r="AM384">
        <f t="shared" si="286"/>
        <v>218.07176884416</v>
      </c>
      <c r="AN384">
        <f t="shared" si="317"/>
        <v>543.47052683086724</v>
      </c>
      <c r="AO384">
        <f t="shared" si="318"/>
        <v>-80.049469794708003</v>
      </c>
      <c r="AQ384">
        <f t="shared" si="287"/>
        <v>3.4602064151534897E-3</v>
      </c>
      <c r="AR384">
        <f t="shared" si="288"/>
        <v>-5.8823509057609327</v>
      </c>
      <c r="AT384">
        <f t="shared" si="313"/>
        <v>-7097.7253642442074</v>
      </c>
      <c r="AU384">
        <f t="shared" si="314"/>
        <v>-1306.2543790358463</v>
      </c>
      <c r="AV384">
        <f t="shared" si="302"/>
        <v>-2.9595907764093026</v>
      </c>
      <c r="AW384">
        <f t="shared" si="303"/>
        <v>302.90249397508279</v>
      </c>
      <c r="AX384">
        <f t="shared" si="304"/>
        <v>-4685.0839533254566</v>
      </c>
      <c r="AY384">
        <f t="shared" si="312"/>
        <v>-1.5062336608223033</v>
      </c>
      <c r="BA384">
        <f t="shared" si="289"/>
        <v>1.5371952697266147</v>
      </c>
      <c r="BB384">
        <f t="shared" si="305"/>
        <v>3.734580787576772</v>
      </c>
      <c r="BC384">
        <f t="shared" si="306"/>
        <v>-1.4533571155869993</v>
      </c>
      <c r="BD384">
        <f t="shared" si="290"/>
        <v>-263.27122894359326</v>
      </c>
      <c r="BF384">
        <f t="shared" si="291"/>
        <v>-44.694988848339179</v>
      </c>
      <c r="BG384">
        <f t="shared" si="292"/>
        <v>-181.22864483653487</v>
      </c>
      <c r="BH384">
        <f t="shared" si="307"/>
        <v>-1.228644836534869</v>
      </c>
      <c r="BI384">
        <f t="shared" si="308"/>
        <v>-1.228644836534869</v>
      </c>
      <c r="BJ384">
        <f t="shared" si="293"/>
        <v>0</v>
      </c>
      <c r="BK384">
        <f t="shared" si="309"/>
        <v>0</v>
      </c>
      <c r="BM384">
        <f t="shared" si="310"/>
        <v>-48.429569635915954</v>
      </c>
      <c r="BN384">
        <f t="shared" si="294"/>
        <v>-97.957415892941611</v>
      </c>
      <c r="BQ384" s="56">
        <f t="shared" si="311"/>
        <v>20.63654158786191</v>
      </c>
      <c r="BR384" s="59"/>
      <c r="BS384" s="59"/>
      <c r="BT384" s="59">
        <v>549540.87399999995</v>
      </c>
      <c r="BU384" s="59">
        <v>11.575799999999999</v>
      </c>
      <c r="BV384" s="59">
        <v>121.762</v>
      </c>
      <c r="BY384" s="59"/>
      <c r="BZ384" s="59"/>
      <c r="CA384" s="59"/>
      <c r="CC384" s="59"/>
    </row>
    <row r="385" spans="1:81" x14ac:dyDescent="0.25">
      <c r="A385">
        <f t="shared" si="319"/>
        <v>855000</v>
      </c>
      <c r="B385">
        <f t="shared" si="295"/>
        <v>855</v>
      </c>
      <c r="C385">
        <f t="shared" si="264"/>
        <v>7.161365720900168</v>
      </c>
      <c r="D385">
        <f t="shared" si="265"/>
        <v>1.4307003321379335</v>
      </c>
      <c r="F385">
        <f t="shared" si="266"/>
        <v>3.506203289201917E-5</v>
      </c>
      <c r="G385">
        <f t="shared" si="267"/>
        <v>2.0142960673624846E-3</v>
      </c>
      <c r="H385">
        <f t="shared" si="268"/>
        <v>-3.1395783539326376</v>
      </c>
      <c r="J385">
        <f t="shared" si="269"/>
        <v>15</v>
      </c>
      <c r="M385">
        <f t="shared" si="270"/>
        <v>1.4879786769298607E-3</v>
      </c>
      <c r="N385">
        <f t="shared" si="271"/>
        <v>-1.5707963250000001</v>
      </c>
      <c r="O385">
        <f t="shared" si="272"/>
        <v>248.40900029023217</v>
      </c>
      <c r="P385">
        <f t="shared" si="273"/>
        <v>1.5667706968870185</v>
      </c>
      <c r="Q385">
        <f t="shared" si="274"/>
        <v>219.35682335799257</v>
      </c>
      <c r="R385">
        <f t="shared" si="275"/>
        <v>1.5662375287211767</v>
      </c>
      <c r="S385">
        <f t="shared" si="276"/>
        <v>0.14939697230153517</v>
      </c>
      <c r="T385">
        <f t="shared" si="277"/>
        <v>-1.42083795426916</v>
      </c>
      <c r="U385">
        <f t="shared" si="278"/>
        <v>0.18335955282489649</v>
      </c>
      <c r="V385">
        <f t="shared" si="279"/>
        <v>-1.3863934641397311</v>
      </c>
      <c r="X385">
        <f t="shared" si="296"/>
        <v>-41.55030549653064</v>
      </c>
      <c r="Y385">
        <f t="shared" si="280"/>
        <v>-169.24586232628599</v>
      </c>
      <c r="Z385">
        <f t="shared" si="297"/>
        <v>10.754137673714013</v>
      </c>
      <c r="AC385">
        <v>1</v>
      </c>
      <c r="AD385">
        <f t="shared" si="281"/>
        <v>248.40698747255999</v>
      </c>
      <c r="AE385">
        <f t="shared" si="282"/>
        <v>-0.20017094969244997</v>
      </c>
      <c r="AF385">
        <f t="shared" si="283"/>
        <v>3.7336257848924997E-2</v>
      </c>
      <c r="AG385">
        <f t="shared" si="315"/>
        <v>218.85889955340394</v>
      </c>
      <c r="AH385">
        <f t="shared" si="316"/>
        <v>-1200.1522475434574</v>
      </c>
      <c r="AJ385">
        <f t="shared" si="284"/>
        <v>18000</v>
      </c>
      <c r="AK385">
        <f t="shared" si="285"/>
        <v>119132.209216944</v>
      </c>
      <c r="AL385">
        <v>1</v>
      </c>
      <c r="AM385">
        <f t="shared" si="286"/>
        <v>219.35454395500798</v>
      </c>
      <c r="AN385">
        <f t="shared" si="317"/>
        <v>543.46624615695612</v>
      </c>
      <c r="AO385">
        <f t="shared" si="318"/>
        <v>-79.581363755216159</v>
      </c>
      <c r="AQ385">
        <f t="shared" si="287"/>
        <v>3.4198545125493271E-3</v>
      </c>
      <c r="AR385">
        <f t="shared" si="288"/>
        <v>-5.8479512164593492</v>
      </c>
      <c r="AT385">
        <f t="shared" si="313"/>
        <v>-7017.6833303629346</v>
      </c>
      <c r="AU385">
        <f t="shared" si="314"/>
        <v>-1283.9805139557907</v>
      </c>
      <c r="AV385">
        <f t="shared" si="302"/>
        <v>-2.9606306255875321</v>
      </c>
      <c r="AW385">
        <f t="shared" si="303"/>
        <v>305.7930444485836</v>
      </c>
      <c r="AX385">
        <f t="shared" si="304"/>
        <v>-4658.1375788506084</v>
      </c>
      <c r="AY385">
        <f t="shared" si="312"/>
        <v>-1.5052433249372532</v>
      </c>
      <c r="BA385">
        <f t="shared" si="289"/>
        <v>1.5282619193254214</v>
      </c>
      <c r="BB385">
        <f t="shared" si="305"/>
        <v>3.6839558330881097</v>
      </c>
      <c r="BC385">
        <f t="shared" si="306"/>
        <v>-1.4553873006502789</v>
      </c>
      <c r="BD385">
        <f t="shared" si="290"/>
        <v>-263.38754997948263</v>
      </c>
      <c r="BF385">
        <f t="shared" si="291"/>
        <v>-44.79756006725998</v>
      </c>
      <c r="BG385">
        <f t="shared" si="292"/>
        <v>-181.29904844286443</v>
      </c>
      <c r="BH385">
        <f t="shared" si="307"/>
        <v>-1.2990484428644322</v>
      </c>
      <c r="BI385">
        <f t="shared" si="308"/>
        <v>-1.2990484428644322</v>
      </c>
      <c r="BJ385">
        <f t="shared" si="293"/>
        <v>0</v>
      </c>
      <c r="BK385">
        <f t="shared" si="309"/>
        <v>0</v>
      </c>
      <c r="BM385">
        <f t="shared" si="310"/>
        <v>-48.481515900348086</v>
      </c>
      <c r="BN385">
        <f t="shared" si="294"/>
        <v>-97.911498463381861</v>
      </c>
      <c r="BQ385" s="56">
        <f t="shared" si="311"/>
        <v>20.585916633373245</v>
      </c>
      <c r="BR385" s="59"/>
      <c r="BS385" s="59"/>
      <c r="BT385" s="59">
        <v>562341.32499999995</v>
      </c>
      <c r="BU385" s="59">
        <v>11.314</v>
      </c>
      <c r="BV385" s="59">
        <v>119.89400000000001</v>
      </c>
      <c r="BY385" s="59"/>
      <c r="BZ385" s="59"/>
      <c r="CA385" s="59"/>
      <c r="CC385" s="59"/>
    </row>
    <row r="386" spans="1:81" x14ac:dyDescent="0.25">
      <c r="A386">
        <f t="shared" si="319"/>
        <v>860000</v>
      </c>
      <c r="B386">
        <f t="shared" si="295"/>
        <v>860</v>
      </c>
      <c r="C386">
        <f t="shared" si="264"/>
        <v>7.2024307829257266</v>
      </c>
      <c r="D386">
        <f t="shared" si="265"/>
        <v>1.4315043189107342</v>
      </c>
      <c r="F386">
        <f t="shared" si="266"/>
        <v>3.4655506648277632E-5</v>
      </c>
      <c r="G386">
        <f t="shared" si="267"/>
        <v>2.0025842562520755E-3</v>
      </c>
      <c r="H386">
        <f t="shared" si="268"/>
        <v>-3.1395900657437483</v>
      </c>
      <c r="J386">
        <f t="shared" si="269"/>
        <v>15</v>
      </c>
      <c r="M386">
        <f t="shared" si="270"/>
        <v>1.4793276381105012E-3</v>
      </c>
      <c r="N386">
        <f t="shared" si="271"/>
        <v>-1.5707963250000001</v>
      </c>
      <c r="O386">
        <f t="shared" si="272"/>
        <v>249.86166102925785</v>
      </c>
      <c r="P386">
        <f t="shared" si="273"/>
        <v>1.5667941014614051</v>
      </c>
      <c r="Q386">
        <f t="shared" si="274"/>
        <v>220.63958521663412</v>
      </c>
      <c r="R386">
        <f t="shared" si="275"/>
        <v>1.5662640329971138</v>
      </c>
      <c r="S386">
        <f t="shared" si="276"/>
        <v>0.14854760663397079</v>
      </c>
      <c r="T386">
        <f t="shared" si="277"/>
        <v>-1.4216969046735179</v>
      </c>
      <c r="U386">
        <f t="shared" si="278"/>
        <v>0.18232904851078105</v>
      </c>
      <c r="V386">
        <f t="shared" si="279"/>
        <v>-1.3874416387564519</v>
      </c>
      <c r="X386">
        <f t="shared" si="296"/>
        <v>-41.6497688866922</v>
      </c>
      <c r="Y386">
        <f t="shared" si="280"/>
        <v>-169.30687896306472</v>
      </c>
      <c r="Z386">
        <f t="shared" si="297"/>
        <v>10.693121036935281</v>
      </c>
      <c r="AC386">
        <v>1</v>
      </c>
      <c r="AD386">
        <f t="shared" si="281"/>
        <v>249.85965991392001</v>
      </c>
      <c r="AE386">
        <f t="shared" si="282"/>
        <v>-0.20251897594820423</v>
      </c>
      <c r="AF386">
        <f t="shared" si="283"/>
        <v>3.7554598538100004E-2</v>
      </c>
      <c r="AG386">
        <f t="shared" si="315"/>
        <v>216.40578196325268</v>
      </c>
      <c r="AH386">
        <f t="shared" si="316"/>
        <v>-1193.629518020037</v>
      </c>
      <c r="AJ386">
        <f t="shared" si="284"/>
        <v>18000</v>
      </c>
      <c r="AK386">
        <f t="shared" si="285"/>
        <v>119828.88880300798</v>
      </c>
      <c r="AL386">
        <v>1</v>
      </c>
      <c r="AM386">
        <f t="shared" si="286"/>
        <v>220.63731906585599</v>
      </c>
      <c r="AN386">
        <f t="shared" si="317"/>
        <v>543.46203992666153</v>
      </c>
      <c r="AO386">
        <f t="shared" si="318"/>
        <v>-79.118700471804118</v>
      </c>
      <c r="AQ386">
        <f t="shared" si="287"/>
        <v>3.3802043739168557E-3</v>
      </c>
      <c r="AR386">
        <f t="shared" si="288"/>
        <v>-5.8139515231369918</v>
      </c>
      <c r="AT386">
        <f t="shared" si="313"/>
        <v>-6938.9726585831349</v>
      </c>
      <c r="AU386">
        <f t="shared" si="314"/>
        <v>-1262.2074373785522</v>
      </c>
      <c r="AV386">
        <f t="shared" si="302"/>
        <v>-2.9616587956015108</v>
      </c>
      <c r="AW386">
        <f t="shared" si="303"/>
        <v>308.63133852729982</v>
      </c>
      <c r="AX386">
        <f t="shared" si="304"/>
        <v>-4631.4970920013511</v>
      </c>
      <c r="AY386">
        <f t="shared" si="312"/>
        <v>-1.5042572112061612</v>
      </c>
      <c r="BA386">
        <f t="shared" si="289"/>
        <v>1.519428712508619</v>
      </c>
      <c r="BB386">
        <f t="shared" si="305"/>
        <v>3.6336065793965826</v>
      </c>
      <c r="BC386">
        <f t="shared" si="306"/>
        <v>-1.4574015843953496</v>
      </c>
      <c r="BD386">
        <f t="shared" si="290"/>
        <v>-263.50295993694886</v>
      </c>
      <c r="BF386">
        <f t="shared" si="291"/>
        <v>-44.899541325026746</v>
      </c>
      <c r="BG386">
        <f t="shared" si="292"/>
        <v>-181.36906438876008</v>
      </c>
      <c r="BH386">
        <f t="shared" si="307"/>
        <v>-1.36906438876008</v>
      </c>
      <c r="BI386">
        <f t="shared" si="308"/>
        <v>-1.36906438876008</v>
      </c>
      <c r="BJ386">
        <f t="shared" si="293"/>
        <v>0</v>
      </c>
      <c r="BK386">
        <f t="shared" si="309"/>
        <v>0</v>
      </c>
      <c r="BM386">
        <f t="shared" si="310"/>
        <v>-48.53314790442333</v>
      </c>
      <c r="BN386">
        <f t="shared" si="294"/>
        <v>-97.866104451811267</v>
      </c>
      <c r="BQ386" s="56">
        <f t="shared" si="311"/>
        <v>20.535567379681719</v>
      </c>
      <c r="BR386" s="59"/>
      <c r="BS386" s="59"/>
      <c r="BT386" s="59">
        <v>575439.93700000003</v>
      </c>
      <c r="BU386" s="59">
        <v>11.0791</v>
      </c>
      <c r="BV386" s="59">
        <v>119.196</v>
      </c>
      <c r="BY386" s="59"/>
      <c r="BZ386" s="59"/>
      <c r="CA386" s="59"/>
      <c r="CC386" s="59"/>
    </row>
    <row r="387" spans="1:81" x14ac:dyDescent="0.25">
      <c r="A387">
        <f t="shared" si="319"/>
        <v>865000</v>
      </c>
      <c r="B387">
        <f t="shared" si="295"/>
        <v>865</v>
      </c>
      <c r="C387">
        <f t="shared" si="264"/>
        <v>7.2435004477753733</v>
      </c>
      <c r="D387">
        <f t="shared" si="265"/>
        <v>1.4322991892006327</v>
      </c>
      <c r="F387">
        <f t="shared" si="266"/>
        <v>3.4256009903501059E-5</v>
      </c>
      <c r="G387">
        <f t="shared" si="267"/>
        <v>1.9910078553396948E-3</v>
      </c>
      <c r="H387">
        <f t="shared" si="268"/>
        <v>-3.1396016421446604</v>
      </c>
      <c r="J387">
        <f t="shared" si="269"/>
        <v>15</v>
      </c>
      <c r="M387">
        <f t="shared" si="270"/>
        <v>1.4707766113006139E-3</v>
      </c>
      <c r="N387">
        <f t="shared" si="271"/>
        <v>-1.5707963250000001</v>
      </c>
      <c r="O387">
        <f t="shared" si="272"/>
        <v>251.31432190356901</v>
      </c>
      <c r="P387">
        <f t="shared" si="273"/>
        <v>1.5668172354669863</v>
      </c>
      <c r="Q387">
        <f t="shared" si="274"/>
        <v>221.92234722847806</v>
      </c>
      <c r="R387">
        <f t="shared" si="275"/>
        <v>1.5662902308714943</v>
      </c>
      <c r="S387">
        <f t="shared" si="276"/>
        <v>0.14770773701917786</v>
      </c>
      <c r="T387">
        <f t="shared" si="277"/>
        <v>-1.4225461429019375</v>
      </c>
      <c r="U387">
        <f t="shared" si="278"/>
        <v>0.18130986672362298</v>
      </c>
      <c r="V387">
        <f t="shared" si="279"/>
        <v>-1.3884780963413401</v>
      </c>
      <c r="X387">
        <f t="shared" si="296"/>
        <v>-41.748675998095251</v>
      </c>
      <c r="Y387">
        <f t="shared" si="280"/>
        <v>-169.3672154322071</v>
      </c>
      <c r="Z387">
        <f t="shared" si="297"/>
        <v>10.632784567792896</v>
      </c>
      <c r="AC387">
        <v>1</v>
      </c>
      <c r="AD387">
        <f t="shared" si="281"/>
        <v>251.31233235528001</v>
      </c>
      <c r="AE387">
        <f t="shared" si="282"/>
        <v>-0.2048806933191524</v>
      </c>
      <c r="AF387">
        <f t="shared" si="283"/>
        <v>3.7772939227275003E-2</v>
      </c>
      <c r="AG387">
        <f t="shared" si="315"/>
        <v>213.99321633201865</v>
      </c>
      <c r="AH387">
        <f t="shared" si="316"/>
        <v>-1187.1747193906256</v>
      </c>
      <c r="AJ387">
        <f t="shared" si="284"/>
        <v>18000</v>
      </c>
      <c r="AK387">
        <f t="shared" si="285"/>
        <v>120525.568389072</v>
      </c>
      <c r="AL387">
        <v>1</v>
      </c>
      <c r="AM387">
        <f t="shared" si="286"/>
        <v>221.920094176704</v>
      </c>
      <c r="AN387">
        <f t="shared" si="317"/>
        <v>543.45790642378677</v>
      </c>
      <c r="AO387">
        <f t="shared" si="318"/>
        <v>-78.661385569151889</v>
      </c>
      <c r="AQ387">
        <f t="shared" si="287"/>
        <v>3.3412398204952318E-3</v>
      </c>
      <c r="AR387">
        <f t="shared" si="288"/>
        <v>-5.7803448894567513</v>
      </c>
      <c r="AT387">
        <f t="shared" si="313"/>
        <v>-6861.5643194661307</v>
      </c>
      <c r="AU387">
        <f t="shared" si="314"/>
        <v>-1240.9212298495102</v>
      </c>
      <c r="AV387">
        <f t="shared" si="302"/>
        <v>-2.9626754798464443</v>
      </c>
      <c r="AW387">
        <f t="shared" si="303"/>
        <v>311.41863545669753</v>
      </c>
      <c r="AX387">
        <f t="shared" si="304"/>
        <v>-4605.1573488903796</v>
      </c>
      <c r="AY387">
        <f t="shared" si="312"/>
        <v>-1.5032752400245533</v>
      </c>
      <c r="BA387">
        <f t="shared" si="289"/>
        <v>1.5106939837429829</v>
      </c>
      <c r="BB387">
        <f t="shared" si="305"/>
        <v>3.58352999317944</v>
      </c>
      <c r="BC387">
        <f t="shared" si="306"/>
        <v>-1.459400239821891</v>
      </c>
      <c r="BD387">
        <f t="shared" si="290"/>
        <v>-263.61747445772141</v>
      </c>
      <c r="BF387">
        <f t="shared" si="291"/>
        <v>-45.000939489525258</v>
      </c>
      <c r="BG387">
        <f t="shared" si="292"/>
        <v>-181.43869947552409</v>
      </c>
      <c r="BH387">
        <f t="shared" si="307"/>
        <v>-1.4386994755240892</v>
      </c>
      <c r="BI387">
        <f t="shared" si="308"/>
        <v>-1.4386994755240892</v>
      </c>
      <c r="BJ387">
        <f t="shared" si="293"/>
        <v>0</v>
      </c>
      <c r="BK387">
        <f t="shared" si="309"/>
        <v>0</v>
      </c>
      <c r="BM387">
        <f t="shared" si="310"/>
        <v>-48.584469482704698</v>
      </c>
      <c r="BN387">
        <f t="shared" si="294"/>
        <v>-97.821225017802661</v>
      </c>
      <c r="BQ387" s="56">
        <f t="shared" si="311"/>
        <v>20.485490793464578</v>
      </c>
      <c r="BR387" s="59"/>
      <c r="BS387" s="59"/>
      <c r="BT387" s="59">
        <v>588843.65500000003</v>
      </c>
      <c r="BU387" s="59">
        <v>10.8666</v>
      </c>
      <c r="BV387" s="59">
        <v>116.889</v>
      </c>
      <c r="BY387" s="59"/>
      <c r="BZ387" s="59"/>
      <c r="CA387" s="59"/>
      <c r="CC387" s="59"/>
    </row>
    <row r="388" spans="1:81" x14ac:dyDescent="0.25">
      <c r="A388">
        <f t="shared" si="319"/>
        <v>870000</v>
      </c>
      <c r="B388">
        <f t="shared" si="295"/>
        <v>870</v>
      </c>
      <c r="C388">
        <f t="shared" si="264"/>
        <v>7.2845746375983964</v>
      </c>
      <c r="D388">
        <f t="shared" si="265"/>
        <v>1.4330850962049115</v>
      </c>
      <c r="F388">
        <f t="shared" si="266"/>
        <v>3.3863381516601586E-5</v>
      </c>
      <c r="G388">
        <f t="shared" si="267"/>
        <v>1.9795645296582067E-3</v>
      </c>
      <c r="H388">
        <f t="shared" si="268"/>
        <v>-3.1396130854703421</v>
      </c>
      <c r="J388">
        <f t="shared" si="269"/>
        <v>15</v>
      </c>
      <c r="M388">
        <f t="shared" si="270"/>
        <v>1.462323872155208E-3</v>
      </c>
      <c r="N388">
        <f t="shared" si="271"/>
        <v>-1.5707963250000001</v>
      </c>
      <c r="O388">
        <f t="shared" si="272"/>
        <v>252.76698291083318</v>
      </c>
      <c r="P388">
        <f t="shared" si="273"/>
        <v>1.5668401035686434</v>
      </c>
      <c r="Q388">
        <f t="shared" si="274"/>
        <v>223.205109390883</v>
      </c>
      <c r="R388">
        <f t="shared" si="275"/>
        <v>1.5663161276269613</v>
      </c>
      <c r="S388">
        <f t="shared" si="276"/>
        <v>0.14687720689832723</v>
      </c>
      <c r="T388">
        <f t="shared" si="277"/>
        <v>-1.4233858315477033</v>
      </c>
      <c r="U388">
        <f t="shared" si="278"/>
        <v>0.18030182516221827</v>
      </c>
      <c r="V388">
        <f t="shared" si="279"/>
        <v>-1.3895030300808897</v>
      </c>
      <c r="X388">
        <f t="shared" si="296"/>
        <v>-41.847032910411883</v>
      </c>
      <c r="Y388">
        <f t="shared" si="280"/>
        <v>-169.42688290466791</v>
      </c>
      <c r="Z388">
        <f t="shared" si="297"/>
        <v>10.573117095332094</v>
      </c>
      <c r="AC388">
        <v>1</v>
      </c>
      <c r="AD388">
        <f t="shared" si="281"/>
        <v>252.76500479664003</v>
      </c>
      <c r="AE388">
        <f t="shared" si="282"/>
        <v>-0.2072561018052945</v>
      </c>
      <c r="AF388">
        <f t="shared" si="283"/>
        <v>3.7991279916450002E-2</v>
      </c>
      <c r="AG388">
        <f t="shared" si="315"/>
        <v>211.6203240090569</v>
      </c>
      <c r="AH388">
        <f t="shared" si="316"/>
        <v>-1180.7868414948177</v>
      </c>
      <c r="AJ388">
        <f t="shared" si="284"/>
        <v>18000</v>
      </c>
      <c r="AK388">
        <f t="shared" si="285"/>
        <v>121222.24797513601</v>
      </c>
      <c r="AL388">
        <v>1</v>
      </c>
      <c r="AM388">
        <f t="shared" si="286"/>
        <v>223.20286928755201</v>
      </c>
      <c r="AN388">
        <f t="shared" si="317"/>
        <v>543.4538439813067</v>
      </c>
      <c r="AO388">
        <f t="shared" si="318"/>
        <v>-78.209326841266744</v>
      </c>
      <c r="AQ388">
        <f t="shared" si="287"/>
        <v>3.3029451370903892E-3</v>
      </c>
      <c r="AR388">
        <f t="shared" si="288"/>
        <v>-5.7471245385372773</v>
      </c>
      <c r="AT388">
        <f t="shared" si="313"/>
        <v>-6785.430061216698</v>
      </c>
      <c r="AU388">
        <f t="shared" si="314"/>
        <v>-1220.1084311217157</v>
      </c>
      <c r="AV388">
        <f t="shared" si="302"/>
        <v>-2.963680867521636</v>
      </c>
      <c r="AW388">
        <f t="shared" si="303"/>
        <v>314.15615662875359</v>
      </c>
      <c r="AX388">
        <f t="shared" si="304"/>
        <v>-4579.1133196331302</v>
      </c>
      <c r="AY388">
        <f t="shared" si="312"/>
        <v>-1.5022973338663341</v>
      </c>
      <c r="BA388">
        <f t="shared" si="289"/>
        <v>1.5020561037624136</v>
      </c>
      <c r="BB388">
        <f t="shared" si="305"/>
        <v>3.5337230887742024</v>
      </c>
      <c r="BC388">
        <f t="shared" si="306"/>
        <v>-1.4613835336553018</v>
      </c>
      <c r="BD388">
        <f t="shared" si="290"/>
        <v>-263.73110882404001</v>
      </c>
      <c r="BF388">
        <f t="shared" si="291"/>
        <v>-45.101761310451103</v>
      </c>
      <c r="BG388">
        <f t="shared" si="292"/>
        <v>-181.50796034162221</v>
      </c>
      <c r="BH388">
        <f t="shared" si="307"/>
        <v>-1.5079603416222085</v>
      </c>
      <c r="BI388">
        <f t="shared" si="308"/>
        <v>-1.5079603416222085</v>
      </c>
      <c r="BJ388">
        <f t="shared" si="293"/>
        <v>0</v>
      </c>
      <c r="BK388">
        <f t="shared" si="309"/>
        <v>0</v>
      </c>
      <c r="BM388">
        <f t="shared" si="310"/>
        <v>-48.635484399225312</v>
      </c>
      <c r="BN388">
        <f t="shared" si="294"/>
        <v>-97.776851517582173</v>
      </c>
      <c r="BQ388" s="56">
        <f t="shared" si="311"/>
        <v>20.435683889059337</v>
      </c>
      <c r="BR388" s="59"/>
      <c r="BS388" s="59"/>
      <c r="BT388" s="59">
        <v>602559.58600000001</v>
      </c>
      <c r="BU388" s="59">
        <v>10.6013</v>
      </c>
      <c r="BV388" s="59">
        <v>117.324</v>
      </c>
      <c r="BY388" s="59"/>
      <c r="BZ388" s="59"/>
      <c r="CA388" s="59"/>
      <c r="CC388" s="59"/>
    </row>
    <row r="389" spans="1:81" x14ac:dyDescent="0.25">
      <c r="A389">
        <f t="shared" si="319"/>
        <v>875000</v>
      </c>
      <c r="B389">
        <f t="shared" si="295"/>
        <v>875</v>
      </c>
      <c r="C389">
        <f t="shared" si="264"/>
        <v>7.3256532762816047</v>
      </c>
      <c r="D389">
        <f t="shared" si="265"/>
        <v>1.4338621897294936</v>
      </c>
      <c r="F389">
        <f t="shared" si="266"/>
        <v>3.3477464937623874E-5</v>
      </c>
      <c r="G389">
        <f t="shared" si="267"/>
        <v>1.9682519976198906E-3</v>
      </c>
      <c r="H389">
        <f t="shared" si="268"/>
        <v>-3.1396243980023804</v>
      </c>
      <c r="J389">
        <f t="shared" si="269"/>
        <v>15</v>
      </c>
      <c r="M389">
        <f t="shared" si="270"/>
        <v>1.4539677357428928E-3</v>
      </c>
      <c r="N389">
        <f t="shared" si="271"/>
        <v>-1.5707963250000001</v>
      </c>
      <c r="O389">
        <f t="shared" si="272"/>
        <v>254.21964404877122</v>
      </c>
      <c r="P389">
        <f t="shared" si="273"/>
        <v>1.5668627103246346</v>
      </c>
      <c r="Q389">
        <f t="shared" si="274"/>
        <v>224.48787170126789</v>
      </c>
      <c r="R389">
        <f t="shared" si="275"/>
        <v>1.5663417284254155</v>
      </c>
      <c r="S389">
        <f t="shared" si="276"/>
        <v>0.14605586309464583</v>
      </c>
      <c r="T389">
        <f t="shared" si="277"/>
        <v>-1.4242161296217415</v>
      </c>
      <c r="U389">
        <f t="shared" si="278"/>
        <v>0.17930474534426014</v>
      </c>
      <c r="V389">
        <f t="shared" si="279"/>
        <v>-1.390516628986332</v>
      </c>
      <c r="X389">
        <f t="shared" si="296"/>
        <v>-41.944845605933381</v>
      </c>
      <c r="Y389">
        <f t="shared" si="280"/>
        <v>-169.48589231120201</v>
      </c>
      <c r="Z389">
        <f t="shared" si="297"/>
        <v>10.514107688797992</v>
      </c>
      <c r="AC389">
        <v>1</v>
      </c>
      <c r="AD389">
        <f t="shared" si="281"/>
        <v>254.21767723800002</v>
      </c>
      <c r="AE389">
        <f t="shared" si="282"/>
        <v>-0.20964520140663045</v>
      </c>
      <c r="AF389">
        <f t="shared" si="283"/>
        <v>3.8209620605625001E-2</v>
      </c>
      <c r="AG389">
        <f t="shared" si="315"/>
        <v>209.28624972927412</v>
      </c>
      <c r="AH389">
        <f t="shared" si="316"/>
        <v>-1174.4648929993737</v>
      </c>
      <c r="AJ389">
        <f t="shared" si="284"/>
        <v>18000</v>
      </c>
      <c r="AK389">
        <f t="shared" si="285"/>
        <v>121918.92756119999</v>
      </c>
      <c r="AL389">
        <v>1</v>
      </c>
      <c r="AM389">
        <f t="shared" si="286"/>
        <v>224.48564439840001</v>
      </c>
      <c r="AN389">
        <f t="shared" si="317"/>
        <v>543.44985097968708</v>
      </c>
      <c r="AO389">
        <f t="shared" si="318"/>
        <v>-77.762434189509946</v>
      </c>
      <c r="AQ389">
        <f t="shared" si="287"/>
        <v>3.2653050562269203E-3</v>
      </c>
      <c r="AR389">
        <f t="shared" si="288"/>
        <v>-5.7142838483971108</v>
      </c>
      <c r="AT389">
        <f t="shared" si="313"/>
        <v>-6710.5423851263222</v>
      </c>
      <c r="AU389">
        <f t="shared" si="314"/>
        <v>-1199.756022673067</v>
      </c>
      <c r="AV389">
        <f t="shared" si="302"/>
        <v>-2.9646751437422583</v>
      </c>
      <c r="AW389">
        <f t="shared" si="303"/>
        <v>316.84508694249627</v>
      </c>
      <c r="AX389">
        <f t="shared" si="304"/>
        <v>-4553.3600852228119</v>
      </c>
      <c r="AY389">
        <f t="shared" si="312"/>
        <v>-1.5013234172169287</v>
      </c>
      <c r="BA389">
        <f t="shared" si="289"/>
        <v>1.4935134786009423</v>
      </c>
      <c r="BB389">
        <f t="shared" si="305"/>
        <v>3.4841829272274332</v>
      </c>
      <c r="BC389">
        <f t="shared" si="306"/>
        <v>-1.4633517265253295</v>
      </c>
      <c r="BD389">
        <f t="shared" si="290"/>
        <v>-263.84387796888922</v>
      </c>
      <c r="BF389">
        <f t="shared" si="291"/>
        <v>-45.202013421993158</v>
      </c>
      <c r="BG389">
        <f t="shared" si="292"/>
        <v>-181.57685346751711</v>
      </c>
      <c r="BH389">
        <f t="shared" si="307"/>
        <v>-1.5768534675171111</v>
      </c>
      <c r="BI389">
        <f t="shared" si="308"/>
        <v>-1.5768534675171111</v>
      </c>
      <c r="BJ389">
        <f t="shared" si="293"/>
        <v>0</v>
      </c>
      <c r="BK389">
        <f t="shared" si="309"/>
        <v>0</v>
      </c>
      <c r="BM389">
        <f t="shared" si="310"/>
        <v>-48.686196349220594</v>
      </c>
      <c r="BN389">
        <f t="shared" si="294"/>
        <v>-97.732975498627923</v>
      </c>
      <c r="BQ389" s="56">
        <f t="shared" si="311"/>
        <v>20.386143727512568</v>
      </c>
      <c r="BR389" s="59"/>
      <c r="BS389" s="59"/>
      <c r="BT389" s="59">
        <v>616595.00199999998</v>
      </c>
      <c r="BU389" s="59">
        <v>10.4749</v>
      </c>
      <c r="BV389" s="59">
        <v>115.142</v>
      </c>
      <c r="BY389" s="59"/>
      <c r="BZ389" s="59"/>
      <c r="CA389" s="59"/>
      <c r="CC389" s="59"/>
    </row>
    <row r="390" spans="1:81" x14ac:dyDescent="0.25">
      <c r="A390">
        <f t="shared" si="319"/>
        <v>880000</v>
      </c>
      <c r="B390">
        <f t="shared" si="295"/>
        <v>880</v>
      </c>
      <c r="C390">
        <f t="shared" si="264"/>
        <v>7.3667362894013557</v>
      </c>
      <c r="D390">
        <f t="shared" si="265"/>
        <v>1.4346306162816589</v>
      </c>
      <c r="F390">
        <f t="shared" si="266"/>
        <v>3.3098108051664005E-5</v>
      </c>
      <c r="G390">
        <f t="shared" si="267"/>
        <v>1.9570680294996911E-3</v>
      </c>
      <c r="H390">
        <f t="shared" si="268"/>
        <v>-3.1396355819705004</v>
      </c>
      <c r="J390">
        <f t="shared" si="269"/>
        <v>15</v>
      </c>
      <c r="M390">
        <f t="shared" si="270"/>
        <v>1.4457065554261716E-3</v>
      </c>
      <c r="N390">
        <f t="shared" si="271"/>
        <v>-1.5707963250000001</v>
      </c>
      <c r="O390">
        <f t="shared" si="272"/>
        <v>255.67230531515574</v>
      </c>
      <c r="P390">
        <f t="shared" si="273"/>
        <v>1.5668850601896238</v>
      </c>
      <c r="Q390">
        <f t="shared" si="274"/>
        <v>225.77063415711044</v>
      </c>
      <c r="R390">
        <f t="shared" si="275"/>
        <v>1.5663670383114454</v>
      </c>
      <c r="S390">
        <f t="shared" si="276"/>
        <v>0.14524355572372563</v>
      </c>
      <c r="T390">
        <f t="shared" si="277"/>
        <v>-1.425037192649995</v>
      </c>
      <c r="U390">
        <f t="shared" si="278"/>
        <v>0.17831845250894188</v>
      </c>
      <c r="V390">
        <f t="shared" si="279"/>
        <v>-1.3915190780044906</v>
      </c>
      <c r="X390">
        <f t="shared" si="296"/>
        <v>-42.042119971601579</v>
      </c>
      <c r="Y390">
        <f t="shared" si="280"/>
        <v>-169.54425434869998</v>
      </c>
      <c r="Z390">
        <f t="shared" si="297"/>
        <v>10.45574565130002</v>
      </c>
      <c r="AC390">
        <v>1</v>
      </c>
      <c r="AD390">
        <f t="shared" si="281"/>
        <v>255.67034967935999</v>
      </c>
      <c r="AE390">
        <f t="shared" si="282"/>
        <v>-0.21204799212316033</v>
      </c>
      <c r="AF390">
        <f t="shared" si="283"/>
        <v>3.8427961294799994E-2</v>
      </c>
      <c r="AG390">
        <f t="shared" si="315"/>
        <v>206.99016087958057</v>
      </c>
      <c r="AH390">
        <f t="shared" si="316"/>
        <v>-1168.2079009962904</v>
      </c>
      <c r="AJ390">
        <f t="shared" si="284"/>
        <v>18000</v>
      </c>
      <c r="AK390">
        <f t="shared" si="285"/>
        <v>122615.60714726399</v>
      </c>
      <c r="AL390">
        <v>1</v>
      </c>
      <c r="AM390">
        <f t="shared" si="286"/>
        <v>225.76841950924799</v>
      </c>
      <c r="AN390">
        <f t="shared" si="317"/>
        <v>543.44592584527061</v>
      </c>
      <c r="AO390">
        <f t="shared" si="318"/>
        <v>-77.320619562735928</v>
      </c>
      <c r="AQ390">
        <f t="shared" si="287"/>
        <v>3.2283047429284791E-3</v>
      </c>
      <c r="AR390">
        <f t="shared" si="288"/>
        <v>-5.6818163475541237</v>
      </c>
      <c r="AT390">
        <f t="shared" si="313"/>
        <v>-6636.8745219045049</v>
      </c>
      <c r="AU390">
        <f t="shared" si="314"/>
        <v>-1179.8514109759719</v>
      </c>
      <c r="AV390">
        <f t="shared" si="302"/>
        <v>-2.9656584896476206</v>
      </c>
      <c r="AW390">
        <f t="shared" si="303"/>
        <v>319.48657610777758</v>
      </c>
      <c r="AX390">
        <f t="shared" si="304"/>
        <v>-4527.8928345072691</v>
      </c>
      <c r="AY390">
        <f t="shared" si="312"/>
        <v>-1.500353416508972</v>
      </c>
      <c r="BA390">
        <f t="shared" si="289"/>
        <v>1.4850645486559495</v>
      </c>
      <c r="BB390">
        <f t="shared" si="305"/>
        <v>3.4349066153656516</v>
      </c>
      <c r="BC390">
        <f t="shared" si="306"/>
        <v>-1.4653050731386486</v>
      </c>
      <c r="BD390">
        <f t="shared" si="290"/>
        <v>-263.95579648588648</v>
      </c>
      <c r="BF390">
        <f t="shared" si="291"/>
        <v>-45.301702345441811</v>
      </c>
      <c r="BG390">
        <f t="shared" si="292"/>
        <v>-181.64538518033143</v>
      </c>
      <c r="BH390">
        <f t="shared" si="307"/>
        <v>-1.6453851803314308</v>
      </c>
      <c r="BI390">
        <f t="shared" si="308"/>
        <v>-1.6453851803314308</v>
      </c>
      <c r="BJ390">
        <f t="shared" si="293"/>
        <v>0</v>
      </c>
      <c r="BK390">
        <f t="shared" si="309"/>
        <v>0</v>
      </c>
      <c r="BM390">
        <f t="shared" si="310"/>
        <v>-48.736608960807466</v>
      </c>
      <c r="BN390">
        <f t="shared" si="294"/>
        <v>-97.689588694444979</v>
      </c>
      <c r="BQ390" s="56">
        <f t="shared" si="311"/>
        <v>20.33686741565079</v>
      </c>
      <c r="BR390" s="59"/>
      <c r="BS390" s="59"/>
      <c r="BT390" s="59">
        <v>630957.34400000004</v>
      </c>
      <c r="BU390" s="59">
        <v>10.283799999999999</v>
      </c>
      <c r="BV390" s="59">
        <v>115.247</v>
      </c>
      <c r="BY390" s="59"/>
      <c r="BZ390" s="59"/>
      <c r="CA390" s="59"/>
      <c r="CC390" s="59"/>
    </row>
    <row r="391" spans="1:81" x14ac:dyDescent="0.25">
      <c r="A391">
        <f t="shared" si="319"/>
        <v>885000</v>
      </c>
      <c r="B391">
        <f t="shared" si="295"/>
        <v>885</v>
      </c>
      <c r="C391">
        <f t="shared" si="264"/>
        <v>7.4078236041771479</v>
      </c>
      <c r="D391">
        <f t="shared" si="265"/>
        <v>1.4353905191597531</v>
      </c>
      <c r="F391">
        <f t="shared" si="266"/>
        <v>3.2725163028944121E-5</v>
      </c>
      <c r="G391">
        <f t="shared" si="267"/>
        <v>1.9460104459698836E-3</v>
      </c>
      <c r="H391">
        <f t="shared" si="268"/>
        <v>-3.1396466395540301</v>
      </c>
      <c r="J391">
        <f t="shared" si="269"/>
        <v>15</v>
      </c>
      <c r="M391">
        <f t="shared" si="270"/>
        <v>1.4375387217796963E-3</v>
      </c>
      <c r="N391">
        <f t="shared" si="271"/>
        <v>-1.5707963250000001</v>
      </c>
      <c r="O391">
        <f t="shared" si="272"/>
        <v>257.12496670780973</v>
      </c>
      <c r="P391">
        <f t="shared" si="273"/>
        <v>1.5669071575176072</v>
      </c>
      <c r="Q391">
        <f t="shared" si="274"/>
        <v>227.05339675594533</v>
      </c>
      <c r="R391">
        <f t="shared" si="275"/>
        <v>1.5663920622156418</v>
      </c>
      <c r="S391">
        <f t="shared" si="276"/>
        <v>0.14444013810663306</v>
      </c>
      <c r="T391">
        <f t="shared" si="277"/>
        <v>-1.425849172767665</v>
      </c>
      <c r="U391">
        <f t="shared" si="278"/>
        <v>0.17734277552245445</v>
      </c>
      <c r="V391">
        <f t="shared" si="279"/>
        <v>-1.3925105581251682</v>
      </c>
      <c r="X391">
        <f t="shared" si="296"/>
        <v>-42.138861800988472</v>
      </c>
      <c r="Y391">
        <f t="shared" si="280"/>
        <v>-169.6019794863268</v>
      </c>
      <c r="Z391">
        <f t="shared" si="297"/>
        <v>10.398020513673202</v>
      </c>
      <c r="AC391">
        <v>1</v>
      </c>
      <c r="AD391">
        <f t="shared" si="281"/>
        <v>257.12302212072001</v>
      </c>
      <c r="AE391">
        <f t="shared" si="282"/>
        <v>-0.21446447395488411</v>
      </c>
      <c r="AF391">
        <f t="shared" si="283"/>
        <v>3.8646301983975E-2</v>
      </c>
      <c r="AG391">
        <f t="shared" si="315"/>
        <v>204.73124679168521</v>
      </c>
      <c r="AH391">
        <f t="shared" si="316"/>
        <v>-1162.0149106097554</v>
      </c>
      <c r="AJ391">
        <f t="shared" si="284"/>
        <v>18000</v>
      </c>
      <c r="AK391">
        <f t="shared" si="285"/>
        <v>123312.286733328</v>
      </c>
      <c r="AL391">
        <v>1</v>
      </c>
      <c r="AM391">
        <f t="shared" si="286"/>
        <v>227.051194620096</v>
      </c>
      <c r="AN391">
        <f t="shared" si="317"/>
        <v>543.44206704872568</v>
      </c>
      <c r="AO391">
        <f t="shared" si="318"/>
        <v>-76.883796899460208</v>
      </c>
      <c r="AQ391">
        <f t="shared" si="287"/>
        <v>3.1919297800983818E-3</v>
      </c>
      <c r="AR391">
        <f t="shared" si="288"/>
        <v>-5.6497157107741351</v>
      </c>
      <c r="AT391">
        <f t="shared" si="313"/>
        <v>-6564.4004088621859</v>
      </c>
      <c r="AU391">
        <f t="shared" si="314"/>
        <v>-1160.3824114834542</v>
      </c>
      <c r="AV391">
        <f t="shared" si="302"/>
        <v>-2.9666310825060531</v>
      </c>
      <c r="AW391">
        <f t="shared" si="303"/>
        <v>322.08173989496902</v>
      </c>
      <c r="AX391">
        <f t="shared" si="304"/>
        <v>-4502.7068612638323</v>
      </c>
      <c r="AY391">
        <f t="shared" si="312"/>
        <v>-1.4993872600604365</v>
      </c>
      <c r="BA391">
        <f t="shared" si="289"/>
        <v>1.476707787780541</v>
      </c>
      <c r="BB391">
        <f t="shared" si="305"/>
        <v>3.3858913048879047</v>
      </c>
      <c r="BC391">
        <f t="shared" si="306"/>
        <v>-1.4672438224456166</v>
      </c>
      <c r="BD391">
        <f t="shared" si="290"/>
        <v>-264.06687863883656</v>
      </c>
      <c r="BF391">
        <f t="shared" si="291"/>
        <v>-45.400834491724389</v>
      </c>
      <c r="BG391">
        <f t="shared" si="292"/>
        <v>-181.71356165834572</v>
      </c>
      <c r="BH391">
        <f t="shared" si="307"/>
        <v>-1.7135616583457249</v>
      </c>
      <c r="BI391">
        <f t="shared" si="308"/>
        <v>-1.7135616583457249</v>
      </c>
      <c r="BJ391">
        <f t="shared" si="293"/>
        <v>0</v>
      </c>
      <c r="BK391">
        <f t="shared" si="309"/>
        <v>0</v>
      </c>
      <c r="BM391">
        <f t="shared" si="310"/>
        <v>-48.786725796612288</v>
      </c>
      <c r="BN391">
        <f t="shared" si="294"/>
        <v>-97.646683019509183</v>
      </c>
      <c r="BQ391" s="56">
        <f t="shared" si="311"/>
        <v>20.287852105173041</v>
      </c>
      <c r="BR391" s="59"/>
      <c r="BS391" s="59"/>
      <c r="BT391" s="59">
        <v>645654.22900000005</v>
      </c>
      <c r="BU391" s="59">
        <v>9.9821899999999992</v>
      </c>
      <c r="BV391" s="59">
        <v>113.164</v>
      </c>
      <c r="BY391" s="59"/>
      <c r="BZ391" s="59"/>
      <c r="CA391" s="59"/>
      <c r="CC391" s="59"/>
    </row>
    <row r="392" spans="1:81" x14ac:dyDescent="0.25">
      <c r="A392">
        <f t="shared" si="319"/>
        <v>890000</v>
      </c>
      <c r="B392">
        <f t="shared" si="295"/>
        <v>890</v>
      </c>
      <c r="C392">
        <f t="shared" si="264"/>
        <v>7.4489151494267407</v>
      </c>
      <c r="D392">
        <f t="shared" si="265"/>
        <v>1.4361420385400065</v>
      </c>
      <c r="F392">
        <f t="shared" si="266"/>
        <v>3.2358486180766806E-5</v>
      </c>
      <c r="G392">
        <f t="shared" si="267"/>
        <v>1.9350771166841512E-3</v>
      </c>
      <c r="H392">
        <f t="shared" si="268"/>
        <v>-3.139657572883316</v>
      </c>
      <c r="J392">
        <f t="shared" si="269"/>
        <v>15</v>
      </c>
      <c r="M392">
        <f t="shared" si="270"/>
        <v>1.4294626615449786E-3</v>
      </c>
      <c r="N392">
        <f t="shared" si="271"/>
        <v>-1.5707963250000001</v>
      </c>
      <c r="O392">
        <f t="shared" si="272"/>
        <v>258.57762822460512</v>
      </c>
      <c r="P392">
        <f t="shared" si="273"/>
        <v>1.5669290065647412</v>
      </c>
      <c r="Q392">
        <f t="shared" si="274"/>
        <v>228.33615949536261</v>
      </c>
      <c r="R392">
        <f t="shared" si="275"/>
        <v>1.5664168049577984</v>
      </c>
      <c r="S392">
        <f t="shared" si="276"/>
        <v>0.14364546668571915</v>
      </c>
      <c r="T392">
        <f t="shared" si="277"/>
        <v>-1.4266522188104349</v>
      </c>
      <c r="U392">
        <f t="shared" si="278"/>
        <v>0.17637754678628212</v>
      </c>
      <c r="V392">
        <f t="shared" si="279"/>
        <v>-1.3934912464851874</v>
      </c>
      <c r="X392">
        <f t="shared" si="296"/>
        <v>-42.235076796225719</v>
      </c>
      <c r="Y392">
        <f t="shared" si="280"/>
        <v>-169.65907797147111</v>
      </c>
      <c r="Z392">
        <f t="shared" si="297"/>
        <v>10.340922028528894</v>
      </c>
      <c r="AC392">
        <v>1</v>
      </c>
      <c r="AD392">
        <f t="shared" si="281"/>
        <v>258.57569456208</v>
      </c>
      <c r="AE392">
        <f t="shared" si="282"/>
        <v>-0.21689464690180177</v>
      </c>
      <c r="AF392">
        <f t="shared" si="283"/>
        <v>3.8864642673149999E-2</v>
      </c>
      <c r="AG392">
        <f t="shared" si="315"/>
        <v>202.5087180601723</v>
      </c>
      <c r="AH392">
        <f t="shared" si="316"/>
        <v>-1155.884984611813</v>
      </c>
      <c r="AJ392">
        <f t="shared" si="284"/>
        <v>18000</v>
      </c>
      <c r="AK392">
        <f t="shared" si="285"/>
        <v>124008.966319392</v>
      </c>
      <c r="AL392">
        <v>1</v>
      </c>
      <c r="AM392">
        <f t="shared" si="286"/>
        <v>228.33396973094401</v>
      </c>
      <c r="AN392">
        <f t="shared" si="317"/>
        <v>543.43827310355664</v>
      </c>
      <c r="AO392">
        <f t="shared" si="318"/>
        <v>-76.451882071976769</v>
      </c>
      <c r="AQ392">
        <f t="shared" si="287"/>
        <v>3.1561661544735027E-3</v>
      </c>
      <c r="AR392">
        <f t="shared" si="288"/>
        <v>-5.6179757549628349</v>
      </c>
      <c r="AT392">
        <f t="shared" si="313"/>
        <v>-6493.0946679128274</v>
      </c>
      <c r="AU392">
        <f t="shared" si="314"/>
        <v>-1141.3372332975482</v>
      </c>
      <c r="AV392">
        <f t="shared" si="302"/>
        <v>-2.9675930958165346</v>
      </c>
      <c r="AW392">
        <f t="shared" si="303"/>
        <v>324.63166133312512</v>
      </c>
      <c r="AX392">
        <f t="shared" si="304"/>
        <v>-4477.7975613684775</v>
      </c>
      <c r="AY392">
        <f t="shared" si="312"/>
        <v>-1.4984248780150928</v>
      </c>
      <c r="BA392">
        <f t="shared" si="289"/>
        <v>1.4684417024040359</v>
      </c>
      <c r="BB392">
        <f t="shared" si="305"/>
        <v>3.3371341914793917</v>
      </c>
      <c r="BC392">
        <f t="shared" si="306"/>
        <v>-1.4691682178014418</v>
      </c>
      <c r="BD392">
        <f t="shared" si="290"/>
        <v>-264.17713837096591</v>
      </c>
      <c r="BF392">
        <f t="shared" si="291"/>
        <v>-45.499416163870201</v>
      </c>
      <c r="BG392">
        <f t="shared" si="292"/>
        <v>-181.78138893533989</v>
      </c>
      <c r="BH392">
        <f t="shared" si="307"/>
        <v>-1.7813889353398906</v>
      </c>
      <c r="BI392">
        <f t="shared" si="308"/>
        <v>-1.7813889353398906</v>
      </c>
      <c r="BJ392">
        <f t="shared" si="293"/>
        <v>0</v>
      </c>
      <c r="BK392">
        <f t="shared" si="309"/>
        <v>0</v>
      </c>
      <c r="BM392">
        <f t="shared" si="310"/>
        <v>-48.836550355349601</v>
      </c>
      <c r="BN392">
        <f t="shared" si="294"/>
        <v>-97.604250564373984</v>
      </c>
      <c r="BQ392" s="56">
        <f t="shared" si="311"/>
        <v>20.239094991764528</v>
      </c>
      <c r="BR392" s="59"/>
      <c r="BS392" s="59"/>
      <c r="BT392" s="59">
        <v>660693.44799999997</v>
      </c>
      <c r="BU392" s="59">
        <v>9.7520900000000008</v>
      </c>
      <c r="BV392" s="59">
        <v>112.872</v>
      </c>
      <c r="BY392" s="59"/>
      <c r="BZ392" s="59"/>
      <c r="CA392" s="59"/>
      <c r="CC392" s="59"/>
    </row>
    <row r="393" spans="1:81" x14ac:dyDescent="0.25">
      <c r="A393">
        <f t="shared" si="319"/>
        <v>895000</v>
      </c>
      <c r="B393">
        <f t="shared" si="295"/>
        <v>895</v>
      </c>
      <c r="C393">
        <f t="shared" ref="C393:C456" si="320">SQRT((A393/Fesr)^2+1)</f>
        <v>7.4900108555227165</v>
      </c>
      <c r="D393">
        <f t="shared" ref="D393:D456" si="321">ATAN(A393/Fesr)</f>
        <v>1.4368853115605649</v>
      </c>
      <c r="F393">
        <f t="shared" ref="F393:F456" si="322">(Ro/(Ro+Rdcr))/SQRT((A393/(Q*Fo))^2+(1-(A393^2/Fo^2))^2)</f>
        <v>3.1997937821087246E-5</v>
      </c>
      <c r="G393">
        <f t="shared" ref="G393:G456" si="323">-ATAN(A393*Fo/(Q*(Fo^2-A393^2)))</f>
        <v>1.9242659589091321E-3</v>
      </c>
      <c r="H393">
        <f t="shared" ref="H393:H456" si="324">IF(G393&gt;0,G393-Pi,G393)</f>
        <v>-3.1396683840410913</v>
      </c>
      <c r="J393">
        <f t="shared" ref="J393:J456" si="325">Vin/Vramp</f>
        <v>15</v>
      </c>
      <c r="M393">
        <f t="shared" ref="M393:M456" si="326">1/(2*Pi*_Rfb1*(Cc1ea_u+Cc2ea_u)*A393)</f>
        <v>1.4214768366201465E-3</v>
      </c>
      <c r="N393">
        <f t="shared" ref="N393:N456" si="327">-Pi/2</f>
        <v>-1.5707963250000001</v>
      </c>
      <c r="O393">
        <f t="shared" ref="O393:O456" si="328">SQRT(1+(A393/Fz1_u)^2)</f>
        <v>260.03028986346123</v>
      </c>
      <c r="P393">
        <f t="shared" ref="P393:P456" si="329">ATAN2(Fz1_u,A393)</f>
        <v>1.5669506114920742</v>
      </c>
      <c r="Q393">
        <f t="shared" ref="Q393:Q456" si="330">SQRT(1+(A393/Fz2_u)^2)</f>
        <v>229.61892237300617</v>
      </c>
      <c r="R393">
        <f t="shared" ref="R393:R456" si="331">ATAN2(Fz2_u,A393)</f>
        <v>1.5664412712500084</v>
      </c>
      <c r="S393">
        <f t="shared" ref="S393:S456" si="332">1/SQRT(1+(A393/Fp1_u)^2)</f>
        <v>0.14285940094303423</v>
      </c>
      <c r="T393">
        <f t="shared" ref="T393:T456" si="333">-ATAN2(Fp1_u,A393)</f>
        <v>-1.4274464764027854</v>
      </c>
      <c r="U393">
        <f t="shared" ref="U393:U456" si="334">1/SQRT(1+(A393/Fp2_u)^2)</f>
        <v>0.17542260214820207</v>
      </c>
      <c r="V393">
        <f t="shared" ref="V393:V456" si="335">-ATAN2(Fp2_u,A393)</f>
        <v>-1.3944613164692075</v>
      </c>
      <c r="X393">
        <f t="shared" si="296"/>
        <v>-42.330770569885374</v>
      </c>
      <c r="Y393">
        <f t="shared" ref="Y393:Y456" si="336">(180/Pi)*(D393+H393+N393+P393+R393+T393+V393)</f>
        <v>-169.71555983551164</v>
      </c>
      <c r="Z393">
        <f t="shared" si="297"/>
        <v>10.284440164488359</v>
      </c>
      <c r="AC393">
        <v>1</v>
      </c>
      <c r="AD393">
        <f t="shared" ref="AD393:AD456" si="337">Rcea1_u*Cc1ea_u*A393*2*Pi</f>
        <v>260.02836700344</v>
      </c>
      <c r="AE393">
        <f t="shared" ref="AE393:AE456" si="338">-Rcea1_u*Cc1ea_u*Cc2ea_u*(A393*2*Pi)^2</f>
        <v>-0.21933851096391338</v>
      </c>
      <c r="AF393">
        <f t="shared" ref="AF393:AF456" si="339">(Cc2ea_u+Cc1ea_u)*A393*2*Pi</f>
        <v>3.9082983362324998E-2</v>
      </c>
      <c r="AG393">
        <f t="shared" si="315"/>
        <v>200.32180588484991</v>
      </c>
      <c r="AH393">
        <f t="shared" si="316"/>
        <v>-1149.8172030465935</v>
      </c>
      <c r="AJ393">
        <f t="shared" ref="AJ393:AJ456" si="340">_Rfb1</f>
        <v>18000</v>
      </c>
      <c r="AK393">
        <f t="shared" ref="AK393:AK456" si="341">_Rfb1*Rcea2_u*Cc3ea_u*A393*2*Pi</f>
        <v>124705.64590545598</v>
      </c>
      <c r="AL393">
        <v>1</v>
      </c>
      <c r="AM393">
        <f t="shared" ref="AM393:AM456" si="342">(_Rfb1+Rcea2_u)*Cc3ea_u*A393*2*Pi</f>
        <v>229.61674484179201</v>
      </c>
      <c r="AN393">
        <f t="shared" si="317"/>
        <v>543.43454256467226</v>
      </c>
      <c r="AO393">
        <f t="shared" si="318"/>
        <v>-76.024792832347899</v>
      </c>
      <c r="AQ393">
        <f t="shared" ref="AQ393:AQ456" si="343">Eadcg/(1+(Eadcg*A393/GBP)^2)</f>
        <v>3.1210002431259188E-3</v>
      </c>
      <c r="AR393">
        <f t="shared" ref="AR393:AR456" si="344">-(A393*Eadcg*Eadcg/GBP)/(1+(Eadcg*A393/GBP)^2)</f>
        <v>-5.5865904351953946</v>
      </c>
      <c r="AT393">
        <f t="shared" si="313"/>
        <v>-6422.9325843583501</v>
      </c>
      <c r="AU393">
        <f t="shared" si="314"/>
        <v>-1122.7044644876298</v>
      </c>
      <c r="AV393">
        <f t="shared" si="302"/>
        <v>-2.9685446994071683</v>
      </c>
      <c r="AW393">
        <f t="shared" si="303"/>
        <v>327.13739185903643</v>
      </c>
      <c r="AX393">
        <f t="shared" si="304"/>
        <v>-4453.1604300557774</v>
      </c>
      <c r="AY393">
        <f t="shared" si="312"/>
        <v>-1.4974662022851981</v>
      </c>
      <c r="BA393">
        <f t="shared" ref="BA393:BA456" si="345">SQRT(AT393^2+AU393^2)/SQRT(AW393^2+AX393^2)</f>
        <v>1.4602648306795911</v>
      </c>
      <c r="BB393">
        <f t="shared" si="305"/>
        <v>3.2886325139456685</v>
      </c>
      <c r="BC393">
        <f t="shared" si="306"/>
        <v>-1.4710784971219701</v>
      </c>
      <c r="BD393">
        <f t="shared" ref="BD393:BD456" si="346">BC393*180/Pi-180</f>
        <v>-264.28658931384837</v>
      </c>
      <c r="BF393">
        <f t="shared" ref="BF393:BF456" si="347">20*LOG(BA393*J393*F393*C393)</f>
        <v>-45.597453559407597</v>
      </c>
      <c r="BG393">
        <f t="shared" ref="BG393:BG456" si="348">(180/Pi)*(D393+H393+BC393)</f>
        <v>-181.84887290478264</v>
      </c>
      <c r="BH393">
        <f t="shared" si="307"/>
        <v>-1.8488729047826382</v>
      </c>
      <c r="BI393">
        <f t="shared" si="308"/>
        <v>-1.8488729047826382</v>
      </c>
      <c r="BJ393">
        <f t="shared" ref="BJ393:BJ456" si="349">SUM((BF394&lt;0)*(BF393&gt;0))*A393</f>
        <v>0</v>
      </c>
      <c r="BK393">
        <f t="shared" si="309"/>
        <v>0</v>
      </c>
      <c r="BM393">
        <f t="shared" si="310"/>
        <v>-48.886086073353269</v>
      </c>
      <c r="BN393">
        <f t="shared" ref="BN393:BN456" si="350">(H393+D393)*180/Pi</f>
        <v>-97.562283590934285</v>
      </c>
      <c r="BQ393" s="56">
        <f t="shared" si="311"/>
        <v>20.190593314230803</v>
      </c>
      <c r="BR393" s="59"/>
      <c r="BS393" s="59"/>
      <c r="BT393" s="59">
        <v>676082.97499999998</v>
      </c>
      <c r="BU393" s="59">
        <v>9.5117999999999991</v>
      </c>
      <c r="BV393" s="59">
        <v>110.592</v>
      </c>
      <c r="BY393" s="59"/>
      <c r="BZ393" s="59"/>
      <c r="CA393" s="59"/>
      <c r="CC393" s="59"/>
    </row>
    <row r="394" spans="1:81" x14ac:dyDescent="0.25">
      <c r="A394">
        <f t="shared" si="319"/>
        <v>900000</v>
      </c>
      <c r="B394">
        <f t="shared" ref="B394:B457" si="351">A394/1000</f>
        <v>900</v>
      </c>
      <c r="C394">
        <f t="shared" si="320"/>
        <v>7.531110654350452</v>
      </c>
      <c r="D394">
        <f t="shared" si="321"/>
        <v>1.4376204724028414</v>
      </c>
      <c r="F394">
        <f t="shared" si="322"/>
        <v>3.1643382133454019E-5</v>
      </c>
      <c r="G394">
        <f t="shared" si="323"/>
        <v>1.9135749362015916E-3</v>
      </c>
      <c r="H394">
        <f t="shared" si="324"/>
        <v>-3.1396790750637984</v>
      </c>
      <c r="J394">
        <f t="shared" si="325"/>
        <v>15</v>
      </c>
      <c r="M394">
        <f t="shared" si="326"/>
        <v>1.4135797430833677E-3</v>
      </c>
      <c r="N394">
        <f t="shared" si="327"/>
        <v>-1.5707963250000001</v>
      </c>
      <c r="O394">
        <f t="shared" si="328"/>
        <v>261.48295162234393</v>
      </c>
      <c r="P394">
        <f t="shared" si="329"/>
        <v>1.5669719763681895</v>
      </c>
      <c r="Q394">
        <f t="shared" si="330"/>
        <v>230.90168538657227</v>
      </c>
      <c r="R394">
        <f t="shared" si="331"/>
        <v>1.5664654656996548</v>
      </c>
      <c r="S394">
        <f t="shared" si="332"/>
        <v>0.142081803321255</v>
      </c>
      <c r="T394">
        <f t="shared" si="333"/>
        <v>-1.4282320880435118</v>
      </c>
      <c r="U394">
        <f t="shared" si="334"/>
        <v>0.17447778081589851</v>
      </c>
      <c r="V394">
        <f t="shared" si="335"/>
        <v>-1.395420937807428</v>
      </c>
      <c r="X394">
        <f t="shared" ref="X394:X457" si="352">20*LOG(C394*J394*O394*Q394*F394*M394*S394*U394)</f>
        <v>-42.425948646813495</v>
      </c>
      <c r="Y394">
        <f t="shared" si="336"/>
        <v>-169.77143489940664</v>
      </c>
      <c r="Z394">
        <f t="shared" ref="Z394:Z457" si="353">Y394+180</f>
        <v>10.228565100593357</v>
      </c>
      <c r="AC394">
        <v>1</v>
      </c>
      <c r="AD394">
        <f t="shared" si="337"/>
        <v>261.48103944479999</v>
      </c>
      <c r="AE394">
        <f t="shared" si="338"/>
        <v>-0.22179606614121886</v>
      </c>
      <c r="AF394">
        <f t="shared" si="339"/>
        <v>3.9301324051499997E-2</v>
      </c>
      <c r="AG394">
        <f t="shared" si="315"/>
        <v>198.16976143639999</v>
      </c>
      <c r="AH394">
        <f t="shared" si="316"/>
        <v>-1143.810662862938</v>
      </c>
      <c r="AJ394">
        <f t="shared" si="340"/>
        <v>18000</v>
      </c>
      <c r="AK394">
        <f t="shared" si="341"/>
        <v>125402.32549151999</v>
      </c>
      <c r="AL394">
        <v>1</v>
      </c>
      <c r="AM394">
        <f t="shared" si="342"/>
        <v>230.89951995263999</v>
      </c>
      <c r="AN394">
        <f t="shared" si="317"/>
        <v>543.43087402701008</v>
      </c>
      <c r="AO394">
        <f t="shared" si="318"/>
        <v>-75.602448760194576</v>
      </c>
      <c r="AQ394">
        <f t="shared" si="343"/>
        <v>3.0864188004880245E-3</v>
      </c>
      <c r="AR394">
        <f t="shared" si="344"/>
        <v>-5.5555538408784439</v>
      </c>
      <c r="AT394">
        <f t="shared" si="313"/>
        <v>-6353.8900864285288</v>
      </c>
      <c r="AU394">
        <f t="shared" si="314"/>
        <v>-1104.4730580280157</v>
      </c>
      <c r="AV394">
        <f t="shared" ref="AV394:AV457" si="354">ATAN2(AT394,AU394)</f>
        <v>-2.9694860595306318</v>
      </c>
      <c r="AW394">
        <f t="shared" ref="AW394:AW457" si="355">AG394-AH394*AO394/_Rfb2+AG394*AN394/_Rfb2+AN394-AO394*AR394+AQ394*AN394</f>
        <v>329.59995241945126</v>
      </c>
      <c r="AX394">
        <f t="shared" ref="AX394:AX457" si="356">AH394+AH394*AN394/_Rfb2+AG394*AO394/_Rfb2+AO394+AO394*AQ394+AN394*AR394</f>
        <v>-4428.7910592662911</v>
      </c>
      <c r="AY394">
        <f t="shared" si="312"/>
        <v>-1.4965111664963207</v>
      </c>
      <c r="BA394">
        <f t="shared" si="345"/>
        <v>1.4521757416580023</v>
      </c>
      <c r="BB394">
        <f t="shared" ref="BB394:BB457" si="357">20*LOG(BA394)</f>
        <v>3.2403835533668799</v>
      </c>
      <c r="BC394">
        <f t="shared" ref="BC394:BC457" si="358">AV394-AY394</f>
        <v>-1.4729748930343112</v>
      </c>
      <c r="BD394">
        <f t="shared" si="346"/>
        <v>-264.39524479603551</v>
      </c>
      <c r="BF394">
        <f t="shared" si="347"/>
        <v>-45.694952772695075</v>
      </c>
      <c r="BG394">
        <f t="shared" si="348"/>
        <v>-181.91601932387644</v>
      </c>
      <c r="BH394">
        <f t="shared" ref="BH394:BH457" si="359">IF(BG394&gt;180,BG394-180,BG394+180)</f>
        <v>-1.9160193238764407</v>
      </c>
      <c r="BI394">
        <f t="shared" ref="BI394:BI457" si="360">IF(BH394&gt;180,BH394-360,BH394)</f>
        <v>-1.9160193238764407</v>
      </c>
      <c r="BJ394">
        <f t="shared" si="349"/>
        <v>0</v>
      </c>
      <c r="BK394">
        <f t="shared" ref="BK394:BK457" si="361">IF(BJ394&gt;0,BI394,0)</f>
        <v>0</v>
      </c>
      <c r="BM394">
        <f t="shared" ref="BM394:BM457" si="362">20*LOG(J394*F394*C394)</f>
        <v>-48.935336326061957</v>
      </c>
      <c r="BN394">
        <f t="shared" si="350"/>
        <v>-97.520774527840913</v>
      </c>
      <c r="BQ394" s="56">
        <f t="shared" ref="BQ394:BQ457" si="363">20*LOG(BA394*7)</f>
        <v>20.142344353652017</v>
      </c>
      <c r="BR394" s="59"/>
      <c r="BS394" s="59"/>
      <c r="BT394" s="59">
        <v>691830.97100000002</v>
      </c>
      <c r="BU394" s="59">
        <v>9.28308</v>
      </c>
      <c r="BV394" s="59">
        <v>111.01300000000001</v>
      </c>
      <c r="BY394" s="59"/>
      <c r="BZ394" s="59"/>
      <c r="CA394" s="59"/>
      <c r="CC394" s="59"/>
    </row>
    <row r="395" spans="1:81" x14ac:dyDescent="0.25">
      <c r="A395">
        <f t="shared" si="319"/>
        <v>905000</v>
      </c>
      <c r="B395">
        <f t="shared" si="351"/>
        <v>905</v>
      </c>
      <c r="C395">
        <f t="shared" si="320"/>
        <v>7.5722144792674424</v>
      </c>
      <c r="D395">
        <f t="shared" si="321"/>
        <v>1.4383476523702832</v>
      </c>
      <c r="F395">
        <f t="shared" si="322"/>
        <v>3.1294687043082049E-5</v>
      </c>
      <c r="G395">
        <f t="shared" si="323"/>
        <v>1.90300205712945E-3</v>
      </c>
      <c r="H395">
        <f t="shared" si="324"/>
        <v>-3.1396896479428706</v>
      </c>
      <c r="J395">
        <f t="shared" si="325"/>
        <v>15</v>
      </c>
      <c r="M395">
        <f t="shared" si="326"/>
        <v>1.4057699102486532E-3</v>
      </c>
      <c r="N395">
        <f t="shared" si="327"/>
        <v>-1.5707963250000001</v>
      </c>
      <c r="O395">
        <f t="shared" si="328"/>
        <v>262.9356134992637</v>
      </c>
      <c r="P395">
        <f t="shared" si="329"/>
        <v>1.5669931051717596</v>
      </c>
      <c r="Q395">
        <f t="shared" si="330"/>
        <v>232.18444853380817</v>
      </c>
      <c r="R395">
        <f t="shared" si="331"/>
        <v>1.5664893928123027</v>
      </c>
      <c r="S395">
        <f t="shared" si="332"/>
        <v>0.14131253914703559</v>
      </c>
      <c r="T395">
        <f t="shared" si="333"/>
        <v>-1.4290091931885402</v>
      </c>
      <c r="U395">
        <f t="shared" si="334"/>
        <v>0.17354292527310419</v>
      </c>
      <c r="V395">
        <f t="shared" si="335"/>
        <v>-1.3963702766702946</v>
      </c>
      <c r="X395">
        <f t="shared" si="352"/>
        <v>-42.520616465917804</v>
      </c>
      <c r="Y395">
        <f t="shared" si="336"/>
        <v>-169.82671277911373</v>
      </c>
      <c r="Z395">
        <f t="shared" si="353"/>
        <v>10.173287220886266</v>
      </c>
      <c r="AC395">
        <v>1</v>
      </c>
      <c r="AD395">
        <f t="shared" si="337"/>
        <v>262.93371188616004</v>
      </c>
      <c r="AE395">
        <f t="shared" si="338"/>
        <v>-0.22426731243371822</v>
      </c>
      <c r="AF395">
        <f t="shared" si="339"/>
        <v>3.9519664740674997E-2</v>
      </c>
      <c r="AG395">
        <f t="shared" si="315"/>
        <v>196.05185524440449</v>
      </c>
      <c r="AH395">
        <f t="shared" si="316"/>
        <v>-1137.8644775552546</v>
      </c>
      <c r="AJ395">
        <f t="shared" si="340"/>
        <v>18000</v>
      </c>
      <c r="AK395">
        <f t="shared" si="341"/>
        <v>126099.00507758401</v>
      </c>
      <c r="AL395">
        <v>1</v>
      </c>
      <c r="AM395">
        <f t="shared" si="342"/>
        <v>232.182295063488</v>
      </c>
      <c r="AN395">
        <f t="shared" si="317"/>
        <v>543.4272661242112</v>
      </c>
      <c r="AO395">
        <f t="shared" si="318"/>
        <v>-75.18477121221693</v>
      </c>
      <c r="AQ395">
        <f t="shared" si="343"/>
        <v>3.0524089458780421E-3</v>
      </c>
      <c r="AR395">
        <f t="shared" si="344"/>
        <v>-5.5248601920392568</v>
      </c>
      <c r="AT395">
        <f t="shared" si="313"/>
        <v>-6285.9437255437688</v>
      </c>
      <c r="AU395">
        <f t="shared" si="314"/>
        <v>-1086.6323183257398</v>
      </c>
      <c r="AV395">
        <f t="shared" si="354"/>
        <v>-2.9704173389566968</v>
      </c>
      <c r="AW395">
        <f t="shared" si="355"/>
        <v>332.0203345286377</v>
      </c>
      <c r="AX395">
        <f t="shared" si="356"/>
        <v>-4404.6851350781153</v>
      </c>
      <c r="AY395">
        <f t="shared" ref="AY395:AY458" si="364">ATAN2(AW395,AX395)</f>
        <v>-1.4955597059342074</v>
      </c>
      <c r="BA395">
        <f t="shared" si="345"/>
        <v>1.4441730344867689</v>
      </c>
      <c r="BB395">
        <f t="shared" si="357"/>
        <v>3.1923846322715121</v>
      </c>
      <c r="BC395">
        <f t="shared" si="358"/>
        <v>-1.4748576330224894</v>
      </c>
      <c r="BD395">
        <f t="shared" si="346"/>
        <v>-264.5031178514019</v>
      </c>
      <c r="BF395">
        <f t="shared" si="347"/>
        <v>-45.791919797188818</v>
      </c>
      <c r="BG395">
        <f t="shared" si="348"/>
        <v>-181.98283381746319</v>
      </c>
      <c r="BH395">
        <f t="shared" si="359"/>
        <v>-1.9828338174631881</v>
      </c>
      <c r="BI395">
        <f t="shared" si="360"/>
        <v>-1.9828338174631881</v>
      </c>
      <c r="BJ395">
        <f t="shared" si="349"/>
        <v>0</v>
      </c>
      <c r="BK395">
        <f t="shared" si="361"/>
        <v>0</v>
      </c>
      <c r="BM395">
        <f t="shared" si="362"/>
        <v>-48.98430442946033</v>
      </c>
      <c r="BN395">
        <f t="shared" si="350"/>
        <v>-97.479715966061264</v>
      </c>
      <c r="BQ395" s="56">
        <f t="shared" si="363"/>
        <v>20.094345432556651</v>
      </c>
      <c r="BR395" s="59"/>
      <c r="BS395" s="59"/>
      <c r="BT395" s="59">
        <v>707945.78399999999</v>
      </c>
      <c r="BU395" s="59">
        <v>9.1002899999999993</v>
      </c>
      <c r="BV395" s="59">
        <v>109.21</v>
      </c>
      <c r="BY395" s="59"/>
      <c r="BZ395" s="59"/>
      <c r="CA395" s="59"/>
      <c r="CC395" s="59"/>
    </row>
    <row r="396" spans="1:81" x14ac:dyDescent="0.25">
      <c r="A396">
        <f t="shared" si="319"/>
        <v>910000</v>
      </c>
      <c r="B396">
        <f t="shared" si="351"/>
        <v>910</v>
      </c>
      <c r="C396">
        <f t="shared" si="320"/>
        <v>7.6133222650639132</v>
      </c>
      <c r="D396">
        <f t="shared" si="321"/>
        <v>1.4390669799646494</v>
      </c>
      <c r="F396">
        <f t="shared" si="322"/>
        <v>3.0951724093832564E-5</v>
      </c>
      <c r="G396">
        <f t="shared" si="323"/>
        <v>1.8925453740349929E-3</v>
      </c>
      <c r="H396">
        <f t="shared" si="324"/>
        <v>-3.1397001046259652</v>
      </c>
      <c r="J396">
        <f t="shared" si="325"/>
        <v>15</v>
      </c>
      <c r="M396">
        <f t="shared" si="326"/>
        <v>1.3980458997527813E-3</v>
      </c>
      <c r="N396">
        <f t="shared" si="327"/>
        <v>-1.5707963250000001</v>
      </c>
      <c r="O396">
        <f t="shared" si="328"/>
        <v>264.388275492275</v>
      </c>
      <c r="P396">
        <f t="shared" si="329"/>
        <v>1.5670140017940151</v>
      </c>
      <c r="Q396">
        <f t="shared" si="330"/>
        <v>233.4672118125105</v>
      </c>
      <c r="R396">
        <f t="shared" si="331"/>
        <v>1.5665130569944976</v>
      </c>
      <c r="S396">
        <f t="shared" si="332"/>
        <v>0.14055147655669753</v>
      </c>
      <c r="T396">
        <f t="shared" si="333"/>
        <v>-1.4297779283311474</v>
      </c>
      <c r="U396">
        <f t="shared" si="334"/>
        <v>0.17261788119818572</v>
      </c>
      <c r="V396">
        <f t="shared" si="335"/>
        <v>-1.3973094957603063</v>
      </c>
      <c r="X396">
        <f t="shared" si="352"/>
        <v>-42.614779381910978</v>
      </c>
      <c r="Y396">
        <f t="shared" si="336"/>
        <v>-169.88140289084458</v>
      </c>
      <c r="Z396">
        <f t="shared" si="353"/>
        <v>10.118597109155417</v>
      </c>
      <c r="AC396">
        <v>1</v>
      </c>
      <c r="AD396">
        <f t="shared" si="337"/>
        <v>264.38638432751998</v>
      </c>
      <c r="AE396">
        <f t="shared" si="338"/>
        <v>-0.22675224984141151</v>
      </c>
      <c r="AF396">
        <f t="shared" si="339"/>
        <v>3.9738005429849996E-2</v>
      </c>
      <c r="AG396">
        <f t="shared" si="315"/>
        <v>193.96737660686381</v>
      </c>
      <c r="AH396">
        <f t="shared" si="316"/>
        <v>-1131.9777768124518</v>
      </c>
      <c r="AJ396">
        <f t="shared" si="340"/>
        <v>18000</v>
      </c>
      <c r="AK396">
        <f t="shared" si="341"/>
        <v>126795.68466364799</v>
      </c>
      <c r="AL396">
        <v>1</v>
      </c>
      <c r="AM396">
        <f t="shared" si="342"/>
        <v>233.46507017433601</v>
      </c>
      <c r="AN396">
        <f t="shared" si="317"/>
        <v>543.42371752735016</v>
      </c>
      <c r="AO396">
        <f t="shared" si="318"/>
        <v>-74.771683273378983</v>
      </c>
      <c r="AQ396">
        <f t="shared" si="343"/>
        <v>3.0189581515039999E-3</v>
      </c>
      <c r="AR396">
        <f t="shared" si="344"/>
        <v>-5.4945038357372793</v>
      </c>
      <c r="AT396">
        <f t="shared" si="313"/>
        <v>-6219.0706572726413</v>
      </c>
      <c r="AU396">
        <f t="shared" si="314"/>
        <v>-1069.1718883109399</v>
      </c>
      <c r="AV396">
        <f t="shared" si="354"/>
        <v>-2.9713386970619262</v>
      </c>
      <c r="AW396">
        <f t="shared" si="355"/>
        <v>334.39950128334601</v>
      </c>
      <c r="AX396">
        <f t="shared" si="356"/>
        <v>-4380.8384352195744</v>
      </c>
      <c r="AY396">
        <f t="shared" si="364"/>
        <v>-1.4946117574936055</v>
      </c>
      <c r="BA396">
        <f t="shared" si="345"/>
        <v>1.4362553376335474</v>
      </c>
      <c r="BB396">
        <f t="shared" si="357"/>
        <v>3.1446331138291974</v>
      </c>
      <c r="BC396">
        <f t="shared" si="358"/>
        <v>-1.4767269395683207</v>
      </c>
      <c r="BD396">
        <f t="shared" si="346"/>
        <v>-264.61022122721658</v>
      </c>
      <c r="BF396">
        <f t="shared" si="347"/>
        <v>-45.888360527648551</v>
      </c>
      <c r="BG396">
        <f t="shared" si="348"/>
        <v>-182.049321881796</v>
      </c>
      <c r="BH396">
        <f t="shared" si="359"/>
        <v>-2.0493218817960042</v>
      </c>
      <c r="BI396">
        <f t="shared" si="360"/>
        <v>-2.0493218817960042</v>
      </c>
      <c r="BJ396">
        <f t="shared" si="349"/>
        <v>0</v>
      </c>
      <c r="BK396">
        <f t="shared" si="361"/>
        <v>0</v>
      </c>
      <c r="BM396">
        <f t="shared" si="362"/>
        <v>-49.032993641477759</v>
      </c>
      <c r="BN396">
        <f t="shared" si="350"/>
        <v>-97.439100654579406</v>
      </c>
      <c r="BQ396" s="56">
        <f t="shared" si="363"/>
        <v>20.046593914114332</v>
      </c>
      <c r="BR396" s="59"/>
      <c r="BS396" s="59"/>
      <c r="BT396" s="59">
        <v>724435.96</v>
      </c>
      <c r="BU396" s="59">
        <v>8.7908299999999997</v>
      </c>
      <c r="BV396" s="59">
        <v>107.553</v>
      </c>
      <c r="BY396" s="59"/>
      <c r="BZ396" s="59"/>
      <c r="CA396" s="59"/>
      <c r="CC396" s="59"/>
    </row>
    <row r="397" spans="1:81" x14ac:dyDescent="0.25">
      <c r="A397">
        <f t="shared" si="319"/>
        <v>915000</v>
      </c>
      <c r="B397">
        <f t="shared" si="351"/>
        <v>915</v>
      </c>
      <c r="C397">
        <f t="shared" si="320"/>
        <v>7.6544339479247041</v>
      </c>
      <c r="D397">
        <f t="shared" si="321"/>
        <v>1.4397785809598918</v>
      </c>
      <c r="F397">
        <f t="shared" si="322"/>
        <v>3.0614368329886213E-5</v>
      </c>
      <c r="G397">
        <f t="shared" si="323"/>
        <v>1.8822029818386294E-3</v>
      </c>
      <c r="H397">
        <f t="shared" si="324"/>
        <v>-3.1397104470181616</v>
      </c>
      <c r="J397">
        <f t="shared" si="325"/>
        <v>15</v>
      </c>
      <c r="M397">
        <f t="shared" si="326"/>
        <v>1.3904063046721652E-3</v>
      </c>
      <c r="N397">
        <f t="shared" si="327"/>
        <v>-1.5707963250000001</v>
      </c>
      <c r="O397">
        <f t="shared" si="328"/>
        <v>265.84093759947467</v>
      </c>
      <c r="P397">
        <f t="shared" si="329"/>
        <v>1.5670346700411346</v>
      </c>
      <c r="Q397">
        <f t="shared" si="330"/>
        <v>234.74997522052416</v>
      </c>
      <c r="R397">
        <f t="shared" si="331"/>
        <v>1.5665364625564693</v>
      </c>
      <c r="S397">
        <f t="shared" si="332"/>
        <v>0.13979848642417689</v>
      </c>
      <c r="T397">
        <f t="shared" si="333"/>
        <v>-1.4305384270796706</v>
      </c>
      <c r="U397">
        <f t="shared" si="334"/>
        <v>0.17170249738509247</v>
      </c>
      <c r="V397">
        <f t="shared" si="335"/>
        <v>-1.3982387544010302</v>
      </c>
      <c r="X397">
        <f t="shared" si="352"/>
        <v>-42.708442667010516</v>
      </c>
      <c r="Y397">
        <f t="shared" si="336"/>
        <v>-169.93551445616157</v>
      </c>
      <c r="Z397">
        <f t="shared" si="353"/>
        <v>10.06448554383843</v>
      </c>
      <c r="AC397">
        <v>1</v>
      </c>
      <c r="AD397">
        <f t="shared" si="337"/>
        <v>265.83905676887997</v>
      </c>
      <c r="AE397">
        <f t="shared" si="338"/>
        <v>-0.22925087836429869</v>
      </c>
      <c r="AF397">
        <f t="shared" si="339"/>
        <v>3.9956346119025002E-2</v>
      </c>
      <c r="AG397">
        <f t="shared" si="315"/>
        <v>191.91563302036056</v>
      </c>
      <c r="AH397">
        <f t="shared" si="316"/>
        <v>-1126.1497061747864</v>
      </c>
      <c r="AJ397">
        <f t="shared" si="340"/>
        <v>18000</v>
      </c>
      <c r="AK397">
        <f t="shared" si="341"/>
        <v>127492.36424971199</v>
      </c>
      <c r="AL397">
        <v>1</v>
      </c>
      <c r="AM397">
        <f t="shared" si="342"/>
        <v>234.74784528518401</v>
      </c>
      <c r="AN397">
        <f t="shared" si="317"/>
        <v>543.4202269437103</v>
      </c>
      <c r="AO397">
        <f t="shared" si="318"/>
        <v>-74.363109709693475</v>
      </c>
      <c r="AQ397">
        <f t="shared" si="343"/>
        <v>2.9860542309253094E-3</v>
      </c>
      <c r="AR397">
        <f t="shared" si="344"/>
        <v>-5.4644792425933169</v>
      </c>
      <c r="AT397">
        <f t="shared" si="313"/>
        <v>-6153.2486229567212</v>
      </c>
      <c r="AU397">
        <f t="shared" si="314"/>
        <v>-1052.0817370636953</v>
      </c>
      <c r="AV397">
        <f t="shared" si="354"/>
        <v>-2.9722502899166479</v>
      </c>
      <c r="AW397">
        <f t="shared" si="355"/>
        <v>336.73838833711562</v>
      </c>
      <c r="AX397">
        <f t="shared" si="356"/>
        <v>-4357.2468266600372</v>
      </c>
      <c r="AY397">
        <f t="shared" si="364"/>
        <v>-1.493667259628958</v>
      </c>
      <c r="BA397">
        <f t="shared" si="345"/>
        <v>1.4284213081331458</v>
      </c>
      <c r="BB397">
        <f t="shared" si="357"/>
        <v>3.0971264010620776</v>
      </c>
      <c r="BC397">
        <f t="shared" si="358"/>
        <v>-1.4785830302876899</v>
      </c>
      <c r="BD397">
        <f t="shared" si="346"/>
        <v>-264.7165673919514</v>
      </c>
      <c r="BF397">
        <f t="shared" si="347"/>
        <v>-45.984280762283738</v>
      </c>
      <c r="BG397">
        <f t="shared" si="348"/>
        <v>-182.11548888818311</v>
      </c>
      <c r="BH397">
        <f t="shared" si="359"/>
        <v>-2.1154888881831084</v>
      </c>
      <c r="BI397">
        <f t="shared" si="360"/>
        <v>-2.1154888881831084</v>
      </c>
      <c r="BJ397">
        <f t="shared" si="349"/>
        <v>0</v>
      </c>
      <c r="BK397">
        <f t="shared" si="361"/>
        <v>0</v>
      </c>
      <c r="BM397">
        <f t="shared" si="362"/>
        <v>-49.081407163345823</v>
      </c>
      <c r="BN397">
        <f t="shared" si="350"/>
        <v>-97.398921496231722</v>
      </c>
      <c r="BQ397" s="56">
        <f t="shared" si="363"/>
        <v>19.999087201347216</v>
      </c>
      <c r="BR397" s="59"/>
      <c r="BS397" s="59"/>
      <c r="BT397" s="59">
        <v>741310.24100000004</v>
      </c>
      <c r="BU397" s="59">
        <v>8.6150300000000009</v>
      </c>
      <c r="BV397" s="59">
        <v>107.324</v>
      </c>
      <c r="BY397" s="59"/>
      <c r="BZ397" s="59"/>
      <c r="CA397" s="59"/>
      <c r="CC397" s="59"/>
    </row>
    <row r="398" spans="1:81" x14ac:dyDescent="0.25">
      <c r="A398">
        <f t="shared" si="319"/>
        <v>920000</v>
      </c>
      <c r="B398">
        <f t="shared" si="351"/>
        <v>920</v>
      </c>
      <c r="C398">
        <f t="shared" si="320"/>
        <v>7.695549465392336</v>
      </c>
      <c r="D398">
        <f t="shared" si="321"/>
        <v>1.440482578473723</v>
      </c>
      <c r="F398">
        <f t="shared" si="322"/>
        <v>3.0282498181905846E-5</v>
      </c>
      <c r="G398">
        <f t="shared" si="323"/>
        <v>1.8719730168816773E-3</v>
      </c>
      <c r="H398">
        <f t="shared" si="324"/>
        <v>-3.1397206769831185</v>
      </c>
      <c r="J398">
        <f t="shared" si="325"/>
        <v>15</v>
      </c>
      <c r="M398">
        <f t="shared" si="326"/>
        <v>1.382849748668512E-3</v>
      </c>
      <c r="N398">
        <f t="shared" si="327"/>
        <v>-1.5707963250000001</v>
      </c>
      <c r="O398">
        <f t="shared" si="328"/>
        <v>267.29359981900097</v>
      </c>
      <c r="P398">
        <f t="shared" si="329"/>
        <v>1.5670551136365558</v>
      </c>
      <c r="Q398">
        <f t="shared" si="330"/>
        <v>236.03273875574075</v>
      </c>
      <c r="R398">
        <f t="shared" si="331"/>
        <v>1.5665596137147502</v>
      </c>
      <c r="S398">
        <f t="shared" si="332"/>
        <v>0.13905344229115008</v>
      </c>
      <c r="T398">
        <f t="shared" si="333"/>
        <v>-1.4312908202328045</v>
      </c>
      <c r="U398">
        <f t="shared" si="334"/>
        <v>0.17079662566659096</v>
      </c>
      <c r="V398">
        <f t="shared" si="335"/>
        <v>-1.3991582086234202</v>
      </c>
      <c r="X398">
        <f t="shared" si="352"/>
        <v>-42.801611512596914</v>
      </c>
      <c r="Y398">
        <f t="shared" si="336"/>
        <v>-169.9890565069206</v>
      </c>
      <c r="Z398">
        <f t="shared" si="353"/>
        <v>10.010943493079395</v>
      </c>
      <c r="AC398">
        <v>1</v>
      </c>
      <c r="AD398">
        <f t="shared" si="337"/>
        <v>267.29172921024002</v>
      </c>
      <c r="AE398">
        <f t="shared" si="338"/>
        <v>-0.23176319800237982</v>
      </c>
      <c r="AF398">
        <f t="shared" si="339"/>
        <v>4.0174686808200001E-2</v>
      </c>
      <c r="AG398">
        <f t="shared" si="315"/>
        <v>189.89594963005803</v>
      </c>
      <c r="AH398">
        <f t="shared" si="316"/>
        <v>-1120.3794266984546</v>
      </c>
      <c r="AJ398">
        <f t="shared" si="340"/>
        <v>18000</v>
      </c>
      <c r="AK398">
        <f t="shared" si="341"/>
        <v>128189.043835776</v>
      </c>
      <c r="AL398">
        <v>1</v>
      </c>
      <c r="AM398">
        <f t="shared" si="342"/>
        <v>236.03062039603199</v>
      </c>
      <c r="AN398">
        <f t="shared" si="317"/>
        <v>543.41679311560563</v>
      </c>
      <c r="AO398">
        <f t="shared" si="318"/>
        <v>-73.958976922546199</v>
      </c>
      <c r="AQ398">
        <f t="shared" si="343"/>
        <v>2.9536853279521127E-3</v>
      </c>
      <c r="AR398">
        <f t="shared" si="344"/>
        <v>-5.4347810034318869</v>
      </c>
      <c r="AT398">
        <f t="shared" si="313"/>
        <v>-6088.4559319764103</v>
      </c>
      <c r="AU398">
        <f t="shared" si="314"/>
        <v>-1035.3521479524766</v>
      </c>
      <c r="AV398">
        <f t="shared" si="354"/>
        <v>-2.973152270369297</v>
      </c>
      <c r="AW398">
        <f t="shared" si="355"/>
        <v>339.03790483578121</v>
      </c>
      <c r="AX398">
        <f t="shared" si="356"/>
        <v>-4333.9062632760115</v>
      </c>
      <c r="AY398">
        <f t="shared" si="364"/>
        <v>-1.4927261523068935</v>
      </c>
      <c r="BA398">
        <f t="shared" si="345"/>
        <v>1.4206696308572477</v>
      </c>
      <c r="BB398">
        <f t="shared" si="357"/>
        <v>3.049861936074258</v>
      </c>
      <c r="BC398">
        <f t="shared" si="358"/>
        <v>-1.4804261180624034</v>
      </c>
      <c r="BD398">
        <f t="shared" si="346"/>
        <v>-264.8221685428353</v>
      </c>
      <c r="BF398">
        <f t="shared" si="347"/>
        <v>-46.079686204842062</v>
      </c>
      <c r="BG398">
        <f t="shared" si="348"/>
        <v>-182.18134008650796</v>
      </c>
      <c r="BH398">
        <f t="shared" si="359"/>
        <v>-2.1813400865079586</v>
      </c>
      <c r="BI398">
        <f t="shared" si="360"/>
        <v>-2.1813400865079586</v>
      </c>
      <c r="BJ398">
        <f t="shared" si="349"/>
        <v>0</v>
      </c>
      <c r="BK398">
        <f t="shared" si="361"/>
        <v>0</v>
      </c>
      <c r="BM398">
        <f t="shared" si="362"/>
        <v>-49.129548140916313</v>
      </c>
      <c r="BN398">
        <f t="shared" si="350"/>
        <v>-97.359171543672659</v>
      </c>
      <c r="BQ398" s="56">
        <f t="shared" si="363"/>
        <v>19.951822736359397</v>
      </c>
      <c r="BR398" s="59"/>
      <c r="BS398" s="59"/>
      <c r="BT398" s="59">
        <v>758577.57499999995</v>
      </c>
      <c r="BU398" s="59">
        <v>8.3056699999999992</v>
      </c>
      <c r="BV398" s="59">
        <v>105.50700000000001</v>
      </c>
      <c r="BY398" s="59"/>
      <c r="BZ398" s="59"/>
      <c r="CA398" s="59"/>
      <c r="CC398" s="59"/>
    </row>
    <row r="399" spans="1:81" x14ac:dyDescent="0.25">
      <c r="A399">
        <f t="shared" si="319"/>
        <v>925000</v>
      </c>
      <c r="B399">
        <f t="shared" si="351"/>
        <v>925</v>
      </c>
      <c r="C399">
        <f t="shared" si="320"/>
        <v>7.7366687563312526</v>
      </c>
      <c r="D399">
        <f t="shared" si="321"/>
        <v>1.4411790930369583</v>
      </c>
      <c r="F399">
        <f t="shared" si="322"/>
        <v>2.9955995357495208E-5</v>
      </c>
      <c r="G399">
        <f t="shared" si="323"/>
        <v>1.8618536558066754E-3</v>
      </c>
      <c r="H399">
        <f t="shared" si="324"/>
        <v>-3.1397307963441934</v>
      </c>
      <c r="J399">
        <f t="shared" si="325"/>
        <v>15</v>
      </c>
      <c r="M399">
        <f t="shared" si="326"/>
        <v>1.3753748851621957E-3</v>
      </c>
      <c r="N399">
        <f t="shared" si="327"/>
        <v>-1.5707963250000001</v>
      </c>
      <c r="O399">
        <f t="shared" si="328"/>
        <v>268.74626214903248</v>
      </c>
      <c r="P399">
        <f t="shared" si="329"/>
        <v>1.5670753362232113</v>
      </c>
      <c r="Q399">
        <f t="shared" si="330"/>
        <v>237.31550241609767</v>
      </c>
      <c r="R399">
        <f t="shared" si="331"/>
        <v>1.5665825145947072</v>
      </c>
      <c r="S399">
        <f t="shared" si="332"/>
        <v>0.13831622029926322</v>
      </c>
      <c r="T399">
        <f t="shared" si="333"/>
        <v>-1.4320352358525679</v>
      </c>
      <c r="U399">
        <f t="shared" si="334"/>
        <v>0.16990012083971059</v>
      </c>
      <c r="V399">
        <f t="shared" si="335"/>
        <v>-1.4000680112495325</v>
      </c>
      <c r="X399">
        <f t="shared" si="352"/>
        <v>-42.894291030830878</v>
      </c>
      <c r="Y399">
        <f t="shared" si="336"/>
        <v>-170.04203789006669</v>
      </c>
      <c r="Z399">
        <f t="shared" si="353"/>
        <v>9.9579621099333053</v>
      </c>
      <c r="AC399">
        <v>1</v>
      </c>
      <c r="AD399">
        <f t="shared" si="337"/>
        <v>268.74440165160001</v>
      </c>
      <c r="AE399">
        <f t="shared" si="338"/>
        <v>-0.23428920875565479</v>
      </c>
      <c r="AF399">
        <f t="shared" si="339"/>
        <v>4.0393027497375E-2</v>
      </c>
      <c r="AG399">
        <f t="shared" si="315"/>
        <v>187.90766869876003</v>
      </c>
      <c r="AH399">
        <f t="shared" si="316"/>
        <v>-1114.6661146277836</v>
      </c>
      <c r="AJ399">
        <f t="shared" si="340"/>
        <v>18000</v>
      </c>
      <c r="AK399">
        <f t="shared" si="341"/>
        <v>128885.72342184</v>
      </c>
      <c r="AL399">
        <v>1</v>
      </c>
      <c r="AM399">
        <f t="shared" si="342"/>
        <v>237.31339550688</v>
      </c>
      <c r="AN399">
        <f t="shared" si="317"/>
        <v>543.41341481924826</v>
      </c>
      <c r="AO399">
        <f t="shared" si="318"/>
        <v>-73.559212904501493</v>
      </c>
      <c r="AQ399">
        <f t="shared" si="343"/>
        <v>2.9218399059635046E-3</v>
      </c>
      <c r="AR399">
        <f t="shared" si="344"/>
        <v>-5.405403826032483</v>
      </c>
      <c r="AT399">
        <f t="shared" si="313"/>
        <v>-6024.6714446327433</v>
      </c>
      <c r="AU399">
        <f t="shared" si="314"/>
        <v>-1018.9737072606664</v>
      </c>
      <c r="AV399">
        <f t="shared" si="354"/>
        <v>-2.9740447881282197</v>
      </c>
      <c r="AW399">
        <f t="shared" si="355"/>
        <v>341.29893431593331</v>
      </c>
      <c r="AX399">
        <f t="shared" si="356"/>
        <v>-4310.8127835898395</v>
      </c>
      <c r="AY399">
        <f t="shared" si="364"/>
        <v>-1.491788376960433</v>
      </c>
      <c r="BA399">
        <f t="shared" si="345"/>
        <v>1.4129990178060823</v>
      </c>
      <c r="BB399">
        <f t="shared" si="357"/>
        <v>3.002837199298888</v>
      </c>
      <c r="BC399">
        <f t="shared" si="358"/>
        <v>-1.4822564111677867</v>
      </c>
      <c r="BD399">
        <f t="shared" si="346"/>
        <v>-264.92703661316551</v>
      </c>
      <c r="BF399">
        <f t="shared" si="347"/>
        <v>-46.174582466642036</v>
      </c>
      <c r="BG399">
        <f t="shared" si="348"/>
        <v>-182.24688060863139</v>
      </c>
      <c r="BH399">
        <f t="shared" si="359"/>
        <v>-2.2468806086313862</v>
      </c>
      <c r="BI399">
        <f t="shared" si="360"/>
        <v>-2.2468806086313862</v>
      </c>
      <c r="BJ399">
        <f t="shared" si="349"/>
        <v>0</v>
      </c>
      <c r="BK399">
        <f t="shared" si="361"/>
        <v>0</v>
      </c>
      <c r="BM399">
        <f t="shared" si="362"/>
        <v>-49.177419665940924</v>
      </c>
      <c r="BN399">
        <f t="shared" si="350"/>
        <v>-97.319843995465888</v>
      </c>
      <c r="BQ399" s="56">
        <f t="shared" si="363"/>
        <v>19.904797999584023</v>
      </c>
      <c r="BR399" s="59"/>
      <c r="BS399" s="59"/>
      <c r="BT399" s="59">
        <v>776247.11699999997</v>
      </c>
      <c r="BU399" s="59">
        <v>7.9999099999999999</v>
      </c>
      <c r="BV399" s="59">
        <v>105.28700000000001</v>
      </c>
      <c r="BY399" s="59"/>
      <c r="BZ399" s="59"/>
      <c r="CA399" s="59"/>
      <c r="CC399" s="59"/>
    </row>
    <row r="400" spans="1:81" x14ac:dyDescent="0.25">
      <c r="A400">
        <f t="shared" si="319"/>
        <v>930000</v>
      </c>
      <c r="B400">
        <f t="shared" si="351"/>
        <v>930</v>
      </c>
      <c r="C400">
        <f t="shared" si="320"/>
        <v>7.7777917608931855</v>
      </c>
      <c r="D400">
        <f t="shared" si="321"/>
        <v>1.4418682426607083</v>
      </c>
      <c r="F400">
        <f t="shared" si="322"/>
        <v>2.9634744735769423E-5</v>
      </c>
      <c r="G400">
        <f t="shared" si="323"/>
        <v>1.8518431144738338E-3</v>
      </c>
      <c r="H400">
        <f t="shared" si="324"/>
        <v>-3.1397408068855266</v>
      </c>
      <c r="J400">
        <f t="shared" si="325"/>
        <v>15</v>
      </c>
      <c r="M400">
        <f t="shared" si="326"/>
        <v>1.3679803965322914E-3</v>
      </c>
      <c r="N400">
        <f t="shared" si="327"/>
        <v>-1.5707963250000001</v>
      </c>
      <c r="O400">
        <f t="shared" si="328"/>
        <v>270.19892458778685</v>
      </c>
      <c r="P400">
        <f t="shared" si="329"/>
        <v>1.5670953413656932</v>
      </c>
      <c r="Q400">
        <f t="shared" si="330"/>
        <v>238.59826619957653</v>
      </c>
      <c r="R400">
        <f t="shared" si="331"/>
        <v>1.5666051692329923</v>
      </c>
      <c r="S400">
        <f t="shared" si="332"/>
        <v>0.13758669912439181</v>
      </c>
      <c r="T400">
        <f t="shared" si="333"/>
        <v>-1.4327717993350231</v>
      </c>
      <c r="U400">
        <f t="shared" si="334"/>
        <v>0.16901284059332761</v>
      </c>
      <c r="V400">
        <f t="shared" si="335"/>
        <v>-1.4009683119737275</v>
      </c>
      <c r="X400">
        <f t="shared" si="352"/>
        <v>-42.986486256231117</v>
      </c>
      <c r="Y400">
        <f t="shared" si="336"/>
        <v>-170.0944672722859</v>
      </c>
      <c r="Z400">
        <f t="shared" si="353"/>
        <v>9.9055327277141032</v>
      </c>
      <c r="AC400">
        <v>1</v>
      </c>
      <c r="AD400">
        <f t="shared" si="337"/>
        <v>270.19707409296001</v>
      </c>
      <c r="AE400">
        <f t="shared" si="338"/>
        <v>-0.2368289106241237</v>
      </c>
      <c r="AF400">
        <f t="shared" si="339"/>
        <v>4.061136818655E-2</v>
      </c>
      <c r="AG400">
        <f t="shared" si="315"/>
        <v>185.95014909428983</v>
      </c>
      <c r="AH400">
        <f t="shared" si="316"/>
        <v>-1109.0089610748503</v>
      </c>
      <c r="AJ400">
        <f t="shared" si="340"/>
        <v>18000</v>
      </c>
      <c r="AK400">
        <f t="shared" si="341"/>
        <v>129582.40300790398</v>
      </c>
      <c r="AL400">
        <v>1</v>
      </c>
      <c r="AM400">
        <f t="shared" si="342"/>
        <v>238.59617061772801</v>
      </c>
      <c r="AN400">
        <f t="shared" si="317"/>
        <v>543.41009086365841</v>
      </c>
      <c r="AO400">
        <f t="shared" si="318"/>
        <v>-73.163747196533151</v>
      </c>
      <c r="AQ400">
        <f t="shared" si="343"/>
        <v>2.8905067376266799E-3</v>
      </c>
      <c r="AR400">
        <f t="shared" si="344"/>
        <v>-5.3763425319856246</v>
      </c>
      <c r="AT400">
        <f t="shared" si="313"/>
        <v>-5961.8745556210879</v>
      </c>
      <c r="AU400">
        <f t="shared" si="314"/>
        <v>-1002.9372932787738</v>
      </c>
      <c r="AV400">
        <f t="shared" si="354"/>
        <v>-2.9749279898410266</v>
      </c>
      <c r="AW400">
        <f t="shared" si="355"/>
        <v>343.52233556800178</v>
      </c>
      <c r="AX400">
        <f t="shared" si="356"/>
        <v>-4287.9625085783482</v>
      </c>
      <c r="AY400">
        <f t="shared" si="364"/>
        <v>-1.4908538764448462</v>
      </c>
      <c r="BA400">
        <f t="shared" si="345"/>
        <v>1.4054082074212915</v>
      </c>
      <c r="BB400">
        <f t="shared" si="357"/>
        <v>2.9560497087624311</v>
      </c>
      <c r="BC400">
        <f t="shared" si="358"/>
        <v>-1.4840741133961803</v>
      </c>
      <c r="BD400">
        <f t="shared" si="346"/>
        <v>-265.03118327938296</v>
      </c>
      <c r="BF400">
        <f t="shared" si="347"/>
        <v>-46.268975068551484</v>
      </c>
      <c r="BG400">
        <f t="shared" si="348"/>
        <v>-182.3121154716795</v>
      </c>
      <c r="BH400">
        <f t="shared" si="359"/>
        <v>-2.3121154716795047</v>
      </c>
      <c r="BI400">
        <f t="shared" si="360"/>
        <v>-2.3121154716795047</v>
      </c>
      <c r="BJ400">
        <f t="shared" si="349"/>
        <v>0</v>
      </c>
      <c r="BK400">
        <f t="shared" si="361"/>
        <v>0</v>
      </c>
      <c r="BM400">
        <f t="shared" si="362"/>
        <v>-49.225024777313919</v>
      </c>
      <c r="BN400">
        <f t="shared" si="350"/>
        <v>-97.280932192296561</v>
      </c>
      <c r="BQ400" s="56">
        <f t="shared" si="363"/>
        <v>19.858010509047567</v>
      </c>
      <c r="BR400" s="59"/>
      <c r="BS400" s="59"/>
      <c r="BT400" s="59">
        <v>794328.23499999999</v>
      </c>
      <c r="BU400" s="59">
        <v>7.7399399999999998</v>
      </c>
      <c r="BV400" s="59">
        <v>105.286</v>
      </c>
      <c r="BY400" s="59"/>
      <c r="BZ400" s="59"/>
      <c r="CA400" s="59"/>
      <c r="CC400" s="59"/>
    </row>
    <row r="401" spans="1:81" x14ac:dyDescent="0.25">
      <c r="A401">
        <f t="shared" si="319"/>
        <v>935000</v>
      </c>
      <c r="B401">
        <f t="shared" si="351"/>
        <v>935</v>
      </c>
      <c r="C401">
        <f t="shared" si="320"/>
        <v>7.8189184204835849</v>
      </c>
      <c r="D401">
        <f t="shared" si="321"/>
        <v>1.442550142901502</v>
      </c>
      <c r="F401">
        <f t="shared" si="322"/>
        <v>2.9318634265861664E-5</v>
      </c>
      <c r="G401">
        <f t="shared" si="323"/>
        <v>1.8419396469122511E-3</v>
      </c>
      <c r="H401">
        <f t="shared" si="324"/>
        <v>-3.1397507103530882</v>
      </c>
      <c r="J401">
        <f t="shared" si="325"/>
        <v>15</v>
      </c>
      <c r="M401">
        <f t="shared" si="326"/>
        <v>1.3606649933422792E-3</v>
      </c>
      <c r="N401">
        <f t="shared" si="327"/>
        <v>-1.5707963250000001</v>
      </c>
      <c r="O401">
        <f t="shared" si="328"/>
        <v>271.6515871335198</v>
      </c>
      <c r="P401">
        <f t="shared" si="329"/>
        <v>1.5671151325523469</v>
      </c>
      <c r="Q401">
        <f t="shared" si="330"/>
        <v>239.88103010420213</v>
      </c>
      <c r="R401">
        <f t="shared" si="331"/>
        <v>1.566627581579914</v>
      </c>
      <c r="S401">
        <f t="shared" si="332"/>
        <v>0.13686475991286193</v>
      </c>
      <c r="T401">
        <f t="shared" si="333"/>
        <v>-1.4335006334788305</v>
      </c>
      <c r="U401">
        <f t="shared" si="334"/>
        <v>0.16813464543781895</v>
      </c>
      <c r="V401">
        <f t="shared" si="335"/>
        <v>-1.4018592574414472</v>
      </c>
      <c r="X401">
        <f t="shared" si="352"/>
        <v>-43.078202147213638</v>
      </c>
      <c r="Y401">
        <f t="shared" si="336"/>
        <v>-170.14635314452005</v>
      </c>
      <c r="Z401">
        <f t="shared" si="353"/>
        <v>9.8536468554799512</v>
      </c>
      <c r="AC401">
        <v>1</v>
      </c>
      <c r="AD401">
        <f t="shared" si="337"/>
        <v>271.64974653432</v>
      </c>
      <c r="AE401">
        <f t="shared" si="338"/>
        <v>-0.23938230360778642</v>
      </c>
      <c r="AF401">
        <f t="shared" si="339"/>
        <v>4.0829708875724999E-2</v>
      </c>
      <c r="AG401">
        <f t="shared" si="315"/>
        <v>184.02276579447928</v>
      </c>
      <c r="AH401">
        <f t="shared" si="316"/>
        <v>-1103.4071717063805</v>
      </c>
      <c r="AJ401">
        <f t="shared" si="340"/>
        <v>18000</v>
      </c>
      <c r="AK401">
        <f t="shared" si="341"/>
        <v>130279.08259396799</v>
      </c>
      <c r="AL401">
        <v>1</v>
      </c>
      <c r="AM401">
        <f t="shared" si="342"/>
        <v>239.87894572857601</v>
      </c>
      <c r="AN401">
        <f t="shared" si="317"/>
        <v>543.40682008961414</v>
      </c>
      <c r="AO401">
        <f t="shared" si="318"/>
        <v>-72.772510846627569</v>
      </c>
      <c r="AQ401">
        <f t="shared" si="343"/>
        <v>2.8596748949998871E-3</v>
      </c>
      <c r="AR401">
        <f t="shared" si="344"/>
        <v>-5.3475920536497892</v>
      </c>
      <c r="AT401">
        <f t="shared" si="313"/>
        <v>-5900.0451780737776</v>
      </c>
      <c r="AU401">
        <f t="shared" si="314"/>
        <v>-987.23406584110523</v>
      </c>
      <c r="AV401">
        <f t="shared" si="354"/>
        <v>-2.9758020191715793</v>
      </c>
      <c r="AW401">
        <f t="shared" si="355"/>
        <v>345.70894346554468</v>
      </c>
      <c r="AX401">
        <f t="shared" si="356"/>
        <v>-4265.3516395489514</v>
      </c>
      <c r="AY401">
        <f t="shared" si="364"/>
        <v>-1.4899225949950838</v>
      </c>
      <c r="BA401">
        <f t="shared" si="345"/>
        <v>1.3978959639192736</v>
      </c>
      <c r="BB401">
        <f t="shared" si="357"/>
        <v>2.9094970193657099</v>
      </c>
      <c r="BC401">
        <f t="shared" si="358"/>
        <v>-1.4858794241764954</v>
      </c>
      <c r="BD401">
        <f t="shared" si="346"/>
        <v>-265.13461996792267</v>
      </c>
      <c r="BF401">
        <f t="shared" si="347"/>
        <v>-46.362869442913592</v>
      </c>
      <c r="BG401">
        <f t="shared" si="348"/>
        <v>-182.37704958122265</v>
      </c>
      <c r="BH401">
        <f t="shared" si="359"/>
        <v>-2.37704958122265</v>
      </c>
      <c r="BI401">
        <f t="shared" si="360"/>
        <v>-2.37704958122265</v>
      </c>
      <c r="BJ401">
        <f t="shared" si="349"/>
        <v>0</v>
      </c>
      <c r="BK401">
        <f t="shared" si="361"/>
        <v>0</v>
      </c>
      <c r="BM401">
        <f t="shared" si="362"/>
        <v>-49.272366462279308</v>
      </c>
      <c r="BN401">
        <f t="shared" si="350"/>
        <v>-97.242429613299961</v>
      </c>
      <c r="BQ401" s="56">
        <f t="shared" si="363"/>
        <v>19.811457819650848</v>
      </c>
      <c r="BR401" s="59"/>
      <c r="BS401" s="59"/>
      <c r="BT401" s="59">
        <v>812830.51599999995</v>
      </c>
      <c r="BU401" s="59">
        <v>7.5259600000000004</v>
      </c>
      <c r="BV401" s="59">
        <v>105.187</v>
      </c>
      <c r="BY401" s="59"/>
      <c r="BZ401" s="59"/>
      <c r="CA401" s="59"/>
      <c r="CC401" s="59"/>
    </row>
    <row r="402" spans="1:81" x14ac:dyDescent="0.25">
      <c r="A402">
        <f t="shared" si="319"/>
        <v>940000</v>
      </c>
      <c r="B402">
        <f t="shared" si="351"/>
        <v>940</v>
      </c>
      <c r="C402">
        <f t="shared" si="320"/>
        <v>7.8600486777290968</v>
      </c>
      <c r="D402">
        <f t="shared" si="321"/>
        <v>1.4432249069244099</v>
      </c>
      <c r="F402">
        <f t="shared" si="322"/>
        <v>2.9007554869199007E-5</v>
      </c>
      <c r="G402">
        <f t="shared" si="323"/>
        <v>1.8321415443046079E-3</v>
      </c>
      <c r="H402">
        <f t="shared" si="324"/>
        <v>-3.1397605084556957</v>
      </c>
      <c r="J402">
        <f t="shared" si="325"/>
        <v>15</v>
      </c>
      <c r="M402">
        <f t="shared" si="326"/>
        <v>1.3534274135904587E-3</v>
      </c>
      <c r="N402">
        <f t="shared" si="327"/>
        <v>-1.5707963250000001</v>
      </c>
      <c r="O402">
        <f t="shared" si="328"/>
        <v>273.10424978452431</v>
      </c>
      <c r="P402">
        <f t="shared" si="329"/>
        <v>1.5671347131972997</v>
      </c>
      <c r="Q402">
        <f t="shared" si="330"/>
        <v>241.1637941280413</v>
      </c>
      <c r="R402">
        <f t="shared" si="331"/>
        <v>1.5666497555017347</v>
      </c>
      <c r="S402">
        <f t="shared" si="332"/>
        <v>0.13615028621956518</v>
      </c>
      <c r="T402">
        <f t="shared" si="333"/>
        <v>-1.4342218585517121</v>
      </c>
      <c r="U402">
        <f t="shared" si="334"/>
        <v>0.16726539863671797</v>
      </c>
      <c r="V402">
        <f t="shared" si="335"/>
        <v>-1.4027409913256481</v>
      </c>
      <c r="X402">
        <f t="shared" si="352"/>
        <v>-43.16944358759379</v>
      </c>
      <c r="Y402">
        <f t="shared" si="336"/>
        <v>-170.19770382634744</v>
      </c>
      <c r="Z402">
        <f t="shared" si="353"/>
        <v>9.8022961736525644</v>
      </c>
      <c r="AC402">
        <v>1</v>
      </c>
      <c r="AD402">
        <f t="shared" si="337"/>
        <v>273.10241897568</v>
      </c>
      <c r="AE402">
        <f t="shared" si="338"/>
        <v>-0.24194938770664312</v>
      </c>
      <c r="AF402">
        <f t="shared" si="339"/>
        <v>4.1048049564899998E-2</v>
      </c>
      <c r="AG402">
        <f t="shared" si="315"/>
        <v>182.12490940908845</v>
      </c>
      <c r="AH402">
        <f t="shared" si="316"/>
        <v>-1097.8599664377641</v>
      </c>
      <c r="AJ402">
        <f t="shared" si="340"/>
        <v>18000</v>
      </c>
      <c r="AK402">
        <f t="shared" si="341"/>
        <v>130975.762180032</v>
      </c>
      <c r="AL402">
        <v>1</v>
      </c>
      <c r="AM402">
        <f t="shared" si="342"/>
        <v>241.16172083942399</v>
      </c>
      <c r="AN402">
        <f t="shared" si="317"/>
        <v>543.40360136864047</v>
      </c>
      <c r="AO402">
        <f t="shared" si="318"/>
        <v>-72.385436369707804</v>
      </c>
      <c r="AQ402">
        <f t="shared" si="343"/>
        <v>2.829333740002903E-3</v>
      </c>
      <c r="AR402">
        <f t="shared" si="344"/>
        <v>-5.3191474312054572</v>
      </c>
      <c r="AT402">
        <f t="shared" si="313"/>
        <v>-5839.163728149656</v>
      </c>
      <c r="AU402">
        <f t="shared" si="314"/>
        <v>-971.85545628672014</v>
      </c>
      <c r="AV402">
        <f t="shared" si="354"/>
        <v>-2.97666701687469</v>
      </c>
      <c r="AW402">
        <f t="shared" si="355"/>
        <v>347.85956976224634</v>
      </c>
      <c r="AX402">
        <f t="shared" si="356"/>
        <v>-4242.9764560808044</v>
      </c>
      <c r="AY402">
        <f t="shared" si="364"/>
        <v>-1.4889944781847264</v>
      </c>
      <c r="BA402">
        <f t="shared" si="345"/>
        <v>1.3904610766442986</v>
      </c>
      <c r="BB402">
        <f t="shared" si="357"/>
        <v>2.863176722181247</v>
      </c>
      <c r="BC402">
        <f t="shared" si="358"/>
        <v>-1.4876725386899636</v>
      </c>
      <c r="BD402">
        <f t="shared" si="346"/>
        <v>-265.23735786184545</v>
      </c>
      <c r="BF402">
        <f t="shared" si="347"/>
        <v>-46.456270935422253</v>
      </c>
      <c r="BG402">
        <f t="shared" si="348"/>
        <v>-182.44168773434865</v>
      </c>
      <c r="BH402">
        <f t="shared" si="359"/>
        <v>-2.4416877343486476</v>
      </c>
      <c r="BI402">
        <f t="shared" si="360"/>
        <v>-2.4416877343486476</v>
      </c>
      <c r="BJ402">
        <f t="shared" si="349"/>
        <v>0</v>
      </c>
      <c r="BK402">
        <f t="shared" si="361"/>
        <v>0</v>
      </c>
      <c r="BM402">
        <f t="shared" si="362"/>
        <v>-49.319447657603497</v>
      </c>
      <c r="BN402">
        <f t="shared" si="350"/>
        <v>-97.20432987250318</v>
      </c>
      <c r="BQ402" s="56">
        <f t="shared" si="363"/>
        <v>19.765137522466386</v>
      </c>
      <c r="BR402" s="59"/>
      <c r="BS402" s="59"/>
      <c r="BT402" s="59">
        <v>831763.77099999995</v>
      </c>
      <c r="BU402" s="59">
        <v>7.3913599999999997</v>
      </c>
      <c r="BV402" s="59">
        <v>104.541</v>
      </c>
      <c r="BY402" s="59"/>
      <c r="BZ402" s="59"/>
      <c r="CA402" s="59"/>
      <c r="CC402" s="59"/>
    </row>
    <row r="403" spans="1:81" x14ac:dyDescent="0.25">
      <c r="A403">
        <f t="shared" si="319"/>
        <v>945000</v>
      </c>
      <c r="B403">
        <f t="shared" si="351"/>
        <v>945</v>
      </c>
      <c r="C403">
        <f t="shared" si="320"/>
        <v>7.9011824764460519</v>
      </c>
      <c r="D403">
        <f t="shared" si="321"/>
        <v>1.4438926455642438</v>
      </c>
      <c r="F403">
        <f t="shared" si="322"/>
        <v>2.8701400345388451E-5</v>
      </c>
      <c r="G403">
        <f t="shared" si="323"/>
        <v>1.8224471340041067E-3</v>
      </c>
      <c r="H403">
        <f t="shared" si="324"/>
        <v>-3.139770202865996</v>
      </c>
      <c r="J403">
        <f t="shared" si="325"/>
        <v>15</v>
      </c>
      <c r="M403">
        <f t="shared" si="326"/>
        <v>1.3462664219841599E-3</v>
      </c>
      <c r="N403">
        <f t="shared" si="327"/>
        <v>-1.5707963250000001</v>
      </c>
      <c r="O403">
        <f t="shared" si="328"/>
        <v>274.55691253912948</v>
      </c>
      <c r="P403">
        <f t="shared" si="329"/>
        <v>1.5671540866424238</v>
      </c>
      <c r="Q403">
        <f t="shared" si="330"/>
        <v>242.4465582692018</v>
      </c>
      <c r="R403">
        <f t="shared" si="331"/>
        <v>1.5666716947828934</v>
      </c>
      <c r="S403">
        <f t="shared" si="332"/>
        <v>0.13544316394790334</v>
      </c>
      <c r="T403">
        <f t="shared" si="333"/>
        <v>-1.4349355923548972</v>
      </c>
      <c r="U403">
        <f t="shared" si="334"/>
        <v>0.166404966140308</v>
      </c>
      <c r="V403">
        <f t="shared" si="335"/>
        <v>-1.4036136544009705</v>
      </c>
      <c r="X403">
        <f t="shared" si="352"/>
        <v>-43.260215388051869</v>
      </c>
      <c r="Y403">
        <f t="shared" si="336"/>
        <v>-170.24852747023536</v>
      </c>
      <c r="Z403">
        <f t="shared" si="353"/>
        <v>9.7514725297646407</v>
      </c>
      <c r="AC403">
        <v>1</v>
      </c>
      <c r="AD403">
        <f t="shared" si="337"/>
        <v>274.55509141703999</v>
      </c>
      <c r="AE403">
        <f t="shared" si="338"/>
        <v>-0.24453016292069374</v>
      </c>
      <c r="AF403">
        <f t="shared" si="339"/>
        <v>4.1266390254075004E-2</v>
      </c>
      <c r="AG403">
        <f t="shared" si="315"/>
        <v>180.25598571800589</v>
      </c>
      <c r="AH403">
        <f t="shared" si="316"/>
        <v>-1092.3665791340404</v>
      </c>
      <c r="AJ403">
        <f t="shared" si="340"/>
        <v>18000</v>
      </c>
      <c r="AK403">
        <f t="shared" si="341"/>
        <v>131672.44176609602</v>
      </c>
      <c r="AL403">
        <v>1</v>
      </c>
      <c r="AM403">
        <f t="shared" si="342"/>
        <v>242.444495950272</v>
      </c>
      <c r="AN403">
        <f t="shared" si="317"/>
        <v>543.40043360203595</v>
      </c>
      <c r="AO403">
        <f t="shared" si="318"/>
        <v>-72.002457708829581</v>
      </c>
      <c r="AQ403">
        <f t="shared" si="343"/>
        <v>2.7994729152395186E-3</v>
      </c>
      <c r="AR403">
        <f t="shared" si="344"/>
        <v>-5.2910038098026906</v>
      </c>
      <c r="AT403">
        <f t="shared" si="313"/>
        <v>-5779.2111101495129</v>
      </c>
      <c r="AU403">
        <f t="shared" si="314"/>
        <v>-956.79315782550714</v>
      </c>
      <c r="AV403">
        <f t="shared" si="354"/>
        <v>-2.9775231208686126</v>
      </c>
      <c r="AW403">
        <f t="shared" si="355"/>
        <v>349.97500385805756</v>
      </c>
      <c r="AX403">
        <f t="shared" si="356"/>
        <v>-4220.8333140287241</v>
      </c>
      <c r="AY403">
        <f t="shared" si="364"/>
        <v>-1.4880694728863826</v>
      </c>
      <c r="BA403">
        <f t="shared" si="345"/>
        <v>1.3831023594407394</v>
      </c>
      <c r="BB403">
        <f t="shared" si="357"/>
        <v>2.8170864437665659</v>
      </c>
      <c r="BC403">
        <f t="shared" si="358"/>
        <v>-1.48945364798223</v>
      </c>
      <c r="BD403">
        <f t="shared" si="346"/>
        <v>-265.33940790726047</v>
      </c>
      <c r="BF403">
        <f t="shared" si="347"/>
        <v>-46.549184806948141</v>
      </c>
      <c r="BG403">
        <f t="shared" si="348"/>
        <v>-182.50603462263535</v>
      </c>
      <c r="BH403">
        <f t="shared" si="359"/>
        <v>-2.5060346226353545</v>
      </c>
      <c r="BI403">
        <f t="shared" si="360"/>
        <v>-2.5060346226353545</v>
      </c>
      <c r="BJ403">
        <f t="shared" si="349"/>
        <v>0</v>
      </c>
      <c r="BK403">
        <f t="shared" si="361"/>
        <v>0</v>
      </c>
      <c r="BM403">
        <f t="shared" si="362"/>
        <v>-49.366271250714703</v>
      </c>
      <c r="BN403">
        <f t="shared" si="350"/>
        <v>-97.166626715374875</v>
      </c>
      <c r="BQ403" s="56">
        <f t="shared" si="363"/>
        <v>19.719047244051705</v>
      </c>
      <c r="BR403" s="59"/>
      <c r="BS403" s="59"/>
      <c r="BT403" s="59">
        <v>851138.03799999994</v>
      </c>
      <c r="BU403" s="59">
        <v>7.3125499999999999</v>
      </c>
      <c r="BV403" s="59">
        <v>103.205</v>
      </c>
      <c r="BY403" s="59"/>
      <c r="BZ403" s="59"/>
      <c r="CA403" s="59"/>
      <c r="CC403" s="59"/>
    </row>
    <row r="404" spans="1:81" x14ac:dyDescent="0.25">
      <c r="A404">
        <f t="shared" si="319"/>
        <v>950000</v>
      </c>
      <c r="B404">
        <f t="shared" si="351"/>
        <v>950</v>
      </c>
      <c r="C404">
        <f t="shared" si="320"/>
        <v>7.9423197616099062</v>
      </c>
      <c r="D404">
        <f t="shared" si="321"/>
        <v>1.4445534673848945</v>
      </c>
      <c r="F404">
        <f t="shared" si="322"/>
        <v>2.8400067281561232E-5</v>
      </c>
      <c r="G404">
        <f t="shared" si="323"/>
        <v>1.812854778582454E-3</v>
      </c>
      <c r="H404">
        <f t="shared" si="324"/>
        <v>-3.1397797952214179</v>
      </c>
      <c r="J404">
        <f t="shared" si="325"/>
        <v>15</v>
      </c>
      <c r="M404">
        <f t="shared" si="326"/>
        <v>1.3391808092368749E-3</v>
      </c>
      <c r="N404">
        <f t="shared" si="327"/>
        <v>-1.5707963250000001</v>
      </c>
      <c r="O404">
        <f t="shared" si="328"/>
        <v>276.00957539569941</v>
      </c>
      <c r="P404">
        <f t="shared" si="329"/>
        <v>1.5671732561592377</v>
      </c>
      <c r="Q404">
        <f t="shared" si="330"/>
        <v>243.72932252583126</v>
      </c>
      <c r="R404">
        <f t="shared" si="331"/>
        <v>1.5666934031281585</v>
      </c>
      <c r="S404">
        <f t="shared" si="332"/>
        <v>0.13474328129150032</v>
      </c>
      <c r="T404">
        <f t="shared" si="333"/>
        <v>-1.4356419502856239</v>
      </c>
      <c r="U404">
        <f t="shared" si="334"/>
        <v>0.16555321652109123</v>
      </c>
      <c r="V404">
        <f t="shared" si="335"/>
        <v>-1.4044773846157241</v>
      </c>
      <c r="X404">
        <f t="shared" si="352"/>
        <v>-43.350522287563749</v>
      </c>
      <c r="Y404">
        <f t="shared" si="336"/>
        <v>-170.29883206566757</v>
      </c>
      <c r="Z404">
        <f t="shared" si="353"/>
        <v>9.7011679343324317</v>
      </c>
      <c r="AC404">
        <v>1</v>
      </c>
      <c r="AD404">
        <f t="shared" si="337"/>
        <v>276.00776385839998</v>
      </c>
      <c r="AE404">
        <f t="shared" si="338"/>
        <v>-0.24712462924993825</v>
      </c>
      <c r="AF404">
        <f t="shared" si="339"/>
        <v>4.1484730943249996E-2</v>
      </c>
      <c r="AG404">
        <f t="shared" si="315"/>
        <v>178.41541522510664</v>
      </c>
      <c r="AH404">
        <f t="shared" si="316"/>
        <v>-1086.9262573176943</v>
      </c>
      <c r="AJ404">
        <f t="shared" si="340"/>
        <v>18000</v>
      </c>
      <c r="AK404">
        <f t="shared" si="341"/>
        <v>132369.12135216</v>
      </c>
      <c r="AL404">
        <v>1</v>
      </c>
      <c r="AM404">
        <f t="shared" si="342"/>
        <v>243.72727106112001</v>
      </c>
      <c r="AN404">
        <f t="shared" si="317"/>
        <v>543.39731571993502</v>
      </c>
      <c r="AO404">
        <f t="shared" si="318"/>
        <v>-71.62351019760294</v>
      </c>
      <c r="AQ404">
        <f t="shared" si="343"/>
        <v>2.770082335157248E-3</v>
      </c>
      <c r="AR404">
        <f t="shared" si="344"/>
        <v>-5.2631564367987709</v>
      </c>
      <c r="AT404">
        <f t="shared" si="313"/>
        <v>-5720.1687021371854</v>
      </c>
      <c r="AU404">
        <f t="shared" si="314"/>
        <v>-942.03911629115976</v>
      </c>
      <c r="AV404">
        <f t="shared" si="354"/>
        <v>-2.9783704663054036</v>
      </c>
      <c r="AW404">
        <f t="shared" si="355"/>
        <v>352.05601353583222</v>
      </c>
      <c r="AX404">
        <f t="shared" si="356"/>
        <v>-4198.9186435876209</v>
      </c>
      <c r="AY404">
        <f t="shared" si="364"/>
        <v>-1.4871475272334806</v>
      </c>
      <c r="BA404">
        <f t="shared" si="345"/>
        <v>1.3758186500437595</v>
      </c>
      <c r="BB404">
        <f t="shared" si="357"/>
        <v>2.7712238454929636</v>
      </c>
      <c r="BC404">
        <f t="shared" si="358"/>
        <v>-1.4912229390719229</v>
      </c>
      <c r="BD404">
        <f t="shared" si="346"/>
        <v>-265.44078081954581</v>
      </c>
      <c r="BF404">
        <f t="shared" si="347"/>
        <v>-46.641616235317258</v>
      </c>
      <c r="BG404">
        <f t="shared" si="348"/>
        <v>-182.57009483502586</v>
      </c>
      <c r="BH404">
        <f t="shared" si="359"/>
        <v>-2.5700948350258557</v>
      </c>
      <c r="BI404">
        <f t="shared" si="360"/>
        <v>-2.5700948350258557</v>
      </c>
      <c r="BJ404">
        <f t="shared" si="349"/>
        <v>0</v>
      </c>
      <c r="BK404">
        <f t="shared" si="361"/>
        <v>0</v>
      </c>
      <c r="BM404">
        <f t="shared" si="362"/>
        <v>-49.412840080810213</v>
      </c>
      <c r="BN404">
        <f t="shared" si="350"/>
        <v>-97.129314015480077</v>
      </c>
      <c r="BQ404" s="56">
        <f t="shared" si="363"/>
        <v>19.6731846457781</v>
      </c>
      <c r="BR404" s="59"/>
      <c r="BS404" s="59"/>
      <c r="BT404" s="59">
        <v>870963.59</v>
      </c>
      <c r="BU404" s="59">
        <v>7.1463099999999997</v>
      </c>
      <c r="BV404" s="59">
        <v>103.91</v>
      </c>
      <c r="BY404" s="59"/>
      <c r="BZ404" s="59"/>
      <c r="CA404" s="59"/>
      <c r="CC404" s="59"/>
    </row>
    <row r="405" spans="1:81" x14ac:dyDescent="0.25">
      <c r="A405">
        <f t="shared" si="319"/>
        <v>955000</v>
      </c>
      <c r="B405">
        <f t="shared" si="351"/>
        <v>955</v>
      </c>
      <c r="C405">
        <f t="shared" si="320"/>
        <v>7.9834604793256254</v>
      </c>
      <c r="D405">
        <f t="shared" si="321"/>
        <v>1.4452074787368774</v>
      </c>
      <c r="F405">
        <f t="shared" si="322"/>
        <v>2.810345496503123E-5</v>
      </c>
      <c r="G405">
        <f t="shared" si="323"/>
        <v>1.803362874907758E-3</v>
      </c>
      <c r="H405">
        <f t="shared" si="324"/>
        <v>-3.1397892871250925</v>
      </c>
      <c r="J405">
        <f t="shared" si="325"/>
        <v>15</v>
      </c>
      <c r="M405">
        <f t="shared" si="326"/>
        <v>1.3321693913874669E-3</v>
      </c>
      <c r="N405">
        <f t="shared" si="327"/>
        <v>-1.5707963250000001</v>
      </c>
      <c r="O405">
        <f t="shared" si="328"/>
        <v>277.46223835263271</v>
      </c>
      <c r="P405">
        <f t="shared" si="329"/>
        <v>1.5671922249507482</v>
      </c>
      <c r="Q405">
        <f t="shared" si="330"/>
        <v>245.01208689611605</v>
      </c>
      <c r="R405">
        <f t="shared" si="331"/>
        <v>1.5667148841647145</v>
      </c>
      <c r="S405">
        <f t="shared" si="332"/>
        <v>0.1340505286776226</v>
      </c>
      <c r="T405">
        <f t="shared" si="333"/>
        <v>-1.4363410453977621</v>
      </c>
      <c r="U405">
        <f t="shared" si="334"/>
        <v>0.16471002091107276</v>
      </c>
      <c r="V405">
        <f t="shared" si="335"/>
        <v>-1.4053323171617584</v>
      </c>
      <c r="X405">
        <f t="shared" si="352"/>
        <v>-43.440368954796959</v>
      </c>
      <c r="Y405">
        <f t="shared" si="336"/>
        <v>-170.34862544315195</v>
      </c>
      <c r="Z405">
        <f t="shared" si="353"/>
        <v>9.6513745568480545</v>
      </c>
      <c r="AC405">
        <v>1</v>
      </c>
      <c r="AD405">
        <f t="shared" si="337"/>
        <v>277.46043629976003</v>
      </c>
      <c r="AE405">
        <f t="shared" si="338"/>
        <v>-0.24973278669437665</v>
      </c>
      <c r="AF405">
        <f t="shared" si="339"/>
        <v>4.1703071632424996E-2</v>
      </c>
      <c r="AG405">
        <f t="shared" si="315"/>
        <v>176.60263272717182</v>
      </c>
      <c r="AH405">
        <f t="shared" si="316"/>
        <v>-1081.5382618831193</v>
      </c>
      <c r="AJ405">
        <f t="shared" si="340"/>
        <v>18000</v>
      </c>
      <c r="AK405">
        <f t="shared" si="341"/>
        <v>133065.80093822398</v>
      </c>
      <c r="AL405">
        <v>1</v>
      </c>
      <c r="AM405">
        <f t="shared" si="342"/>
        <v>245.01004617196801</v>
      </c>
      <c r="AN405">
        <f t="shared" si="317"/>
        <v>543.39424668040488</v>
      </c>
      <c r="AO405">
        <f t="shared" si="318"/>
        <v>-71.248530523793818</v>
      </c>
      <c r="AQ405">
        <f t="shared" si="343"/>
        <v>2.7411521775301726E-3</v>
      </c>
      <c r="AR405">
        <f t="shared" si="344"/>
        <v>-5.2356006590826292</v>
      </c>
      <c r="AT405">
        <f t="shared" si="313"/>
        <v>-5662.018342047083</v>
      </c>
      <c r="AU405">
        <f t="shared" si="314"/>
        <v>-927.58552126375139</v>
      </c>
      <c r="AV405">
        <f t="shared" si="354"/>
        <v>-2.9792091856392178</v>
      </c>
      <c r="AW405">
        <f t="shared" si="355"/>
        <v>354.10334566975524</v>
      </c>
      <c r="AX405">
        <f t="shared" si="356"/>
        <v>-4177.2289474153604</v>
      </c>
      <c r="AY405">
        <f t="shared" si="364"/>
        <v>-1.4862285905833965</v>
      </c>
      <c r="BA405">
        <f t="shared" si="345"/>
        <v>1.3686088094878532</v>
      </c>
      <c r="BB405">
        <f t="shared" si="357"/>
        <v>2.7255866228894576</v>
      </c>
      <c r="BC405">
        <f t="shared" si="358"/>
        <v>-1.4929805950558213</v>
      </c>
      <c r="BD405">
        <f t="shared" si="346"/>
        <v>-265.54148708937419</v>
      </c>
      <c r="BF405">
        <f t="shared" si="347"/>
        <v>-46.733570317043231</v>
      </c>
      <c r="BG405">
        <f t="shared" si="348"/>
        <v>-182.63387286060987</v>
      </c>
      <c r="BH405">
        <f t="shared" si="359"/>
        <v>-2.6338728606098698</v>
      </c>
      <c r="BI405">
        <f t="shared" si="360"/>
        <v>-2.6338728606098698</v>
      </c>
      <c r="BJ405">
        <f t="shared" si="349"/>
        <v>0</v>
      </c>
      <c r="BK405">
        <f t="shared" si="361"/>
        <v>0</v>
      </c>
      <c r="BM405">
        <f t="shared" si="362"/>
        <v>-49.459156939932683</v>
      </c>
      <c r="BN405">
        <f t="shared" si="350"/>
        <v>-97.092385771235726</v>
      </c>
      <c r="BQ405" s="56">
        <f t="shared" si="363"/>
        <v>19.627547423174594</v>
      </c>
      <c r="BR405" s="59"/>
      <c r="BS405" s="59"/>
      <c r="BT405" s="59">
        <v>891250.93799999997</v>
      </c>
      <c r="BU405" s="59">
        <v>6.8612700000000002</v>
      </c>
      <c r="BV405" s="59">
        <v>102.337</v>
      </c>
      <c r="BY405" s="59"/>
      <c r="BZ405" s="59"/>
      <c r="CA405" s="59"/>
      <c r="CC405" s="59"/>
    </row>
    <row r="406" spans="1:81" x14ac:dyDescent="0.25">
      <c r="A406">
        <f t="shared" si="319"/>
        <v>960000</v>
      </c>
      <c r="B406">
        <f t="shared" si="351"/>
        <v>960</v>
      </c>
      <c r="C406">
        <f t="shared" si="320"/>
        <v>8.0246045767989642</v>
      </c>
      <c r="D406">
        <f t="shared" si="321"/>
        <v>1.4458547838131466</v>
      </c>
      <c r="F406">
        <f t="shared" si="322"/>
        <v>2.7811465299129496E-5</v>
      </c>
      <c r="G406">
        <f t="shared" si="323"/>
        <v>1.7939698532512479E-3</v>
      </c>
      <c r="H406">
        <f t="shared" si="324"/>
        <v>-3.139798680146749</v>
      </c>
      <c r="J406">
        <f t="shared" si="325"/>
        <v>15</v>
      </c>
      <c r="M406">
        <f t="shared" si="326"/>
        <v>1.3252310091406575E-3</v>
      </c>
      <c r="N406">
        <f t="shared" si="327"/>
        <v>-1.5707963250000001</v>
      </c>
      <c r="O406">
        <f t="shared" si="328"/>
        <v>278.91490140836112</v>
      </c>
      <c r="P406">
        <f t="shared" si="329"/>
        <v>1.5672109961532334</v>
      </c>
      <c r="Q406">
        <f t="shared" si="330"/>
        <v>246.29485137828024</v>
      </c>
      <c r="R406">
        <f t="shared" si="331"/>
        <v>1.5667361414441809</v>
      </c>
      <c r="S406">
        <f t="shared" si="332"/>
        <v>0.13336479871224952</v>
      </c>
      <c r="T406">
        <f t="shared" si="333"/>
        <v>-1.4370329884606201</v>
      </c>
      <c r="U406">
        <f t="shared" si="334"/>
        <v>0.16387525294080202</v>
      </c>
      <c r="V406">
        <f t="shared" si="335"/>
        <v>-1.4061785845422936</v>
      </c>
      <c r="X406">
        <f t="shared" si="352"/>
        <v>-43.529759989473732</v>
      </c>
      <c r="Y406">
        <f t="shared" si="336"/>
        <v>-170.39791527811167</v>
      </c>
      <c r="Z406">
        <f t="shared" si="353"/>
        <v>9.6020847218883318</v>
      </c>
      <c r="AC406">
        <v>1</v>
      </c>
      <c r="AD406">
        <f t="shared" si="337"/>
        <v>278.91310874112003</v>
      </c>
      <c r="AE406">
        <f t="shared" si="338"/>
        <v>-0.25235463525400897</v>
      </c>
      <c r="AF406">
        <f t="shared" si="339"/>
        <v>4.1921412321599995E-2</v>
      </c>
      <c r="AG406">
        <f t="shared" si="315"/>
        <v>174.81708689729788</v>
      </c>
      <c r="AH406">
        <f t="shared" si="316"/>
        <v>-1076.201866817594</v>
      </c>
      <c r="AJ406">
        <f t="shared" si="340"/>
        <v>18000</v>
      </c>
      <c r="AK406">
        <f t="shared" si="341"/>
        <v>133762.480524288</v>
      </c>
      <c r="AL406">
        <v>1</v>
      </c>
      <c r="AM406">
        <f t="shared" si="342"/>
        <v>246.29282128281602</v>
      </c>
      <c r="AN406">
        <f t="shared" si="317"/>
        <v>543.3912254685747</v>
      </c>
      <c r="AO406">
        <f t="shared" si="318"/>
        <v>-70.877456694063142</v>
      </c>
      <c r="AQ406">
        <f t="shared" si="343"/>
        <v>2.7126728752514986E-3</v>
      </c>
      <c r="AR406">
        <f t="shared" si="344"/>
        <v>-5.2083319204828777</v>
      </c>
      <c r="AT406">
        <f t="shared" ref="AT406:AT469" si="365">-AR406*AH406+AG406*AQ406</f>
        <v>-5604.7423142595808</v>
      </c>
      <c r="AU406">
        <f t="shared" ref="AU406:AU469" si="366">AQ406*AH406+AG406*AR406</f>
        <v>-913.42479754543672</v>
      </c>
      <c r="AV406">
        <f t="shared" si="354"/>
        <v>-2.980039408692615</v>
      </c>
      <c r="AW406">
        <f t="shared" si="355"/>
        <v>356.11772690678987</v>
      </c>
      <c r="AX406">
        <f t="shared" si="356"/>
        <v>-4155.7607988119871</v>
      </c>
      <c r="AY406">
        <f t="shared" si="364"/>
        <v>-1.4853126134818628</v>
      </c>
      <c r="BA406">
        <f t="shared" si="345"/>
        <v>1.3614717215326273</v>
      </c>
      <c r="BB406">
        <f t="shared" si="357"/>
        <v>2.6801725050014302</v>
      </c>
      <c r="BC406">
        <f t="shared" si="358"/>
        <v>-1.4947267952107521</v>
      </c>
      <c r="BD406">
        <f t="shared" si="346"/>
        <v>-265.64153698855114</v>
      </c>
      <c r="BF406">
        <f t="shared" si="347"/>
        <v>-46.825052069014887</v>
      </c>
      <c r="BG406">
        <f t="shared" si="348"/>
        <v>-182.69737309131523</v>
      </c>
      <c r="BH406">
        <f t="shared" si="359"/>
        <v>-2.6973730913152281</v>
      </c>
      <c r="BI406">
        <f t="shared" si="360"/>
        <v>-2.6973730913152281</v>
      </c>
      <c r="BJ406">
        <f t="shared" si="349"/>
        <v>0</v>
      </c>
      <c r="BK406">
        <f t="shared" si="361"/>
        <v>0</v>
      </c>
      <c r="BM406">
        <f t="shared" si="362"/>
        <v>-49.505224574016317</v>
      </c>
      <c r="BN406">
        <f t="shared" si="350"/>
        <v>-97.055836102764133</v>
      </c>
      <c r="BQ406" s="56">
        <f t="shared" si="363"/>
        <v>19.582133305286568</v>
      </c>
      <c r="BR406" s="59"/>
      <c r="BS406" s="59"/>
      <c r="BT406" s="59">
        <v>912010.83900000004</v>
      </c>
      <c r="BU406" s="59">
        <v>6.4708399999999999</v>
      </c>
      <c r="BV406" s="59">
        <v>100.33499999999999</v>
      </c>
      <c r="BY406" s="59"/>
      <c r="BZ406" s="59"/>
      <c r="CA406" s="59"/>
      <c r="CC406" s="59"/>
    </row>
    <row r="407" spans="1:81" x14ac:dyDescent="0.25">
      <c r="A407">
        <f t="shared" si="319"/>
        <v>965000</v>
      </c>
      <c r="B407">
        <f t="shared" si="351"/>
        <v>965</v>
      </c>
      <c r="C407">
        <f t="shared" si="320"/>
        <v>8.0657520023086171</v>
      </c>
      <c r="D407">
        <f t="shared" si="321"/>
        <v>1.4464954847032381</v>
      </c>
      <c r="F407">
        <f t="shared" si="322"/>
        <v>2.7524002722083771E-5</v>
      </c>
      <c r="G407">
        <f t="shared" si="323"/>
        <v>1.7846741764217682E-3</v>
      </c>
      <c r="H407">
        <f t="shared" si="324"/>
        <v>-3.1398079758235786</v>
      </c>
      <c r="J407">
        <f t="shared" si="325"/>
        <v>15</v>
      </c>
      <c r="M407">
        <f t="shared" si="326"/>
        <v>1.3183645272280115E-3</v>
      </c>
      <c r="N407">
        <f t="shared" si="327"/>
        <v>-1.5707963250000001</v>
      </c>
      <c r="O407">
        <f t="shared" si="328"/>
        <v>280.36756456134907</v>
      </c>
      <c r="P407">
        <f t="shared" si="329"/>
        <v>1.5672295728379735</v>
      </c>
      <c r="Q407">
        <f t="shared" si="330"/>
        <v>247.57761597058493</v>
      </c>
      <c r="R407">
        <f t="shared" si="331"/>
        <v>1.5667571784445713</v>
      </c>
      <c r="S407">
        <f t="shared" si="332"/>
        <v>0.13268598612673935</v>
      </c>
      <c r="T407">
        <f t="shared" si="333"/>
        <v>-1.4377178880160058</v>
      </c>
      <c r="U407">
        <f t="shared" si="334"/>
        <v>0.16304878868011538</v>
      </c>
      <c r="V407">
        <f t="shared" si="335"/>
        <v>-1.4070163166377785</v>
      </c>
      <c r="X407">
        <f t="shared" si="352"/>
        <v>-43.618699923701627</v>
      </c>
      <c r="Y407">
        <f t="shared" si="336"/>
        <v>-170.44670909466393</v>
      </c>
      <c r="Z407">
        <f t="shared" si="353"/>
        <v>9.5532909053360697</v>
      </c>
      <c r="AC407">
        <v>1</v>
      </c>
      <c r="AD407">
        <f t="shared" si="337"/>
        <v>280.36578118248002</v>
      </c>
      <c r="AE407">
        <f t="shared" si="338"/>
        <v>-0.25499017492883519</v>
      </c>
      <c r="AF407">
        <f t="shared" si="339"/>
        <v>4.2139753010775001E-2</v>
      </c>
      <c r="AG407">
        <f t="shared" si="315"/>
        <v>173.05823988224876</v>
      </c>
      <c r="AH407">
        <f t="shared" si="316"/>
        <v>-1070.91635892863</v>
      </c>
      <c r="AJ407">
        <f t="shared" si="340"/>
        <v>18000</v>
      </c>
      <c r="AK407">
        <f t="shared" si="341"/>
        <v>134459.16011035198</v>
      </c>
      <c r="AL407">
        <v>1</v>
      </c>
      <c r="AM407">
        <f t="shared" si="342"/>
        <v>247.575596393664</v>
      </c>
      <c r="AN407">
        <f t="shared" si="317"/>
        <v>543.38825109579614</v>
      </c>
      <c r="AO407">
        <f t="shared" si="318"/>
        <v>-70.510227999801998</v>
      </c>
      <c r="AQ407">
        <f t="shared" si="343"/>
        <v>2.6846351084230157E-3</v>
      </c>
      <c r="AR407">
        <f t="shared" si="344"/>
        <v>-5.1813457592564207</v>
      </c>
      <c r="AT407">
        <f t="shared" si="365"/>
        <v>-5548.323336626594</v>
      </c>
      <c r="AU407">
        <f t="shared" si="366"/>
        <v>-899.54959697363427</v>
      </c>
      <c r="AV407">
        <f t="shared" si="354"/>
        <v>-2.9808612627209392</v>
      </c>
      <c r="AW407">
        <f t="shared" si="355"/>
        <v>358.09986432231051</v>
      </c>
      <c r="AX407">
        <f t="shared" si="356"/>
        <v>-4134.5108399533528</v>
      </c>
      <c r="AY407">
        <f t="shared" si="364"/>
        <v>-1.4843995476286105</v>
      </c>
      <c r="BA407">
        <f t="shared" si="345"/>
        <v>1.3544062921052609</v>
      </c>
      <c r="BB407">
        <f t="shared" si="357"/>
        <v>2.6349792537636918</v>
      </c>
      <c r="BC407">
        <f t="shared" si="358"/>
        <v>-1.4964617150923287</v>
      </c>
      <c r="BD407">
        <f t="shared" si="346"/>
        <v>-265.74094057567243</v>
      </c>
      <c r="BF407">
        <f t="shared" si="347"/>
        <v>-46.916066430140468</v>
      </c>
      <c r="BG407">
        <f t="shared" si="348"/>
        <v>-182.7605998245127</v>
      </c>
      <c r="BH407">
        <f t="shared" si="359"/>
        <v>-2.7605998245126955</v>
      </c>
      <c r="BI407">
        <f t="shared" si="360"/>
        <v>-2.7605998245126955</v>
      </c>
      <c r="BJ407">
        <f t="shared" si="349"/>
        <v>0</v>
      </c>
      <c r="BK407">
        <f t="shared" si="361"/>
        <v>0</v>
      </c>
      <c r="BM407">
        <f t="shared" si="362"/>
        <v>-49.551045683904164</v>
      </c>
      <c r="BN407">
        <f t="shared" si="350"/>
        <v>-97.019659248840313</v>
      </c>
      <c r="BQ407" s="56">
        <f t="shared" si="363"/>
        <v>19.536940054048827</v>
      </c>
      <c r="BR407" s="59"/>
      <c r="BS407" s="59"/>
      <c r="BT407" s="59">
        <v>933254.30099999998</v>
      </c>
      <c r="BU407" s="59">
        <v>6.2453099999999999</v>
      </c>
      <c r="BV407" s="59">
        <v>100.20399999999999</v>
      </c>
      <c r="BY407" s="59"/>
      <c r="BZ407" s="59"/>
      <c r="CA407" s="59"/>
      <c r="CC407" s="59"/>
    </row>
    <row r="408" spans="1:81" x14ac:dyDescent="0.25">
      <c r="A408">
        <f t="shared" si="319"/>
        <v>970000</v>
      </c>
      <c r="B408">
        <f t="shared" si="351"/>
        <v>970</v>
      </c>
      <c r="C408">
        <f t="shared" si="320"/>
        <v>8.106902705179202</v>
      </c>
      <c r="D408">
        <f t="shared" si="321"/>
        <v>1.447129681445799</v>
      </c>
      <c r="F408">
        <f t="shared" si="322"/>
        <v>2.7240974128817619E-5</v>
      </c>
      <c r="G408">
        <f t="shared" si="323"/>
        <v>1.7754743389270442E-3</v>
      </c>
      <c r="H408">
        <f t="shared" si="324"/>
        <v>-3.1398171756610731</v>
      </c>
      <c r="J408">
        <f t="shared" si="325"/>
        <v>15</v>
      </c>
      <c r="M408">
        <f t="shared" si="326"/>
        <v>1.3115688337886919E-3</v>
      </c>
      <c r="N408">
        <f t="shared" si="327"/>
        <v>-1.5707963250000001</v>
      </c>
      <c r="O408">
        <f t="shared" si="328"/>
        <v>281.82022781009249</v>
      </c>
      <c r="P408">
        <f t="shared" si="329"/>
        <v>1.5672479580129235</v>
      </c>
      <c r="Q408">
        <f t="shared" si="330"/>
        <v>248.86038067132688</v>
      </c>
      <c r="R408">
        <f t="shared" si="331"/>
        <v>1.566777998572189</v>
      </c>
      <c r="S408">
        <f t="shared" si="332"/>
        <v>0.13201398772603731</v>
      </c>
      <c r="T408">
        <f t="shared" si="333"/>
        <v>-1.4383958504335912</v>
      </c>
      <c r="U408">
        <f t="shared" si="334"/>
        <v>0.16223050658052623</v>
      </c>
      <c r="V408">
        <f t="shared" si="335"/>
        <v>-1.4078456407698421</v>
      </c>
      <c r="X408">
        <f t="shared" si="352"/>
        <v>-43.707193223272569</v>
      </c>
      <c r="Y408">
        <f t="shared" si="336"/>
        <v>-170.49501426929015</v>
      </c>
      <c r="Z408">
        <f t="shared" si="353"/>
        <v>9.5049857307098478</v>
      </c>
      <c r="AC408">
        <v>1</v>
      </c>
      <c r="AD408">
        <f t="shared" si="337"/>
        <v>281.81845362384001</v>
      </c>
      <c r="AE408">
        <f t="shared" si="338"/>
        <v>-0.2576394057188553</v>
      </c>
      <c r="AF408">
        <f t="shared" si="339"/>
        <v>4.235809369995E-2</v>
      </c>
      <c r="AG408">
        <f t="shared" si="315"/>
        <v>171.32556691322671</v>
      </c>
      <c r="AH408">
        <f t="shared" si="316"/>
        <v>-1065.6810375775478</v>
      </c>
      <c r="AJ408">
        <f t="shared" si="340"/>
        <v>18000</v>
      </c>
      <c r="AK408">
        <f t="shared" si="341"/>
        <v>135155.83969641599</v>
      </c>
      <c r="AL408">
        <v>1</v>
      </c>
      <c r="AM408">
        <f t="shared" si="342"/>
        <v>248.85837150451201</v>
      </c>
      <c r="AN408">
        <f t="shared" si="317"/>
        <v>543.38532259883516</v>
      </c>
      <c r="AO408">
        <f t="shared" si="318"/>
        <v>-70.146784984023171</v>
      </c>
      <c r="AQ408">
        <f t="shared" si="343"/>
        <v>2.6570297967292494E-3</v>
      </c>
      <c r="AR408">
        <f t="shared" si="344"/>
        <v>-5.1546378056547439</v>
      </c>
      <c r="AT408">
        <f t="shared" si="365"/>
        <v>-5492.7445479303715</v>
      </c>
      <c r="AU408">
        <f t="shared" si="366"/>
        <v>-885.95279055680282</v>
      </c>
      <c r="AV408">
        <f t="shared" si="354"/>
        <v>-2.9816748724748394</v>
      </c>
      <c r="AW408">
        <f t="shared" si="355"/>
        <v>360.0504460510387</v>
      </c>
      <c r="AX408">
        <f t="shared" si="356"/>
        <v>-4113.475780177293</v>
      </c>
      <c r="AY408">
        <f t="shared" si="364"/>
        <v>-1.4834893458441887</v>
      </c>
      <c r="BA408">
        <f t="shared" si="345"/>
        <v>1.3474114487590818</v>
      </c>
      <c r="BB408">
        <f t="shared" si="357"/>
        <v>2.5900046633875187</v>
      </c>
      <c r="BC408">
        <f t="shared" si="358"/>
        <v>-1.4981855266306507</v>
      </c>
      <c r="BD408">
        <f t="shared" si="346"/>
        <v>-265.83970770160704</v>
      </c>
      <c r="BF408">
        <f t="shared" si="347"/>
        <v>-47.006618262949743</v>
      </c>
      <c r="BG408">
        <f t="shared" si="348"/>
        <v>-182.8235572655374</v>
      </c>
      <c r="BH408">
        <f t="shared" si="359"/>
        <v>-2.8235572655374028</v>
      </c>
      <c r="BI408">
        <f t="shared" si="360"/>
        <v>-2.8235572655374028</v>
      </c>
      <c r="BJ408">
        <f t="shared" si="349"/>
        <v>0</v>
      </c>
      <c r="BK408">
        <f t="shared" si="361"/>
        <v>0</v>
      </c>
      <c r="BM408">
        <f t="shared" si="362"/>
        <v>-49.596622926337261</v>
      </c>
      <c r="BN408">
        <f t="shared" si="350"/>
        <v>-96.983849563930363</v>
      </c>
      <c r="BQ408" s="56">
        <f t="shared" si="363"/>
        <v>19.491965463672653</v>
      </c>
      <c r="BR408" s="59"/>
      <c r="BS408" s="59"/>
      <c r="BT408" s="59">
        <v>954992.58600000001</v>
      </c>
      <c r="BU408" s="59">
        <v>6.1328699999999996</v>
      </c>
      <c r="BV408" s="59">
        <v>99.956599999999995</v>
      </c>
      <c r="BY408" s="59"/>
      <c r="BZ408" s="59"/>
      <c r="CA408" s="59"/>
      <c r="CC408" s="59"/>
    </row>
    <row r="409" spans="1:81" x14ac:dyDescent="0.25">
      <c r="A409">
        <f t="shared" si="319"/>
        <v>975000</v>
      </c>
      <c r="B409">
        <f t="shared" si="351"/>
        <v>975</v>
      </c>
      <c r="C409">
        <f t="shared" si="320"/>
        <v>8.1480566357550614</v>
      </c>
      <c r="D409">
        <f t="shared" si="321"/>
        <v>1.4477574720795592</v>
      </c>
      <c r="F409">
        <f t="shared" si="322"/>
        <v>2.696228879554971E-5</v>
      </c>
      <c r="G409">
        <f t="shared" si="323"/>
        <v>1.7663688661607633E-3</v>
      </c>
      <c r="H409">
        <f t="shared" si="324"/>
        <v>-3.1398262811338395</v>
      </c>
      <c r="J409">
        <f t="shared" si="325"/>
        <v>15</v>
      </c>
      <c r="M409">
        <f t="shared" si="326"/>
        <v>1.3048428397692624E-3</v>
      </c>
      <c r="N409">
        <f t="shared" si="327"/>
        <v>-1.5707963250000001</v>
      </c>
      <c r="O409">
        <f t="shared" si="328"/>
        <v>283.27289115311834</v>
      </c>
      <c r="P409">
        <f t="shared" si="329"/>
        <v>1.5672661546243385</v>
      </c>
      <c r="Q409">
        <f t="shared" si="330"/>
        <v>250.14314547883788</v>
      </c>
      <c r="R409">
        <f t="shared" si="331"/>
        <v>1.5667986051634666</v>
      </c>
      <c r="S409">
        <f t="shared" si="332"/>
        <v>0.13134870233837462</v>
      </c>
      <c r="T409">
        <f t="shared" si="333"/>
        <v>-1.4390669799646494</v>
      </c>
      <c r="U409">
        <f t="shared" si="334"/>
        <v>0.16142028741921058</v>
      </c>
      <c r="V409">
        <f t="shared" si="335"/>
        <v>-1.4086666817634002</v>
      </c>
      <c r="X409">
        <f t="shared" si="352"/>
        <v>-43.795244288931528</v>
      </c>
      <c r="Y409">
        <f t="shared" si="336"/>
        <v>-170.54283803440092</v>
      </c>
      <c r="Z409">
        <f t="shared" si="353"/>
        <v>9.4571619655990844</v>
      </c>
      <c r="AC409">
        <v>1</v>
      </c>
      <c r="AD409">
        <f t="shared" si="337"/>
        <v>283.27112606520001</v>
      </c>
      <c r="AE409">
        <f t="shared" si="338"/>
        <v>-0.26030232762406935</v>
      </c>
      <c r="AF409">
        <f t="shared" si="339"/>
        <v>4.2576434389124999E-2</v>
      </c>
      <c r="AG409">
        <f t="shared" si="315"/>
        <v>169.61855592955786</v>
      </c>
      <c r="AH409">
        <f t="shared" si="316"/>
        <v>-1060.4952144191338</v>
      </c>
      <c r="AJ409">
        <f t="shared" si="340"/>
        <v>18000</v>
      </c>
      <c r="AK409">
        <f t="shared" si="341"/>
        <v>135852.51928248</v>
      </c>
      <c r="AL409">
        <v>1</v>
      </c>
      <c r="AM409">
        <f t="shared" si="342"/>
        <v>250.14114661536001</v>
      </c>
      <c r="AN409">
        <f t="shared" si="317"/>
        <v>543.38243903909142</v>
      </c>
      <c r="AO409">
        <f t="shared" si="318"/>
        <v>-69.787069409271581</v>
      </c>
      <c r="AQ409">
        <f t="shared" si="343"/>
        <v>2.6298480920846569E-3</v>
      </c>
      <c r="AR409">
        <f t="shared" si="344"/>
        <v>-5.128203779565081</v>
      </c>
      <c r="AT409">
        <f t="shared" si="365"/>
        <v>-5437.9894957591896</v>
      </c>
      <c r="AU409">
        <f t="shared" si="366"/>
        <v>-872.62746091863482</v>
      </c>
      <c r="AV409">
        <f t="shared" si="354"/>
        <v>-2.9824803602609888</v>
      </c>
      <c r="AW409">
        <f t="shared" si="355"/>
        <v>361.97014189433276</v>
      </c>
      <c r="AX409">
        <f t="shared" si="356"/>
        <v>-4092.6523943205038</v>
      </c>
      <c r="AY409">
        <f t="shared" si="364"/>
        <v>-1.482581962037923</v>
      </c>
      <c r="BA409">
        <f t="shared" si="345"/>
        <v>1.3404861401477342</v>
      </c>
      <c r="BB409">
        <f t="shared" si="357"/>
        <v>2.54524655976138</v>
      </c>
      <c r="BC409">
        <f t="shared" si="358"/>
        <v>-1.4998983982230658</v>
      </c>
      <c r="BD409">
        <f t="shared" si="346"/>
        <v>-265.9378480148124</v>
      </c>
      <c r="BF409">
        <f t="shared" si="347"/>
        <v>-47.096712355155425</v>
      </c>
      <c r="BG409">
        <f t="shared" si="348"/>
        <v>-182.88624953012999</v>
      </c>
      <c r="BH409">
        <f t="shared" si="359"/>
        <v>-2.8862495301299873</v>
      </c>
      <c r="BI409">
        <f t="shared" si="360"/>
        <v>-2.8862495301299873</v>
      </c>
      <c r="BJ409">
        <f t="shared" si="349"/>
        <v>0</v>
      </c>
      <c r="BK409">
        <f t="shared" si="361"/>
        <v>0</v>
      </c>
      <c r="BM409">
        <f t="shared" si="362"/>
        <v>-49.641958914916799</v>
      </c>
      <c r="BN409">
        <f t="shared" si="350"/>
        <v>-96.948401515317542</v>
      </c>
      <c r="BQ409" s="56">
        <f t="shared" si="363"/>
        <v>19.447207360046516</v>
      </c>
      <c r="BR409" s="59"/>
      <c r="BS409" s="59"/>
      <c r="BT409" s="59">
        <v>977237.22100000002</v>
      </c>
      <c r="BU409" s="59">
        <v>5.7547600000000001</v>
      </c>
      <c r="BV409" s="59">
        <v>98.699600000000004</v>
      </c>
      <c r="BY409" s="59"/>
      <c r="BZ409" s="59"/>
      <c r="CA409" s="59"/>
      <c r="CC409" s="59"/>
    </row>
    <row r="410" spans="1:81" x14ac:dyDescent="0.25">
      <c r="A410">
        <f t="shared" si="319"/>
        <v>980000</v>
      </c>
      <c r="B410">
        <f t="shared" si="351"/>
        <v>980</v>
      </c>
      <c r="C410">
        <f t="shared" si="320"/>
        <v>8.1892137453748379</v>
      </c>
      <c r="D410">
        <f t="shared" si="321"/>
        <v>1.4483789526927993</v>
      </c>
      <c r="F410">
        <f t="shared" si="322"/>
        <v>2.6687858307079314E-5</v>
      </c>
      <c r="G410">
        <f t="shared" si="323"/>
        <v>1.7573563136145437E-3</v>
      </c>
      <c r="H410">
        <f t="shared" si="324"/>
        <v>-3.1398352936863856</v>
      </c>
      <c r="J410">
        <f t="shared" si="325"/>
        <v>15</v>
      </c>
      <c r="M410">
        <f t="shared" si="326"/>
        <v>1.2981854783418684E-3</v>
      </c>
      <c r="N410">
        <f t="shared" si="327"/>
        <v>-1.5707963250000001</v>
      </c>
      <c r="O410">
        <f t="shared" si="328"/>
        <v>284.72555458898341</v>
      </c>
      <c r="P410">
        <f t="shared" si="329"/>
        <v>1.5672841655583474</v>
      </c>
      <c r="Q410">
        <f t="shared" si="330"/>
        <v>251.42591039148368</v>
      </c>
      <c r="R410">
        <f t="shared" si="331"/>
        <v>1.5668190014867482</v>
      </c>
      <c r="S410">
        <f t="shared" si="332"/>
        <v>0.13069003076640942</v>
      </c>
      <c r="T410">
        <f t="shared" si="333"/>
        <v>-1.4397313787942103</v>
      </c>
      <c r="U410">
        <f t="shared" si="334"/>
        <v>0.16061801424453728</v>
      </c>
      <c r="V410">
        <f t="shared" si="335"/>
        <v>-1.409479562006982</v>
      </c>
      <c r="X410">
        <f t="shared" si="352"/>
        <v>-43.882857457615316</v>
      </c>
      <c r="Y410">
        <f t="shared" si="336"/>
        <v>-170.59018748179938</v>
      </c>
      <c r="Z410">
        <f t="shared" si="353"/>
        <v>9.4098125182006243</v>
      </c>
      <c r="AC410">
        <v>1</v>
      </c>
      <c r="AD410">
        <f t="shared" si="337"/>
        <v>284.72379850656</v>
      </c>
      <c r="AE410">
        <f t="shared" si="338"/>
        <v>-0.26297894064447724</v>
      </c>
      <c r="AF410">
        <f t="shared" si="339"/>
        <v>4.2794775078299999E-2</v>
      </c>
      <c r="AG410">
        <f t="shared" si="315"/>
        <v>167.93670721481234</v>
      </c>
      <c r="AH410">
        <f t="shared" si="316"/>
        <v>-1055.3582131472485</v>
      </c>
      <c r="AJ410">
        <f t="shared" si="340"/>
        <v>18000</v>
      </c>
      <c r="AK410">
        <f t="shared" si="341"/>
        <v>136549.19886854402</v>
      </c>
      <c r="AL410">
        <v>1</v>
      </c>
      <c r="AM410">
        <f t="shared" si="342"/>
        <v>251.42392172620802</v>
      </c>
      <c r="AN410">
        <f t="shared" si="317"/>
        <v>543.37959950184654</v>
      </c>
      <c r="AO410">
        <f t="shared" si="318"/>
        <v>-69.43102422651657</v>
      </c>
      <c r="AQ410">
        <f t="shared" si="343"/>
        <v>2.6030813715427498E-3</v>
      </c>
      <c r="AR410">
        <f t="shared" si="344"/>
        <v>-5.1020394882237898</v>
      </c>
      <c r="AT410">
        <f t="shared" si="365"/>
        <v>-5384.0421247844124</v>
      </c>
      <c r="AU410">
        <f t="shared" si="366"/>
        <v>-859.56689503719792</v>
      </c>
      <c r="AV410">
        <f t="shared" si="354"/>
        <v>-2.9832778460010649</v>
      </c>
      <c r="AW410">
        <f t="shared" si="355"/>
        <v>363.85960390484831</v>
      </c>
      <c r="AX410">
        <f t="shared" si="356"/>
        <v>-4072.0375211044202</v>
      </c>
      <c r="AY410">
        <f t="shared" si="364"/>
        <v>-1.4816773511769614</v>
      </c>
      <c r="BA410">
        <f t="shared" si="345"/>
        <v>1.3336293355144166</v>
      </c>
      <c r="BB410">
        <f t="shared" si="357"/>
        <v>2.5007027998649622</v>
      </c>
      <c r="BC410">
        <f t="shared" si="358"/>
        <v>-1.5016004948241035</v>
      </c>
      <c r="BD410">
        <f t="shared" si="346"/>
        <v>-266.03537096648688</v>
      </c>
      <c r="BF410">
        <f t="shared" si="347"/>
        <v>-47.186353421174971</v>
      </c>
      <c r="BG410">
        <f t="shared" si="348"/>
        <v>-182.9486806468</v>
      </c>
      <c r="BH410">
        <f t="shared" si="359"/>
        <v>-2.9486806467999997</v>
      </c>
      <c r="BI410">
        <f t="shared" si="360"/>
        <v>-2.9486806467999997</v>
      </c>
      <c r="BJ410">
        <f t="shared" si="349"/>
        <v>0</v>
      </c>
      <c r="BK410">
        <f t="shared" si="361"/>
        <v>0</v>
      </c>
      <c r="BM410">
        <f t="shared" si="362"/>
        <v>-49.687056221039931</v>
      </c>
      <c r="BN410">
        <f t="shared" si="350"/>
        <v>-96.91330968031312</v>
      </c>
      <c r="BQ410" s="56">
        <f t="shared" si="363"/>
        <v>19.402663600150099</v>
      </c>
    </row>
    <row r="411" spans="1:81" x14ac:dyDescent="0.25">
      <c r="A411">
        <f t="shared" si="319"/>
        <v>985000</v>
      </c>
      <c r="B411">
        <f t="shared" si="351"/>
        <v>985</v>
      </c>
      <c r="C411">
        <f t="shared" si="320"/>
        <v>8.2303739863467964</v>
      </c>
      <c r="D411">
        <f t="shared" si="321"/>
        <v>1.4489942174713644</v>
      </c>
      <c r="F411">
        <f t="shared" si="322"/>
        <v>2.6417596486649151E-5</v>
      </c>
      <c r="G411">
        <f t="shared" si="323"/>
        <v>1.7484352661139096E-3</v>
      </c>
      <c r="H411">
        <f t="shared" si="324"/>
        <v>-3.1398442147338863</v>
      </c>
      <c r="J411">
        <f t="shared" si="325"/>
        <v>15</v>
      </c>
      <c r="M411">
        <f t="shared" si="326"/>
        <v>1.2915957043401329E-3</v>
      </c>
      <c r="N411">
        <f t="shared" si="327"/>
        <v>-1.5707963250000001</v>
      </c>
      <c r="O411">
        <f t="shared" si="328"/>
        <v>286.17821811627402</v>
      </c>
      <c r="P411">
        <f t="shared" si="329"/>
        <v>1.5673019936424786</v>
      </c>
      <c r="Q411">
        <f t="shared" si="330"/>
        <v>252.70867540766332</v>
      </c>
      <c r="R411">
        <f t="shared" si="331"/>
        <v>1.5668391907440169</v>
      </c>
      <c r="S411">
        <f t="shared" si="332"/>
        <v>0.13003787573976164</v>
      </c>
      <c r="T411">
        <f t="shared" si="333"/>
        <v>-1.4403891470916943</v>
      </c>
      <c r="U411">
        <f t="shared" si="334"/>
        <v>0.15982357232309549</v>
      </c>
      <c r="V411">
        <f t="shared" si="335"/>
        <v>-1.4102844015113318</v>
      </c>
      <c r="X411">
        <f t="shared" si="352"/>
        <v>-43.97003700366254</v>
      </c>
      <c r="Y411">
        <f t="shared" si="336"/>
        <v>-170.63706956604622</v>
      </c>
      <c r="Z411">
        <f t="shared" si="353"/>
        <v>9.3629304339537782</v>
      </c>
      <c r="AC411">
        <v>1</v>
      </c>
      <c r="AD411">
        <f t="shared" si="337"/>
        <v>286.17647094792</v>
      </c>
      <c r="AE411">
        <f t="shared" si="338"/>
        <v>-0.26566924478007908</v>
      </c>
      <c r="AF411">
        <f t="shared" si="339"/>
        <v>4.3013115767474998E-2</v>
      </c>
      <c r="AG411">
        <f t="shared" si="315"/>
        <v>166.27953304489483</v>
      </c>
      <c r="AH411">
        <f t="shared" si="316"/>
        <v>-1050.2693692462387</v>
      </c>
      <c r="AJ411">
        <f t="shared" si="340"/>
        <v>18000</v>
      </c>
      <c r="AK411">
        <f t="shared" si="341"/>
        <v>137245.878454608</v>
      </c>
      <c r="AL411">
        <v>1</v>
      </c>
      <c r="AM411">
        <f t="shared" si="342"/>
        <v>252.706696837056</v>
      </c>
      <c r="AN411">
        <f t="shared" si="317"/>
        <v>543.37680309553878</v>
      </c>
      <c r="AO411">
        <f t="shared" si="318"/>
        <v>-69.078593544991833</v>
      </c>
      <c r="AQ411">
        <f t="shared" si="343"/>
        <v>2.5767212304565359E-3</v>
      </c>
      <c r="AR411">
        <f t="shared" si="344"/>
        <v>-5.0761408239993751</v>
      </c>
      <c r="AT411">
        <f t="shared" si="365"/>
        <v>-5330.8867654239193</v>
      </c>
      <c r="AU411">
        <f t="shared" si="366"/>
        <v>-846.76457726617878</v>
      </c>
      <c r="AV411">
        <f t="shared" si="354"/>
        <v>-2.9840674472890476</v>
      </c>
      <c r="AW411">
        <f t="shared" si="355"/>
        <v>365.71946694952049</v>
      </c>
      <c r="AX411">
        <f t="shared" si="356"/>
        <v>-4051.6280615683963</v>
      </c>
      <c r="AY411">
        <f t="shared" si="364"/>
        <v>-1.4807754692563677</v>
      </c>
      <c r="BA411">
        <f t="shared" si="345"/>
        <v>1.3268400241957023</v>
      </c>
      <c r="BB411">
        <f t="shared" si="357"/>
        <v>2.4563712711961769</v>
      </c>
      <c r="BC411">
        <f t="shared" si="358"/>
        <v>-1.5032919780326799</v>
      </c>
      <c r="BD411">
        <f t="shared" si="346"/>
        <v>-266.13228581556632</v>
      </c>
      <c r="BF411">
        <f t="shared" si="347"/>
        <v>-47.275546103614097</v>
      </c>
      <c r="BG411">
        <f t="shared" si="348"/>
        <v>-183.01085455911553</v>
      </c>
      <c r="BH411">
        <f t="shared" si="359"/>
        <v>-3.0108545591155291</v>
      </c>
      <c r="BI411">
        <f t="shared" si="360"/>
        <v>-3.0108545591155291</v>
      </c>
      <c r="BJ411">
        <f t="shared" si="349"/>
        <v>0</v>
      </c>
      <c r="BK411">
        <f t="shared" si="361"/>
        <v>0</v>
      </c>
      <c r="BM411">
        <f t="shared" si="362"/>
        <v>-49.731917374810273</v>
      </c>
      <c r="BN411">
        <f t="shared" si="350"/>
        <v>-96.878568743549209</v>
      </c>
      <c r="BQ411" s="56">
        <f t="shared" si="363"/>
        <v>19.358332071481314</v>
      </c>
    </row>
    <row r="412" spans="1:81" x14ac:dyDescent="0.25">
      <c r="A412">
        <f t="shared" si="319"/>
        <v>990000</v>
      </c>
      <c r="B412">
        <f t="shared" si="351"/>
        <v>990</v>
      </c>
      <c r="C412">
        <f t="shared" si="320"/>
        <v>8.2715373119248987</v>
      </c>
      <c r="D412">
        <f t="shared" si="321"/>
        <v>1.4496033587452735</v>
      </c>
      <c r="F412">
        <f t="shared" si="322"/>
        <v>2.6151419328281663E-5</v>
      </c>
      <c r="G412">
        <f t="shared" si="323"/>
        <v>1.7396043370774183E-3</v>
      </c>
      <c r="H412">
        <f t="shared" si="324"/>
        <v>-3.1398530456629228</v>
      </c>
      <c r="J412">
        <f t="shared" si="325"/>
        <v>15</v>
      </c>
      <c r="M412">
        <f t="shared" si="326"/>
        <v>1.2850724937121525E-3</v>
      </c>
      <c r="N412">
        <f t="shared" si="327"/>
        <v>-1.5707963250000001</v>
      </c>
      <c r="O412">
        <f t="shared" si="328"/>
        <v>287.63088173360484</v>
      </c>
      <c r="P412">
        <f t="shared" si="329"/>
        <v>1.5673196416471398</v>
      </c>
      <c r="Q412">
        <f t="shared" si="330"/>
        <v>253.99144052580814</v>
      </c>
      <c r="R412">
        <f t="shared" si="331"/>
        <v>1.5668591760725712</v>
      </c>
      <c r="S412">
        <f t="shared" si="332"/>
        <v>0.12939214186889694</v>
      </c>
      <c r="T412">
        <f t="shared" si="333"/>
        <v>-1.4410403830600731</v>
      </c>
      <c r="U412">
        <f t="shared" si="334"/>
        <v>0.15903684908817151</v>
      </c>
      <c r="V412">
        <f t="shared" si="335"/>
        <v>-1.4110813179663433</v>
      </c>
      <c r="X412">
        <f t="shared" si="352"/>
        <v>-44.056787139995393</v>
      </c>
      <c r="Y412">
        <f t="shared" si="336"/>
        <v>-170.68349110772965</v>
      </c>
      <c r="Z412">
        <f t="shared" si="353"/>
        <v>9.316508892270349</v>
      </c>
      <c r="AC412">
        <v>1</v>
      </c>
      <c r="AD412">
        <f t="shared" si="337"/>
        <v>287.62914338927999</v>
      </c>
      <c r="AE412">
        <f t="shared" si="338"/>
        <v>-0.26837324003087482</v>
      </c>
      <c r="AF412">
        <f t="shared" si="339"/>
        <v>4.3231456456649997E-2</v>
      </c>
      <c r="AG412">
        <f t="shared" si="315"/>
        <v>164.64655734766512</v>
      </c>
      <c r="AH412">
        <f t="shared" si="316"/>
        <v>-1045.2280297480324</v>
      </c>
      <c r="AJ412">
        <f t="shared" si="340"/>
        <v>18000</v>
      </c>
      <c r="AK412">
        <f t="shared" si="341"/>
        <v>137942.55804067198</v>
      </c>
      <c r="AL412">
        <v>1</v>
      </c>
      <c r="AM412">
        <f t="shared" si="342"/>
        <v>253.98947194790401</v>
      </c>
      <c r="AN412">
        <f t="shared" si="317"/>
        <v>543.3740489510626</v>
      </c>
      <c r="AO412">
        <f t="shared" si="318"/>
        <v>-68.729722602948996</v>
      </c>
      <c r="AQ412">
        <f t="shared" si="343"/>
        <v>2.5507594758801457E-3</v>
      </c>
      <c r="AR412">
        <f t="shared" si="344"/>
        <v>-5.0505037622426894</v>
      </c>
      <c r="AT412">
        <f t="shared" si="365"/>
        <v>-5278.5081228776262</v>
      </c>
      <c r="AU412">
        <f t="shared" si="366"/>
        <v>-834.21418262602481</v>
      </c>
      <c r="AV412">
        <f t="shared" si="354"/>
        <v>-2.9848492794468884</v>
      </c>
      <c r="AW412">
        <f t="shared" si="355"/>
        <v>367.55034925178785</v>
      </c>
      <c r="AX412">
        <f t="shared" si="356"/>
        <v>-4031.4209775486033</v>
      </c>
      <c r="AY412">
        <f t="shared" si="364"/>
        <v>-1.4798762732702215</v>
      </c>
      <c r="BA412">
        <f t="shared" si="345"/>
        <v>1.3201172151394658</v>
      </c>
      <c r="BB412">
        <f t="shared" si="357"/>
        <v>2.4122498912108528</v>
      </c>
      <c r="BC412">
        <f t="shared" si="358"/>
        <v>-1.5049730061766668</v>
      </c>
      <c r="BD412">
        <f t="shared" si="346"/>
        <v>-266.22860163356955</v>
      </c>
      <c r="BF412">
        <f t="shared" si="347"/>
        <v>-47.364294974713005</v>
      </c>
      <c r="BG412">
        <f t="shared" si="348"/>
        <v>-183.07277512792018</v>
      </c>
      <c r="BH412">
        <f t="shared" si="359"/>
        <v>-3.0727751279201811</v>
      </c>
      <c r="BI412">
        <f t="shared" si="360"/>
        <v>-3.0727751279201811</v>
      </c>
      <c r="BJ412">
        <f t="shared" si="349"/>
        <v>0</v>
      </c>
      <c r="BK412">
        <f t="shared" si="361"/>
        <v>0</v>
      </c>
      <c r="BM412">
        <f t="shared" si="362"/>
        <v>-49.77654486592386</v>
      </c>
      <c r="BN412">
        <f t="shared" si="350"/>
        <v>-96.844173494350656</v>
      </c>
      <c r="BQ412" s="56">
        <f t="shared" si="363"/>
        <v>19.31421069149599</v>
      </c>
    </row>
    <row r="413" spans="1:81" x14ac:dyDescent="0.25">
      <c r="A413">
        <f t="shared" si="319"/>
        <v>995000</v>
      </c>
      <c r="B413">
        <f t="shared" si="351"/>
        <v>995</v>
      </c>
      <c r="C413">
        <f t="shared" si="320"/>
        <v>8.3127036762855546</v>
      </c>
      <c r="D413">
        <f t="shared" si="321"/>
        <v>1.4502064670339743</v>
      </c>
      <c r="F413">
        <f t="shared" si="322"/>
        <v>2.5889244931489623E-5</v>
      </c>
      <c r="G413">
        <f t="shared" si="323"/>
        <v>1.7308621677981396E-3</v>
      </c>
      <c r="H413">
        <f t="shared" si="324"/>
        <v>-3.1398617878322019</v>
      </c>
      <c r="J413">
        <f t="shared" si="325"/>
        <v>15</v>
      </c>
      <c r="M413">
        <f t="shared" si="326"/>
        <v>1.278614842989981E-3</v>
      </c>
      <c r="N413">
        <f t="shared" si="327"/>
        <v>-1.5707963250000001</v>
      </c>
      <c r="O413">
        <f t="shared" si="328"/>
        <v>289.08354543961866</v>
      </c>
      <c r="P413">
        <f t="shared" si="329"/>
        <v>1.567337112287053</v>
      </c>
      <c r="Q413">
        <f t="shared" si="330"/>
        <v>255.27420574438096</v>
      </c>
      <c r="R413">
        <f t="shared" si="331"/>
        <v>1.5668789605466502</v>
      </c>
      <c r="S413">
        <f t="shared" si="332"/>
        <v>0.12875273560031483</v>
      </c>
      <c r="T413">
        <f t="shared" si="333"/>
        <v>-1.441685182983607</v>
      </c>
      <c r="U413">
        <f t="shared" si="334"/>
        <v>0.15825773408963048</v>
      </c>
      <c r="V413">
        <f t="shared" si="335"/>
        <v>-1.4118704267963824</v>
      </c>
      <c r="X413">
        <f t="shared" si="352"/>
        <v>-44.143112019274156</v>
      </c>
      <c r="Y413">
        <f t="shared" si="336"/>
        <v>-170.72945879664331</v>
      </c>
      <c r="Z413">
        <f t="shared" si="353"/>
        <v>9.2705412033566859</v>
      </c>
      <c r="AC413">
        <v>1</v>
      </c>
      <c r="AD413">
        <f t="shared" si="337"/>
        <v>289.08181583064004</v>
      </c>
      <c r="AE413">
        <f t="shared" si="338"/>
        <v>-0.27109092639686444</v>
      </c>
      <c r="AF413">
        <f t="shared" si="339"/>
        <v>4.3449797145825003E-2</v>
      </c>
      <c r="AG413">
        <f t="shared" si="315"/>
        <v>163.0373153736615</v>
      </c>
      <c r="AH413">
        <f t="shared" si="316"/>
        <v>-1040.233552994772</v>
      </c>
      <c r="AJ413">
        <f t="shared" si="340"/>
        <v>18000</v>
      </c>
      <c r="AK413">
        <f t="shared" si="341"/>
        <v>138639.23762673599</v>
      </c>
      <c r="AL413">
        <v>1</v>
      </c>
      <c r="AM413">
        <f t="shared" si="342"/>
        <v>255.27224705875201</v>
      </c>
      <c r="AN413">
        <f t="shared" si="317"/>
        <v>543.37133622109388</v>
      </c>
      <c r="AO413">
        <f t="shared" si="318"/>
        <v>-68.38435773929308</v>
      </c>
      <c r="AQ413">
        <f t="shared" si="343"/>
        <v>2.5251881202019849E-3</v>
      </c>
      <c r="AR413">
        <f t="shared" si="344"/>
        <v>-5.0251243592019499</v>
      </c>
      <c r="AT413">
        <f t="shared" si="365"/>
        <v>-5226.8912665212902</v>
      </c>
      <c r="AU413">
        <f t="shared" si="366"/>
        <v>-821.90957035333486</v>
      </c>
      <c r="AV413">
        <f t="shared" si="354"/>
        <v>-2.9856234555786063</v>
      </c>
      <c r="AW413">
        <f t="shared" si="355"/>
        <v>369.35285291392648</v>
      </c>
      <c r="AX413">
        <f t="shared" si="356"/>
        <v>-4011.4132902010851</v>
      </c>
      <c r="AY413">
        <f t="shared" si="364"/>
        <v>-1.4789797211836841</v>
      </c>
      <c r="BA413">
        <f t="shared" si="345"/>
        <v>1.3134599364364505</v>
      </c>
      <c r="BB413">
        <f t="shared" si="357"/>
        <v>2.3683366067747404</v>
      </c>
      <c r="BC413">
        <f t="shared" si="358"/>
        <v>-1.5066437343949222</v>
      </c>
      <c r="BD413">
        <f t="shared" si="346"/>
        <v>-266.32432730929838</v>
      </c>
      <c r="BF413">
        <f t="shared" si="347"/>
        <v>-47.452604537756628</v>
      </c>
      <c r="BG413">
        <f t="shared" si="348"/>
        <v>-183.13444613348165</v>
      </c>
      <c r="BH413">
        <f t="shared" si="359"/>
        <v>-3.1344461334816458</v>
      </c>
      <c r="BI413">
        <f t="shared" si="360"/>
        <v>-3.1344461334816458</v>
      </c>
      <c r="BJ413">
        <f t="shared" si="349"/>
        <v>0</v>
      </c>
      <c r="BK413">
        <f t="shared" si="361"/>
        <v>0</v>
      </c>
      <c r="BM413">
        <f t="shared" si="362"/>
        <v>-49.820941144531368</v>
      </c>
      <c r="BN413">
        <f t="shared" si="350"/>
        <v>-96.81011882418332</v>
      </c>
      <c r="BQ413" s="56">
        <f t="shared" si="363"/>
        <v>19.270297407059878</v>
      </c>
    </row>
    <row r="414" spans="1:81" x14ac:dyDescent="0.25">
      <c r="A414">
        <f t="shared" si="319"/>
        <v>1000000</v>
      </c>
      <c r="B414">
        <f t="shared" si="351"/>
        <v>1000</v>
      </c>
      <c r="C414">
        <f t="shared" si="320"/>
        <v>8.3538730345050585</v>
      </c>
      <c r="D414">
        <f t="shared" si="321"/>
        <v>1.4508036310902848</v>
      </c>
      <c r="F414">
        <f t="shared" si="322"/>
        <v>2.5630993438266248E-5</v>
      </c>
      <c r="G414">
        <f t="shared" si="323"/>
        <v>1.7222074267466826E-3</v>
      </c>
      <c r="H414">
        <f t="shared" si="324"/>
        <v>-3.1398704425732533</v>
      </c>
      <c r="J414">
        <f t="shared" si="325"/>
        <v>15</v>
      </c>
      <c r="M414">
        <f t="shared" si="326"/>
        <v>1.2722217687750311E-3</v>
      </c>
      <c r="N414">
        <f t="shared" si="327"/>
        <v>-1.5707963250000001</v>
      </c>
      <c r="O414">
        <f t="shared" si="328"/>
        <v>290.53620923298507</v>
      </c>
      <c r="P414">
        <f t="shared" si="329"/>
        <v>1.5673544082226472</v>
      </c>
      <c r="Q414">
        <f t="shared" si="330"/>
        <v>256.5569710618754</v>
      </c>
      <c r="R414">
        <f t="shared" si="331"/>
        <v>1.5668985471790091</v>
      </c>
      <c r="S414">
        <f t="shared" si="332"/>
        <v>0.12811956517299947</v>
      </c>
      <c r="T414">
        <f t="shared" si="333"/>
        <v>-1.4423236412742071</v>
      </c>
      <c r="U414">
        <f t="shared" si="334"/>
        <v>0.15748611894515921</v>
      </c>
      <c r="V414">
        <f t="shared" si="335"/>
        <v>-1.4126518412140501</v>
      </c>
      <c r="X414">
        <f t="shared" si="352"/>
        <v>-44.229015735025037</v>
      </c>
      <c r="Y414">
        <f t="shared" si="336"/>
        <v>-170.77497919487507</v>
      </c>
      <c r="Z414">
        <f t="shared" si="353"/>
        <v>9.2250208051249274</v>
      </c>
      <c r="AC414">
        <v>1</v>
      </c>
      <c r="AD414">
        <f t="shared" si="337"/>
        <v>290.53448827199998</v>
      </c>
      <c r="AE414">
        <f t="shared" si="338"/>
        <v>-0.27382230387804801</v>
      </c>
      <c r="AF414">
        <f t="shared" si="339"/>
        <v>4.3668137835000002E-2</v>
      </c>
      <c r="AG414">
        <f t="shared" si="315"/>
        <v>161.45135337752021</v>
      </c>
      <c r="AH414">
        <f t="shared" si="316"/>
        <v>-1035.2853084068645</v>
      </c>
      <c r="AJ414">
        <f t="shared" si="340"/>
        <v>18000</v>
      </c>
      <c r="AK414">
        <f t="shared" si="341"/>
        <v>139335.91721279998</v>
      </c>
      <c r="AL414">
        <v>1</v>
      </c>
      <c r="AM414">
        <f t="shared" si="342"/>
        <v>256.55502216960002</v>
      </c>
      <c r="AN414">
        <f t="shared" si="317"/>
        <v>543.36866407943751</v>
      </c>
      <c r="AO414">
        <f t="shared" si="318"/>
        <v>-68.042446366068646</v>
      </c>
      <c r="AQ414">
        <f t="shared" si="343"/>
        <v>2.4999993750001561E-3</v>
      </c>
      <c r="AR414">
        <f t="shared" si="344"/>
        <v>-4.9999987500003122</v>
      </c>
      <c r="AT414">
        <f t="shared" si="365"/>
        <v>-5176.0216196454739</v>
      </c>
      <c r="AU414">
        <f t="shared" si="366"/>
        <v>-809.84477769742364</v>
      </c>
      <c r="AV414">
        <f t="shared" si="354"/>
        <v>-2.9863900866228628</v>
      </c>
      <c r="AW414">
        <f t="shared" si="355"/>
        <v>371.12756442032367</v>
      </c>
      <c r="AX414">
        <f t="shared" si="356"/>
        <v>-3991.6020785675023</v>
      </c>
      <c r="AY414">
        <f t="shared" si="364"/>
        <v>-1.4780857719059972</v>
      </c>
      <c r="BA414">
        <f t="shared" si="345"/>
        <v>1.3068672348650425</v>
      </c>
      <c r="BB414">
        <f t="shared" si="357"/>
        <v>2.3246293936275628</v>
      </c>
      <c r="BC414">
        <f t="shared" si="358"/>
        <v>-1.5083043147168655</v>
      </c>
      <c r="BD414">
        <f t="shared" si="346"/>
        <v>-266.41947155339687</v>
      </c>
      <c r="BF414">
        <f t="shared" si="347"/>
        <v>-47.540479228449712</v>
      </c>
      <c r="BG414">
        <f t="shared" si="348"/>
        <v>-183.19587127757319</v>
      </c>
      <c r="BH414">
        <f t="shared" si="359"/>
        <v>-3.1958712775731897</v>
      </c>
      <c r="BI414">
        <f t="shared" si="360"/>
        <v>-3.1958712775731897</v>
      </c>
      <c r="BJ414">
        <f t="shared" si="349"/>
        <v>0</v>
      </c>
      <c r="BK414">
        <f t="shared" si="361"/>
        <v>0</v>
      </c>
      <c r="BM414">
        <f t="shared" si="362"/>
        <v>-49.865108622077273</v>
      </c>
      <c r="BN414">
        <f t="shared" si="350"/>
        <v>-96.776399724176315</v>
      </c>
      <c r="BQ414" s="56">
        <f t="shared" si="363"/>
        <v>19.226590193912699</v>
      </c>
    </row>
    <row r="415" spans="1:81" x14ac:dyDescent="0.25">
      <c r="A415">
        <f t="shared" si="319"/>
        <v>1005000</v>
      </c>
      <c r="B415">
        <f t="shared" si="351"/>
        <v>1005</v>
      </c>
      <c r="C415">
        <f t="shared" si="320"/>
        <v>8.395045342537701</v>
      </c>
      <c r="D415">
        <f t="shared" si="321"/>
        <v>1.4513949379430691</v>
      </c>
      <c r="F415">
        <f t="shared" si="322"/>
        <v>2.5376586972264355E-5</v>
      </c>
      <c r="G415">
        <f t="shared" si="323"/>
        <v>1.7136388088950375E-3</v>
      </c>
      <c r="H415">
        <f t="shared" si="324"/>
        <v>-3.139879011191105</v>
      </c>
      <c r="J415">
        <f t="shared" si="325"/>
        <v>15</v>
      </c>
      <c r="M415">
        <f t="shared" si="326"/>
        <v>1.265892307238837E-3</v>
      </c>
      <c r="N415">
        <f t="shared" si="327"/>
        <v>-1.5707963250000001</v>
      </c>
      <c r="O415">
        <f t="shared" si="328"/>
        <v>291.98887311240048</v>
      </c>
      <c r="P415">
        <f t="shared" si="329"/>
        <v>1.5673715320614083</v>
      </c>
      <c r="Q415">
        <f t="shared" si="330"/>
        <v>257.83973647681506</v>
      </c>
      <c r="R415">
        <f t="shared" si="331"/>
        <v>1.5669179389224501</v>
      </c>
      <c r="S415">
        <f t="shared" si="332"/>
        <v>0.12749254057609147</v>
      </c>
      <c r="T415">
        <f t="shared" si="333"/>
        <v>-1.442955850516467</v>
      </c>
      <c r="U415">
        <f t="shared" si="334"/>
        <v>0.15672189729282793</v>
      </c>
      <c r="V415">
        <f t="shared" si="335"/>
        <v>-1.4134256722724348</v>
      </c>
      <c r="X415">
        <f t="shared" si="352"/>
        <v>-44.314502322742165</v>
      </c>
      <c r="Y415">
        <f t="shared" si="336"/>
        <v>-170.82005873980964</v>
      </c>
      <c r="Z415">
        <f t="shared" si="353"/>
        <v>9.1799412601903612</v>
      </c>
      <c r="AC415">
        <v>1</v>
      </c>
      <c r="AD415">
        <f t="shared" si="337"/>
        <v>291.98716071335997</v>
      </c>
      <c r="AE415">
        <f t="shared" si="338"/>
        <v>-0.27656737247442542</v>
      </c>
      <c r="AF415">
        <f t="shared" si="339"/>
        <v>4.3886478524175002E-2</v>
      </c>
      <c r="AG415">
        <f t="shared" si="315"/>
        <v>159.88822830970116</v>
      </c>
      <c r="AH415">
        <f t="shared" si="316"/>
        <v>-1030.3826762563233</v>
      </c>
      <c r="AJ415">
        <f t="shared" si="340"/>
        <v>18000</v>
      </c>
      <c r="AK415">
        <f t="shared" si="341"/>
        <v>140032.59679886399</v>
      </c>
      <c r="AL415">
        <v>1</v>
      </c>
      <c r="AM415">
        <f t="shared" si="342"/>
        <v>257.837797280448</v>
      </c>
      <c r="AN415">
        <f t="shared" si="317"/>
        <v>543.36603172039918</v>
      </c>
      <c r="AO415">
        <f t="shared" si="318"/>
        <v>-67.703936941767182</v>
      </c>
      <c r="AQ415">
        <f t="shared" si="343"/>
        <v>2.4751856451113476E-3</v>
      </c>
      <c r="AR415">
        <f t="shared" si="344"/>
        <v>-4.9751231466738082</v>
      </c>
      <c r="AT415">
        <f t="shared" si="365"/>
        <v>-5125.8849495270042</v>
      </c>
      <c r="AU415">
        <f t="shared" si="366"/>
        <v>-798.01401395350172</v>
      </c>
      <c r="AV415">
        <f t="shared" si="354"/>
        <v>-2.9871492814040561</v>
      </c>
      <c r="AW415">
        <f t="shared" si="355"/>
        <v>372.87505512248777</v>
      </c>
      <c r="AX415">
        <f t="shared" si="356"/>
        <v>-3971.9844781821312</v>
      </c>
      <c r="AY415">
        <f t="shared" si="364"/>
        <v>-1.477194385264371</v>
      </c>
      <c r="BA415">
        <f t="shared" si="345"/>
        <v>1.3003381754488212</v>
      </c>
      <c r="BB415">
        <f t="shared" si="357"/>
        <v>2.2811262558588075</v>
      </c>
      <c r="BC415">
        <f t="shared" si="358"/>
        <v>-1.5099548961396851</v>
      </c>
      <c r="BD415">
        <f t="shared" si="346"/>
        <v>-266.5140429027752</v>
      </c>
      <c r="BF415">
        <f t="shared" si="347"/>
        <v>-47.627923416258035</v>
      </c>
      <c r="BG415">
        <f t="shared" si="348"/>
        <v>-183.25705418549083</v>
      </c>
      <c r="BH415">
        <f t="shared" si="359"/>
        <v>-3.2570541854908299</v>
      </c>
      <c r="BI415">
        <f t="shared" si="360"/>
        <v>-3.2570541854908299</v>
      </c>
      <c r="BJ415">
        <f t="shared" si="349"/>
        <v>0</v>
      </c>
      <c r="BK415">
        <f t="shared" si="361"/>
        <v>0</v>
      </c>
      <c r="BM415">
        <f t="shared" si="362"/>
        <v>-49.909049672116836</v>
      </c>
      <c r="BN415">
        <f t="shared" si="350"/>
        <v>-96.743011282715628</v>
      </c>
      <c r="BQ415" s="56">
        <f t="shared" si="363"/>
        <v>19.183087056143943</v>
      </c>
    </row>
    <row r="416" spans="1:81" x14ac:dyDescent="0.25">
      <c r="A416">
        <f t="shared" si="319"/>
        <v>1010000</v>
      </c>
      <c r="B416">
        <f t="shared" si="351"/>
        <v>1010</v>
      </c>
      <c r="C416">
        <f t="shared" si="320"/>
        <v>8.4362205571944973</v>
      </c>
      <c r="D416">
        <f t="shared" si="321"/>
        <v>1.4519804729386885</v>
      </c>
      <c r="F416">
        <f t="shared" si="322"/>
        <v>2.5125949580078114E-5</v>
      </c>
      <c r="G416">
        <f t="shared" si="323"/>
        <v>1.7051550350605071E-3</v>
      </c>
      <c r="H416">
        <f t="shared" si="324"/>
        <v>-3.1398874949649396</v>
      </c>
      <c r="J416">
        <f t="shared" si="325"/>
        <v>15</v>
      </c>
      <c r="M416">
        <f t="shared" si="326"/>
        <v>1.2596255136386445E-3</v>
      </c>
      <c r="N416">
        <f t="shared" si="327"/>
        <v>-1.5707963250000001</v>
      </c>
      <c r="O416">
        <f t="shared" si="328"/>
        <v>293.44153707658683</v>
      </c>
      <c r="P416">
        <f t="shared" si="329"/>
        <v>1.5673884863591905</v>
      </c>
      <c r="Q416">
        <f t="shared" si="330"/>
        <v>259.12250198775268</v>
      </c>
      <c r="R416">
        <f t="shared" si="331"/>
        <v>1.5669371386713051</v>
      </c>
      <c r="S416">
        <f t="shared" si="332"/>
        <v>0.12687157350774197</v>
      </c>
      <c r="T416">
        <f t="shared" si="333"/>
        <v>-1.4435819015114086</v>
      </c>
      <c r="U416">
        <f t="shared" si="334"/>
        <v>0.1559649647449303</v>
      </c>
      <c r="V416">
        <f t="shared" si="335"/>
        <v>-1.4141920289159047</v>
      </c>
      <c r="X416">
        <f t="shared" si="352"/>
        <v>-44.399575760964353</v>
      </c>
      <c r="Y416">
        <f t="shared" si="336"/>
        <v>-170.86470374704763</v>
      </c>
      <c r="Z416">
        <f t="shared" si="353"/>
        <v>9.1352962529523722</v>
      </c>
      <c r="AC416">
        <v>1</v>
      </c>
      <c r="AD416">
        <f t="shared" si="337"/>
        <v>293.43983315472002</v>
      </c>
      <c r="AE416">
        <f t="shared" si="338"/>
        <v>-0.27932613218599672</v>
      </c>
      <c r="AF416">
        <f t="shared" si="339"/>
        <v>4.4104819213350001E-2</v>
      </c>
      <c r="AG416">
        <f t="shared" si="315"/>
        <v>158.34750751814249</v>
      </c>
      <c r="AH416">
        <f t="shared" si="316"/>
        <v>-1025.5250474452689</v>
      </c>
      <c r="AJ416">
        <f t="shared" si="340"/>
        <v>18000</v>
      </c>
      <c r="AK416">
        <f t="shared" si="341"/>
        <v>140729.276384928</v>
      </c>
      <c r="AL416">
        <v>1</v>
      </c>
      <c r="AM416">
        <f t="shared" si="342"/>
        <v>259.12057239129598</v>
      </c>
      <c r="AN416">
        <f t="shared" si="317"/>
        <v>543.36343835817672</v>
      </c>
      <c r="AO416">
        <f t="shared" si="318"/>
        <v>-67.368778945427337</v>
      </c>
      <c r="AQ416">
        <f t="shared" si="343"/>
        <v>2.4507395229047342E-3</v>
      </c>
      <c r="AR416">
        <f t="shared" si="344"/>
        <v>-4.9504938362675626</v>
      </c>
      <c r="AT416">
        <f t="shared" si="365"/>
        <v>-5076.4673578207749</v>
      </c>
      <c r="AU416">
        <f t="shared" si="366"/>
        <v>-786.41165472239879</v>
      </c>
      <c r="AV416">
        <f t="shared" si="354"/>
        <v>-2.987901146681998</v>
      </c>
      <c r="AW416">
        <f t="shared" si="355"/>
        <v>374.59588170653899</v>
      </c>
      <c r="AX416">
        <f t="shared" si="356"/>
        <v>-3952.5576797187282</v>
      </c>
      <c r="AY416">
        <f t="shared" si="364"/>
        <v>-1.4763055219787351</v>
      </c>
      <c r="BA416">
        <f t="shared" si="345"/>
        <v>1.2938718410264762</v>
      </c>
      <c r="BB416">
        <f t="shared" si="357"/>
        <v>2.2378252253949542</v>
      </c>
      <c r="BC416">
        <f t="shared" si="358"/>
        <v>-1.5115956247032629</v>
      </c>
      <c r="BD416">
        <f t="shared" si="346"/>
        <v>-266.60804972490223</v>
      </c>
      <c r="BF416">
        <f t="shared" si="347"/>
        <v>-47.714941405716537</v>
      </c>
      <c r="BG416">
        <f t="shared" si="348"/>
        <v>-183.31799840800892</v>
      </c>
      <c r="BH416">
        <f t="shared" si="359"/>
        <v>-3.3179984080089184</v>
      </c>
      <c r="BI416">
        <f t="shared" si="360"/>
        <v>-3.3179984080089184</v>
      </c>
      <c r="BJ416">
        <f t="shared" si="349"/>
        <v>0</v>
      </c>
      <c r="BK416">
        <f t="shared" si="361"/>
        <v>0</v>
      </c>
      <c r="BM416">
        <f t="shared" si="362"/>
        <v>-49.952766631111494</v>
      </c>
      <c r="BN416">
        <f t="shared" si="350"/>
        <v>-96.709948683106688</v>
      </c>
      <c r="BQ416" s="56">
        <f t="shared" si="363"/>
        <v>19.139786025680088</v>
      </c>
    </row>
    <row r="417" spans="1:69" x14ac:dyDescent="0.25">
      <c r="A417">
        <f t="shared" si="319"/>
        <v>1015000</v>
      </c>
      <c r="B417">
        <f t="shared" si="351"/>
        <v>1015</v>
      </c>
      <c r="C417">
        <f t="shared" si="320"/>
        <v>8.4773986361225173</v>
      </c>
      <c r="D417">
        <f t="shared" si="321"/>
        <v>1.4525603197812673</v>
      </c>
      <c r="F417">
        <f t="shared" si="322"/>
        <v>2.4879007174544599E-5</v>
      </c>
      <c r="G417">
        <f t="shared" si="323"/>
        <v>1.6967548512690264E-3</v>
      </c>
      <c r="H417">
        <f t="shared" si="324"/>
        <v>-3.1398958951487312</v>
      </c>
      <c r="J417">
        <f t="shared" si="325"/>
        <v>15</v>
      </c>
      <c r="M417">
        <f t="shared" si="326"/>
        <v>1.2534204618473213E-3</v>
      </c>
      <c r="N417">
        <f t="shared" si="327"/>
        <v>-1.5707963250000001</v>
      </c>
      <c r="O417">
        <f t="shared" si="328"/>
        <v>294.89420112429144</v>
      </c>
      <c r="P417">
        <f t="shared" si="329"/>
        <v>1.5674052736214863</v>
      </c>
      <c r="Q417">
        <f t="shared" si="330"/>
        <v>260.40526759326963</v>
      </c>
      <c r="R417">
        <f t="shared" si="331"/>
        <v>1.5669561492628761</v>
      </c>
      <c r="S417">
        <f t="shared" si="332"/>
        <v>0.12625657733511092</v>
      </c>
      <c r="T417">
        <f t="shared" si="333"/>
        <v>-1.4442018833189858</v>
      </c>
      <c r="U417">
        <f t="shared" si="334"/>
        <v>0.15521521884306269</v>
      </c>
      <c r="V417">
        <f t="shared" si="335"/>
        <v>-1.4149510180294869</v>
      </c>
      <c r="X417">
        <f t="shared" si="352"/>
        <v>-44.484239972327401</v>
      </c>
      <c r="Y417">
        <f t="shared" si="336"/>
        <v>-170.90892041324432</v>
      </c>
      <c r="Z417">
        <f t="shared" si="353"/>
        <v>9.0910795867556828</v>
      </c>
      <c r="AC417">
        <v>1</v>
      </c>
      <c r="AD417">
        <f t="shared" si="337"/>
        <v>294.89250559608001</v>
      </c>
      <c r="AE417">
        <f t="shared" si="338"/>
        <v>-0.28209858301276192</v>
      </c>
      <c r="AF417">
        <f t="shared" si="339"/>
        <v>4.4323159902525E-2</v>
      </c>
      <c r="AG417">
        <f t="shared" si="315"/>
        <v>156.82876845948533</v>
      </c>
      <c r="AH417">
        <f t="shared" si="316"/>
        <v>-1020.7118232894774</v>
      </c>
      <c r="AJ417">
        <f t="shared" si="340"/>
        <v>18000</v>
      </c>
      <c r="AK417">
        <f t="shared" si="341"/>
        <v>141425.95597099201</v>
      </c>
      <c r="AL417">
        <v>1</v>
      </c>
      <c r="AM417">
        <f t="shared" si="342"/>
        <v>260.40334750214402</v>
      </c>
      <c r="AN417">
        <f t="shared" si="317"/>
        <v>543.36088322627472</v>
      </c>
      <c r="AO417">
        <f t="shared" si="318"/>
        <v>-67.036922851500577</v>
      </c>
      <c r="AQ417">
        <f t="shared" si="343"/>
        <v>2.4266537827528495E-3</v>
      </c>
      <c r="AR417">
        <f t="shared" si="344"/>
        <v>-4.9261071789882847</v>
      </c>
      <c r="AT417">
        <f t="shared" si="365"/>
        <v>-5027.7552712602892</v>
      </c>
      <c r="AU417">
        <f t="shared" si="366"/>
        <v>-775.03223638724819</v>
      </c>
      <c r="AV417">
        <f t="shared" si="354"/>
        <v>-2.9886457872002019</v>
      </c>
      <c r="AW417">
        <f t="shared" si="355"/>
        <v>376.29058664391101</v>
      </c>
      <c r="AX417">
        <f t="shared" si="356"/>
        <v>-3933.3189276759749</v>
      </c>
      <c r="AY417">
        <f t="shared" si="364"/>
        <v>-1.4754191436373174</v>
      </c>
      <c r="BA417">
        <f t="shared" si="345"/>
        <v>1.2874673318336933</v>
      </c>
      <c r="BB417">
        <f t="shared" si="357"/>
        <v>2.1947243614978564</v>
      </c>
      <c r="BC417">
        <f t="shared" si="358"/>
        <v>-1.5132266435628845</v>
      </c>
      <c r="BD417">
        <f t="shared" si="346"/>
        <v>-266.70150022197151</v>
      </c>
      <c r="BF417">
        <f t="shared" si="347"/>
        <v>-47.801537437705512</v>
      </c>
      <c r="BG417">
        <f t="shared" si="348"/>
        <v>-183.37870742327544</v>
      </c>
      <c r="BH417">
        <f t="shared" si="359"/>
        <v>-3.3787074232754435</v>
      </c>
      <c r="BI417">
        <f t="shared" si="360"/>
        <v>-3.3787074232754435</v>
      </c>
      <c r="BJ417">
        <f t="shared" si="349"/>
        <v>0</v>
      </c>
      <c r="BK417">
        <f t="shared" si="361"/>
        <v>0</v>
      </c>
      <c r="BM417">
        <f t="shared" si="362"/>
        <v>-49.996261799203374</v>
      </c>
      <c r="BN417">
        <f t="shared" si="350"/>
        <v>-96.677207201303915</v>
      </c>
      <c r="BQ417" s="56">
        <f t="shared" si="363"/>
        <v>19.096685161782993</v>
      </c>
    </row>
    <row r="418" spans="1:69" x14ac:dyDescent="0.25">
      <c r="A418">
        <f t="shared" si="319"/>
        <v>1020000</v>
      </c>
      <c r="B418">
        <f t="shared" si="351"/>
        <v>1020</v>
      </c>
      <c r="C418">
        <f t="shared" si="320"/>
        <v>8.5185795377848432</v>
      </c>
      <c r="D418">
        <f t="shared" si="321"/>
        <v>1.453134560571814</v>
      </c>
      <c r="F418">
        <f t="shared" si="322"/>
        <v>2.4635687479986263E-5</v>
      </c>
      <c r="G418">
        <f t="shared" si="323"/>
        <v>1.6884370281372153E-3</v>
      </c>
      <c r="H418">
        <f t="shared" si="324"/>
        <v>-3.1399042129718628</v>
      </c>
      <c r="J418">
        <f t="shared" si="325"/>
        <v>15</v>
      </c>
      <c r="M418">
        <f t="shared" si="326"/>
        <v>1.2472762438970892E-3</v>
      </c>
      <c r="N418">
        <f t="shared" si="327"/>
        <v>-1.5707963250000001</v>
      </c>
      <c r="O418">
        <f t="shared" si="328"/>
        <v>296.34686525428612</v>
      </c>
      <c r="P418">
        <f t="shared" si="329"/>
        <v>1.5674218963046624</v>
      </c>
      <c r="Q418">
        <f t="shared" si="330"/>
        <v>261.68803329197516</v>
      </c>
      <c r="R418">
        <f t="shared" si="331"/>
        <v>1.5669749734788334</v>
      </c>
      <c r="S418">
        <f t="shared" si="332"/>
        <v>0.12564746705547264</v>
      </c>
      <c r="T418">
        <f t="shared" si="333"/>
        <v>-1.4448158832993827</v>
      </c>
      <c r="U418">
        <f t="shared" si="334"/>
        <v>0.15447255901440454</v>
      </c>
      <c r="V418">
        <f t="shared" si="335"/>
        <v>-1.4157027444868775</v>
      </c>
      <c r="X418">
        <f t="shared" si="352"/>
        <v>-44.56849882459256</v>
      </c>
      <c r="Y418">
        <f t="shared" si="336"/>
        <v>-170.95271481886942</v>
      </c>
      <c r="Z418">
        <f t="shared" si="353"/>
        <v>9.0472851811305759</v>
      </c>
      <c r="AC418">
        <v>1</v>
      </c>
      <c r="AD418">
        <f t="shared" si="337"/>
        <v>296.34517803744001</v>
      </c>
      <c r="AE418">
        <f t="shared" si="338"/>
        <v>-0.28488472495472106</v>
      </c>
      <c r="AF418">
        <f t="shared" si="339"/>
        <v>4.4541500591699999E-2</v>
      </c>
      <c r="AG418">
        <f t="shared" si="315"/>
        <v>155.33159841952374</v>
      </c>
      <c r="AH418">
        <f t="shared" si="316"/>
        <v>-1015.9424153068504</v>
      </c>
      <c r="AJ418">
        <f t="shared" si="340"/>
        <v>18000</v>
      </c>
      <c r="AK418">
        <f t="shared" si="341"/>
        <v>142122.635557056</v>
      </c>
      <c r="AL418">
        <v>1</v>
      </c>
      <c r="AM418">
        <f t="shared" si="342"/>
        <v>261.68612261299199</v>
      </c>
      <c r="AN418">
        <f t="shared" si="317"/>
        <v>543.35836557693779</v>
      </c>
      <c r="AO418">
        <f t="shared" si="318"/>
        <v>-66.708320105455954</v>
      </c>
      <c r="AQ418">
        <f t="shared" si="343"/>
        <v>2.402921375691711E-3</v>
      </c>
      <c r="AR418">
        <f t="shared" si="344"/>
        <v>-4.90195960641109</v>
      </c>
      <c r="AT418">
        <f t="shared" si="365"/>
        <v>-4979.7354326557379</v>
      </c>
      <c r="AU418">
        <f t="shared" si="366"/>
        <v>-763.87045079798679</v>
      </c>
      <c r="AV418">
        <f t="shared" si="354"/>
        <v>-2.9893833057328401</v>
      </c>
      <c r="AW418">
        <f t="shared" si="355"/>
        <v>377.95969862594467</v>
      </c>
      <c r="AX418">
        <f t="shared" si="356"/>
        <v>-3914.2655191001909</v>
      </c>
      <c r="AY418">
        <f t="shared" si="364"/>
        <v>-1.4745352126730151</v>
      </c>
      <c r="BA418">
        <f t="shared" si="345"/>
        <v>1.2811237650966318</v>
      </c>
      <c r="BB418">
        <f t="shared" si="357"/>
        <v>2.1518217502740158</v>
      </c>
      <c r="BC418">
        <f t="shared" si="358"/>
        <v>-1.5148480930598249</v>
      </c>
      <c r="BD418">
        <f t="shared" si="346"/>
        <v>-266.79440243494599</v>
      </c>
      <c r="BF418">
        <f t="shared" si="347"/>
        <v>-47.887715690695607</v>
      </c>
      <c r="BG418">
        <f t="shared" si="348"/>
        <v>-183.43918463865049</v>
      </c>
      <c r="BH418">
        <f t="shared" si="359"/>
        <v>-3.4391846386504881</v>
      </c>
      <c r="BI418">
        <f t="shared" si="360"/>
        <v>-3.4391846386504881</v>
      </c>
      <c r="BJ418">
        <f t="shared" si="349"/>
        <v>0</v>
      </c>
      <c r="BK418">
        <f t="shared" si="361"/>
        <v>0</v>
      </c>
      <c r="BM418">
        <f t="shared" si="362"/>
        <v>-50.039537440969625</v>
      </c>
      <c r="BN418">
        <f t="shared" si="350"/>
        <v>-96.644782203704466</v>
      </c>
      <c r="BQ418" s="56">
        <f t="shared" si="363"/>
        <v>19.053782550559152</v>
      </c>
    </row>
    <row r="419" spans="1:69" x14ac:dyDescent="0.25">
      <c r="A419">
        <f t="shared" si="319"/>
        <v>1025000</v>
      </c>
      <c r="B419">
        <f t="shared" si="351"/>
        <v>1025</v>
      </c>
      <c r="C419">
        <f t="shared" si="320"/>
        <v>8.5597632214410684</v>
      </c>
      <c r="D419">
        <f t="shared" si="321"/>
        <v>1.4537032758462352</v>
      </c>
      <c r="F419">
        <f t="shared" si="322"/>
        <v>2.4395919979318762E-5</v>
      </c>
      <c r="G419">
        <f t="shared" si="323"/>
        <v>1.6802003602725212E-3</v>
      </c>
      <c r="H419">
        <f t="shared" si="324"/>
        <v>-3.1399124496397275</v>
      </c>
      <c r="J419">
        <f t="shared" si="325"/>
        <v>15</v>
      </c>
      <c r="M419">
        <f t="shared" si="326"/>
        <v>1.2411919695366157E-3</v>
      </c>
      <c r="N419">
        <f t="shared" si="327"/>
        <v>-1.5707963250000001</v>
      </c>
      <c r="O419">
        <f t="shared" si="328"/>
        <v>297.79952946536656</v>
      </c>
      <c r="P419">
        <f t="shared" si="329"/>
        <v>1.5674383568171575</v>
      </c>
      <c r="Q419">
        <f t="shared" si="330"/>
        <v>262.97079908250544</v>
      </c>
      <c r="R419">
        <f t="shared" si="331"/>
        <v>1.5669936140465721</v>
      </c>
      <c r="S419">
        <f t="shared" si="332"/>
        <v>0.12504415925839385</v>
      </c>
      <c r="T419">
        <f t="shared" si="333"/>
        <v>-1.4454239871531522</v>
      </c>
      <c r="U419">
        <f t="shared" si="334"/>
        <v>0.15373688652916312</v>
      </c>
      <c r="V419">
        <f t="shared" si="335"/>
        <v>-1.4164473111971259</v>
      </c>
      <c r="X419">
        <f t="shared" si="352"/>
        <v>-44.652356131651686</v>
      </c>
      <c r="Y419">
        <f t="shared" si="336"/>
        <v>-170.99609293089199</v>
      </c>
      <c r="Z419">
        <f t="shared" si="353"/>
        <v>9.0039070691080099</v>
      </c>
      <c r="AC419">
        <v>1</v>
      </c>
      <c r="AD419">
        <f t="shared" si="337"/>
        <v>297.7978504788</v>
      </c>
      <c r="AE419">
        <f t="shared" si="338"/>
        <v>-0.28768455801187415</v>
      </c>
      <c r="AF419">
        <f t="shared" si="339"/>
        <v>4.4759841280874998E-2</v>
      </c>
      <c r="AG419">
        <f t="shared" si="315"/>
        <v>153.85559424254612</v>
      </c>
      <c r="AH419">
        <f t="shared" si="316"/>
        <v>-1011.2162450106953</v>
      </c>
      <c r="AJ419">
        <f t="shared" si="340"/>
        <v>18000</v>
      </c>
      <c r="AK419">
        <f t="shared" si="341"/>
        <v>142819.31514312001</v>
      </c>
      <c r="AL419">
        <v>1</v>
      </c>
      <c r="AM419">
        <f t="shared" si="342"/>
        <v>262.96889772383997</v>
      </c>
      <c r="AN419">
        <f t="shared" si="317"/>
        <v>543.35588468060314</v>
      </c>
      <c r="AO419">
        <f t="shared" si="318"/>
        <v>-66.382923100098736</v>
      </c>
      <c r="AQ419">
        <f t="shared" si="343"/>
        <v>2.3795354242628379E-3</v>
      </c>
      <c r="AR419">
        <f t="shared" si="344"/>
        <v>-4.8780476197388172</v>
      </c>
      <c r="AT419">
        <f t="shared" si="365"/>
        <v>-4932.3948921789251</v>
      </c>
      <c r="AU419">
        <f t="shared" si="366"/>
        <v>-752.92114015494633</v>
      </c>
      <c r="AV419">
        <f t="shared" si="354"/>
        <v>-2.9901138031304044</v>
      </c>
      <c r="AW419">
        <f t="shared" si="355"/>
        <v>379.60373298302795</v>
      </c>
      <c r="AX419">
        <f t="shared" si="356"/>
        <v>-3895.3948023441249</v>
      </c>
      <c r="AY419">
        <f t="shared" si="364"/>
        <v>-1.4736536923405343</v>
      </c>
      <c r="BA419">
        <f t="shared" si="345"/>
        <v>1.274840274636621</v>
      </c>
      <c r="BB419">
        <f t="shared" si="357"/>
        <v>2.1091155041944658</v>
      </c>
      <c r="BC419">
        <f t="shared" si="358"/>
        <v>-1.5164601107898701</v>
      </c>
      <c r="BD419">
        <f t="shared" si="346"/>
        <v>-266.88676424748337</v>
      </c>
      <c r="BF419">
        <f t="shared" si="347"/>
        <v>-47.973480281962694</v>
      </c>
      <c r="BG419">
        <f t="shared" si="348"/>
        <v>-183.4994333924881</v>
      </c>
      <c r="BH419">
        <f t="shared" si="359"/>
        <v>-3.4994333924881005</v>
      </c>
      <c r="BI419">
        <f t="shared" si="360"/>
        <v>-3.4994333924881005</v>
      </c>
      <c r="BJ419">
        <f t="shared" si="349"/>
        <v>0</v>
      </c>
      <c r="BK419">
        <f t="shared" si="361"/>
        <v>0</v>
      </c>
      <c r="BM419">
        <f t="shared" si="362"/>
        <v>-50.082595786157157</v>
      </c>
      <c r="BN419">
        <f t="shared" si="350"/>
        <v>-96.612669145004716</v>
      </c>
      <c r="BQ419" s="56">
        <f t="shared" si="363"/>
        <v>19.011076304479605</v>
      </c>
    </row>
    <row r="420" spans="1:69" x14ac:dyDescent="0.25">
      <c r="A420">
        <f t="shared" si="319"/>
        <v>1030000</v>
      </c>
      <c r="B420">
        <f t="shared" si="351"/>
        <v>1030</v>
      </c>
      <c r="C420">
        <f t="shared" si="320"/>
        <v>8.6009496471283651</v>
      </c>
      <c r="D420">
        <f t="shared" si="321"/>
        <v>1.4542665446122776</v>
      </c>
      <c r="F420">
        <f t="shared" si="322"/>
        <v>2.4159635862951699E-5</v>
      </c>
      <c r="G420">
        <f t="shared" si="323"/>
        <v>1.672043665690833E-3</v>
      </c>
      <c r="H420">
        <f t="shared" si="324"/>
        <v>-3.1399206063343095</v>
      </c>
      <c r="J420">
        <f t="shared" si="325"/>
        <v>15</v>
      </c>
      <c r="M420">
        <f t="shared" si="326"/>
        <v>1.235166765801001E-3</v>
      </c>
      <c r="N420">
        <f t="shared" si="327"/>
        <v>-1.5707963250000001</v>
      </c>
      <c r="O420">
        <f t="shared" si="328"/>
        <v>299.25219375635191</v>
      </c>
      <c r="P420">
        <f t="shared" si="329"/>
        <v>1.5674546575206449</v>
      </c>
      <c r="Q420">
        <f t="shared" si="330"/>
        <v>264.25356496352322</v>
      </c>
      <c r="R420">
        <f t="shared" si="331"/>
        <v>1.5670120736405295</v>
      </c>
      <c r="S420">
        <f t="shared" si="332"/>
        <v>0.12444657208895024</v>
      </c>
      <c r="T420">
        <f t="shared" si="333"/>
        <v>-1.446026278960225</v>
      </c>
      <c r="U420">
        <f t="shared" si="334"/>
        <v>0.1530081044591477</v>
      </c>
      <c r="V420">
        <f t="shared" si="335"/>
        <v>-1.4171848191500382</v>
      </c>
      <c r="X420">
        <f t="shared" si="352"/>
        <v>-44.735815654509928</v>
      </c>
      <c r="Y420">
        <f t="shared" si="336"/>
        <v>-171.03906060539126</v>
      </c>
      <c r="Z420">
        <f t="shared" si="353"/>
        <v>8.9609393946087437</v>
      </c>
      <c r="AC420">
        <v>1</v>
      </c>
      <c r="AD420">
        <f t="shared" si="337"/>
        <v>299.25052292015999</v>
      </c>
      <c r="AE420">
        <f t="shared" si="338"/>
        <v>-0.29049808218422102</v>
      </c>
      <c r="AF420">
        <f t="shared" si="339"/>
        <v>4.4978181970049998E-2</v>
      </c>
      <c r="AG420">
        <f t="shared" si="315"/>
        <v>152.40036206925143</v>
      </c>
      <c r="AH420">
        <f t="shared" si="316"/>
        <v>-1006.5327437076959</v>
      </c>
      <c r="AJ420">
        <f t="shared" si="340"/>
        <v>18000</v>
      </c>
      <c r="AK420">
        <f t="shared" si="341"/>
        <v>143515.99472918399</v>
      </c>
      <c r="AL420">
        <v>1</v>
      </c>
      <c r="AM420">
        <f t="shared" si="342"/>
        <v>264.25167283468801</v>
      </c>
      <c r="AN420">
        <f t="shared" si="317"/>
        <v>543.35343982537211</v>
      </c>
      <c r="AO420">
        <f t="shared" si="318"/>
        <v>-66.060685152578969</v>
      </c>
      <c r="AQ420">
        <f t="shared" si="343"/>
        <v>2.3564892175301118E-3</v>
      </c>
      <c r="AR420">
        <f t="shared" si="344"/>
        <v>-4.8543677881120306</v>
      </c>
      <c r="AT420">
        <f t="shared" si="365"/>
        <v>-4885.7209989246976</v>
      </c>
      <c r="AU420">
        <f t="shared" si="366"/>
        <v>-742.17929208322289</v>
      </c>
      <c r="AV420">
        <f t="shared" si="354"/>
        <v>-2.9908373783641133</v>
      </c>
      <c r="AW420">
        <f t="shared" si="355"/>
        <v>381.22319208891179</v>
      </c>
      <c r="AX420">
        <f t="shared" si="356"/>
        <v>-3876.7041758606138</v>
      </c>
      <c r="AY420">
        <f t="shared" si="364"/>
        <v>-1.4727745466942661</v>
      </c>
      <c r="BA420">
        <f t="shared" si="345"/>
        <v>1.2686160104857256</v>
      </c>
      <c r="BB420">
        <f t="shared" si="357"/>
        <v>2.0666037616250268</v>
      </c>
      <c r="BC420">
        <f t="shared" si="358"/>
        <v>-1.5180628316698472</v>
      </c>
      <c r="BD420">
        <f t="shared" si="346"/>
        <v>-266.97859338974854</v>
      </c>
      <c r="BF420">
        <f t="shared" si="347"/>
        <v>-48.05883526877335</v>
      </c>
      <c r="BG420">
        <f t="shared" si="348"/>
        <v>-183.55945695586541</v>
      </c>
      <c r="BH420">
        <f t="shared" si="359"/>
        <v>-3.5594569558654143</v>
      </c>
      <c r="BI420">
        <f t="shared" si="360"/>
        <v>-3.5594569558654143</v>
      </c>
      <c r="BJ420">
        <f t="shared" si="349"/>
        <v>0</v>
      </c>
      <c r="BK420">
        <f t="shared" si="361"/>
        <v>0</v>
      </c>
      <c r="BM420">
        <f t="shared" si="362"/>
        <v>-50.125439030398383</v>
      </c>
      <c r="BN420">
        <f t="shared" si="350"/>
        <v>-96.580863566116932</v>
      </c>
      <c r="BQ420" s="56">
        <f t="shared" si="363"/>
        <v>18.968564561910163</v>
      </c>
    </row>
    <row r="421" spans="1:69" x14ac:dyDescent="0.25">
      <c r="A421">
        <f t="shared" si="319"/>
        <v>1035000</v>
      </c>
      <c r="B421">
        <f t="shared" si="351"/>
        <v>1035</v>
      </c>
      <c r="C421">
        <f t="shared" si="320"/>
        <v>8.642138775643085</v>
      </c>
      <c r="D421">
        <f t="shared" si="321"/>
        <v>1.4548244443854343</v>
      </c>
      <c r="F421">
        <f t="shared" si="322"/>
        <v>2.3926767979413398E-5</v>
      </c>
      <c r="G421">
        <f t="shared" si="323"/>
        <v>1.6639657852509813E-3</v>
      </c>
      <c r="H421">
        <f t="shared" si="324"/>
        <v>-3.1399286842147491</v>
      </c>
      <c r="J421">
        <f t="shared" si="325"/>
        <v>15</v>
      </c>
      <c r="M421">
        <f t="shared" si="326"/>
        <v>1.229199776594233E-3</v>
      </c>
      <c r="N421">
        <f t="shared" si="327"/>
        <v>-1.5707963250000001</v>
      </c>
      <c r="O421">
        <f t="shared" si="328"/>
        <v>300.70485812608422</v>
      </c>
      <c r="P421">
        <f t="shared" si="329"/>
        <v>1.5674708007311628</v>
      </c>
      <c r="Q421">
        <f t="shared" si="330"/>
        <v>265.53633093371724</v>
      </c>
      <c r="R421">
        <f t="shared" si="331"/>
        <v>1.5670303548834639</v>
      </c>
      <c r="S421">
        <f t="shared" si="332"/>
        <v>0.12385462521194825</v>
      </c>
      <c r="T421">
        <f t="shared" si="333"/>
        <v>-1.4466228412178324</v>
      </c>
      <c r="U421">
        <f t="shared" si="334"/>
        <v>0.15228611763743863</v>
      </c>
      <c r="V421">
        <f t="shared" si="335"/>
        <v>-1.4179153674603373</v>
      </c>
      <c r="X421">
        <f t="shared" si="352"/>
        <v>-44.81888110224628</v>
      </c>
      <c r="Y421">
        <f t="shared" si="336"/>
        <v>-171.08162359009665</v>
      </c>
      <c r="Z421">
        <f t="shared" si="353"/>
        <v>8.9183764099033453</v>
      </c>
      <c r="AC421">
        <v>1</v>
      </c>
      <c r="AD421">
        <f t="shared" si="337"/>
        <v>300.70319536151999</v>
      </c>
      <c r="AE421">
        <f t="shared" si="338"/>
        <v>-0.29332529747176189</v>
      </c>
      <c r="AF421">
        <f t="shared" si="339"/>
        <v>4.5196522659224997E-2</v>
      </c>
      <c r="AG421">
        <f t="shared" si="315"/>
        <v>150.96551708293251</v>
      </c>
      <c r="AH421">
        <f t="shared" si="316"/>
        <v>-1001.8913523004647</v>
      </c>
      <c r="AJ421">
        <f t="shared" si="340"/>
        <v>18000</v>
      </c>
      <c r="AK421">
        <f t="shared" si="341"/>
        <v>144212.67431524798</v>
      </c>
      <c r="AL421">
        <v>1</v>
      </c>
      <c r="AM421">
        <f t="shared" si="342"/>
        <v>265.53444794553599</v>
      </c>
      <c r="AN421">
        <f t="shared" si="317"/>
        <v>543.3510303165001</v>
      </c>
      <c r="AO421">
        <f t="shared" si="318"/>
        <v>-65.741560482066163</v>
      </c>
      <c r="AQ421">
        <f t="shared" si="343"/>
        <v>2.3337762062647423E-3</v>
      </c>
      <c r="AR421">
        <f t="shared" si="344"/>
        <v>-4.8309167469680165</v>
      </c>
      <c r="AT421">
        <f t="shared" si="365"/>
        <v>-4839.7013927390135</v>
      </c>
      <c r="AU421">
        <f t="shared" si="366"/>
        <v>-731.64003488988612</v>
      </c>
      <c r="AV421">
        <f t="shared" si="354"/>
        <v>-2.991554128569109</v>
      </c>
      <c r="AW421">
        <f t="shared" si="355"/>
        <v>382.81856575079411</v>
      </c>
      <c r="AX421">
        <f t="shared" si="356"/>
        <v>-3858.1910870300062</v>
      </c>
      <c r="AY421">
        <f t="shared" si="364"/>
        <v>-1.4718977405668718</v>
      </c>
      <c r="BA421">
        <f t="shared" si="345"/>
        <v>1.2624501385128244</v>
      </c>
      <c r="BB421">
        <f t="shared" si="357"/>
        <v>2.0242846863665886</v>
      </c>
      <c r="BC421">
        <f t="shared" si="358"/>
        <v>-1.5196563880022371</v>
      </c>
      <c r="BD421">
        <f t="shared" si="346"/>
        <v>-267.06989744211512</v>
      </c>
      <c r="BF421">
        <f t="shared" si="347"/>
        <v>-48.143784649542013</v>
      </c>
      <c r="BG421">
        <f t="shared" si="348"/>
        <v>-183.61925853425944</v>
      </c>
      <c r="BH421">
        <f t="shared" si="359"/>
        <v>-3.6192585342594441</v>
      </c>
      <c r="BI421">
        <f t="shared" si="360"/>
        <v>-3.6192585342594441</v>
      </c>
      <c r="BJ421">
        <f t="shared" si="349"/>
        <v>0</v>
      </c>
      <c r="BK421">
        <f t="shared" si="361"/>
        <v>0</v>
      </c>
      <c r="BM421">
        <f t="shared" si="362"/>
        <v>-50.168069335908598</v>
      </c>
      <c r="BN421">
        <f t="shared" si="350"/>
        <v>-96.549361092144352</v>
      </c>
      <c r="BQ421" s="56">
        <f t="shared" si="363"/>
        <v>18.926245486651723</v>
      </c>
    </row>
    <row r="422" spans="1:69" x14ac:dyDescent="0.25">
      <c r="A422">
        <f t="shared" si="319"/>
        <v>1040000</v>
      </c>
      <c r="B422">
        <f t="shared" si="351"/>
        <v>1040</v>
      </c>
      <c r="C422">
        <f t="shared" si="320"/>
        <v>8.6833305685228748</v>
      </c>
      <c r="D422">
        <f t="shared" si="321"/>
        <v>1.4553770512238471</v>
      </c>
      <c r="F422">
        <f t="shared" si="322"/>
        <v>2.3697250787633336E-5</v>
      </c>
      <c r="G422">
        <f t="shared" si="323"/>
        <v>1.6559655821055529E-3</v>
      </c>
      <c r="H422">
        <f t="shared" si="324"/>
        <v>-3.1399366844178949</v>
      </c>
      <c r="J422">
        <f t="shared" si="325"/>
        <v>15</v>
      </c>
      <c r="M422">
        <f t="shared" si="326"/>
        <v>1.2232901622836836E-3</v>
      </c>
      <c r="N422">
        <f t="shared" si="327"/>
        <v>-1.5707963250000001</v>
      </c>
      <c r="O422">
        <f t="shared" si="328"/>
        <v>302.15752257342774</v>
      </c>
      <c r="P422">
        <f t="shared" si="329"/>
        <v>1.5674867887202113</v>
      </c>
      <c r="Q422">
        <f t="shared" si="330"/>
        <v>266.81909699180113</v>
      </c>
      <c r="R422">
        <f t="shared" si="331"/>
        <v>1.5670484603476971</v>
      </c>
      <c r="S422">
        <f t="shared" si="332"/>
        <v>0.12326823977712091</v>
      </c>
      <c r="T422">
        <f t="shared" si="333"/>
        <v>-1.4472137548773742</v>
      </c>
      <c r="U422">
        <f t="shared" si="334"/>
        <v>0.15157083261911819</v>
      </c>
      <c r="V422">
        <f t="shared" si="335"/>
        <v>-1.4186390534106192</v>
      </c>
      <c r="X422">
        <f t="shared" si="352"/>
        <v>-44.901556132952877</v>
      </c>
      <c r="Y422">
        <f t="shared" si="336"/>
        <v>-171.12378752685962</v>
      </c>
      <c r="Z422">
        <f t="shared" si="353"/>
        <v>8.8762124731403844</v>
      </c>
      <c r="AC422">
        <v>1</v>
      </c>
      <c r="AD422">
        <f t="shared" si="337"/>
        <v>302.15586780287998</v>
      </c>
      <c r="AE422">
        <f t="shared" si="338"/>
        <v>-0.29616620387449666</v>
      </c>
      <c r="AF422">
        <f t="shared" si="339"/>
        <v>4.5414863348399996E-2</v>
      </c>
      <c r="AG422">
        <f t="shared" si="315"/>
        <v>149.55068326363502</v>
      </c>
      <c r="AH422">
        <f t="shared" si="316"/>
        <v>-997.29152109457289</v>
      </c>
      <c r="AJ422">
        <f t="shared" si="340"/>
        <v>18000</v>
      </c>
      <c r="AK422">
        <f t="shared" si="341"/>
        <v>144909.35390131199</v>
      </c>
      <c r="AL422">
        <v>1</v>
      </c>
      <c r="AM422">
        <f t="shared" si="342"/>
        <v>266.81722305638402</v>
      </c>
      <c r="AN422">
        <f t="shared" si="317"/>
        <v>543.34865547590186</v>
      </c>
      <c r="AO422">
        <f t="shared" si="318"/>
        <v>-65.425504188067876</v>
      </c>
      <c r="AQ422">
        <f t="shared" si="343"/>
        <v>2.3113899982918828E-3</v>
      </c>
      <c r="AR422">
        <f t="shared" si="344"/>
        <v>-4.8076911964471165</v>
      </c>
      <c r="AT422">
        <f t="shared" si="365"/>
        <v>-4794.3239963041979</v>
      </c>
      <c r="AU422">
        <f t="shared" si="366"/>
        <v>-721.29863299646843</v>
      </c>
      <c r="AV422">
        <f t="shared" si="354"/>
        <v>-2.9922641490864734</v>
      </c>
      <c r="AW422">
        <f t="shared" si="355"/>
        <v>384.39033158574682</v>
      </c>
      <c r="AX422">
        <f t="shared" si="356"/>
        <v>-3839.8530310202277</v>
      </c>
      <c r="AY422">
        <f t="shared" si="364"/>
        <v>-1.4710232395485514</v>
      </c>
      <c r="BA422">
        <f t="shared" si="345"/>
        <v>1.2563418400598974</v>
      </c>
      <c r="BB422">
        <f t="shared" si="357"/>
        <v>1.9821564672053495</v>
      </c>
      <c r="BC422">
        <f t="shared" si="358"/>
        <v>-1.521240909537922</v>
      </c>
      <c r="BD422">
        <f t="shared" si="346"/>
        <v>-267.1606838387612</v>
      </c>
      <c r="BF422">
        <f t="shared" si="347"/>
        <v>-48.228332364960195</v>
      </c>
      <c r="BG422">
        <f t="shared" si="348"/>
        <v>-183.67884126917423</v>
      </c>
      <c r="BH422">
        <f t="shared" si="359"/>
        <v>-3.678841269174228</v>
      </c>
      <c r="BI422">
        <f t="shared" si="360"/>
        <v>-3.678841269174228</v>
      </c>
      <c r="BJ422">
        <f t="shared" si="349"/>
        <v>0</v>
      </c>
      <c r="BK422">
        <f t="shared" si="361"/>
        <v>0</v>
      </c>
      <c r="BM422">
        <f t="shared" si="362"/>
        <v>-50.210488832165545</v>
      </c>
      <c r="BN422">
        <f t="shared" si="350"/>
        <v>-96.518157430413055</v>
      </c>
      <c r="BQ422" s="56">
        <f t="shared" si="363"/>
        <v>18.884117267490485</v>
      </c>
    </row>
    <row r="423" spans="1:69" x14ac:dyDescent="0.25">
      <c r="A423">
        <f t="shared" si="319"/>
        <v>1045000</v>
      </c>
      <c r="B423">
        <f t="shared" si="351"/>
        <v>1045</v>
      </c>
      <c r="C423">
        <f t="shared" si="320"/>
        <v>8.7245249880293017</v>
      </c>
      <c r="D423">
        <f t="shared" si="321"/>
        <v>1.4559244397622393</v>
      </c>
      <c r="F423">
        <f t="shared" si="322"/>
        <v>2.3471020310819134E-5</v>
      </c>
      <c r="G423">
        <f t="shared" si="323"/>
        <v>1.6480419411674728E-3</v>
      </c>
      <c r="H423">
        <f t="shared" si="324"/>
        <v>-3.1399446080588329</v>
      </c>
      <c r="J423">
        <f t="shared" si="325"/>
        <v>15</v>
      </c>
      <c r="M423">
        <f t="shared" si="326"/>
        <v>1.2174370993062499E-3</v>
      </c>
      <c r="N423">
        <f t="shared" si="327"/>
        <v>-1.5707963250000001</v>
      </c>
      <c r="O423">
        <f t="shared" si="328"/>
        <v>303.61018709726835</v>
      </c>
      <c r="P423">
        <f t="shared" si="329"/>
        <v>1.5675026237158167</v>
      </c>
      <c r="Q423">
        <f t="shared" si="330"/>
        <v>268.10186313651354</v>
      </c>
      <c r="R423">
        <f t="shared" si="331"/>
        <v>1.5670663925563215</v>
      </c>
      <c r="S423">
        <f t="shared" si="332"/>
        <v>0.12268733838526753</v>
      </c>
      <c r="T423">
        <f t="shared" si="333"/>
        <v>-1.4477990993802663</v>
      </c>
      <c r="U423">
        <f t="shared" si="334"/>
        <v>0.15086215764303185</v>
      </c>
      <c r="V423">
        <f t="shared" si="335"/>
        <v>-1.4193559724931453</v>
      </c>
      <c r="X423">
        <f t="shared" si="352"/>
        <v>-44.983844354653215</v>
      </c>
      <c r="Y423">
        <f t="shared" si="336"/>
        <v>-171.16555795405748</v>
      </c>
      <c r="Z423">
        <f t="shared" si="353"/>
        <v>8.8344420459425237</v>
      </c>
      <c r="AC423">
        <v>1</v>
      </c>
      <c r="AD423">
        <f t="shared" si="337"/>
        <v>303.60854024424003</v>
      </c>
      <c r="AE423">
        <f t="shared" si="338"/>
        <v>-0.29902080139242532</v>
      </c>
      <c r="AF423">
        <f t="shared" si="339"/>
        <v>4.5633204037574995E-2</v>
      </c>
      <c r="AG423">
        <f t="shared" si="315"/>
        <v>148.15549315000706</v>
      </c>
      <c r="AH423">
        <f t="shared" si="316"/>
        <v>-992.73270960994023</v>
      </c>
      <c r="AJ423">
        <f t="shared" si="340"/>
        <v>18000</v>
      </c>
      <c r="AK423">
        <f t="shared" si="341"/>
        <v>145606.033487376</v>
      </c>
      <c r="AL423">
        <v>1</v>
      </c>
      <c r="AM423">
        <f t="shared" si="342"/>
        <v>268.099998167232</v>
      </c>
      <c r="AN423">
        <f t="shared" si="317"/>
        <v>543.34631464167512</v>
      </c>
      <c r="AO423">
        <f t="shared" si="318"/>
        <v>-65.112472229371051</v>
      </c>
      <c r="AQ423">
        <f t="shared" si="343"/>
        <v>2.2893243539927307E-3</v>
      </c>
      <c r="AR423">
        <f t="shared" si="344"/>
        <v>-4.7846878998448066</v>
      </c>
      <c r="AT423">
        <f t="shared" si="365"/>
        <v>-4749.5770074721831</v>
      </c>
      <c r="AU423">
        <f t="shared" si="366"/>
        <v>-711.15048253949408</v>
      </c>
      <c r="AV423">
        <f t="shared" si="354"/>
        <v>-2.9929675335041126</v>
      </c>
      <c r="AW423">
        <f t="shared" si="355"/>
        <v>385.93895538402393</v>
      </c>
      <c r="AX423">
        <f t="shared" si="356"/>
        <v>-3821.6875496784642</v>
      </c>
      <c r="AY423">
        <f t="shared" si="364"/>
        <v>-1.4701510099669712</v>
      </c>
      <c r="BA423">
        <f t="shared" si="345"/>
        <v>1.2502903115881732</v>
      </c>
      <c r="BB423">
        <f t="shared" si="357"/>
        <v>1.9402173174725681</v>
      </c>
      <c r="BC423">
        <f t="shared" si="358"/>
        <v>-1.5228165235371414</v>
      </c>
      <c r="BD423">
        <f t="shared" si="346"/>
        <v>-267.25095987116134</v>
      </c>
      <c r="BF423">
        <f t="shared" si="347"/>
        <v>-48.312482299099109</v>
      </c>
      <c r="BG423">
        <f t="shared" si="348"/>
        <v>-183.73820823971951</v>
      </c>
      <c r="BH423">
        <f t="shared" si="359"/>
        <v>-3.738208239719512</v>
      </c>
      <c r="BI423">
        <f t="shared" si="360"/>
        <v>-3.738208239719512</v>
      </c>
      <c r="BJ423">
        <f t="shared" si="349"/>
        <v>0</v>
      </c>
      <c r="BK423">
        <f t="shared" si="361"/>
        <v>0</v>
      </c>
      <c r="BM423">
        <f t="shared" si="362"/>
        <v>-50.252699616571675</v>
      </c>
      <c r="BN423">
        <f t="shared" si="350"/>
        <v>-96.48724836855817</v>
      </c>
      <c r="BQ423" s="56">
        <f t="shared" si="363"/>
        <v>18.842178117757705</v>
      </c>
    </row>
    <row r="424" spans="1:69" x14ac:dyDescent="0.25">
      <c r="A424">
        <f t="shared" si="319"/>
        <v>1050000</v>
      </c>
      <c r="B424">
        <f t="shared" si="351"/>
        <v>1050</v>
      </c>
      <c r="C424">
        <f t="shared" si="320"/>
        <v>8.7657219971309495</v>
      </c>
      <c r="D424">
        <f t="shared" si="321"/>
        <v>1.4564666832449091</v>
      </c>
      <c r="F424">
        <f t="shared" si="322"/>
        <v>2.3248014091867276E-5</v>
      </c>
      <c r="G424">
        <f t="shared" si="323"/>
        <v>1.640193768591832E-3</v>
      </c>
      <c r="H424">
        <f t="shared" si="324"/>
        <v>-3.1399524562314083</v>
      </c>
      <c r="J424">
        <f t="shared" si="325"/>
        <v>15</v>
      </c>
      <c r="M424">
        <f t="shared" si="326"/>
        <v>1.2116397797857438E-3</v>
      </c>
      <c r="N424">
        <f t="shared" si="327"/>
        <v>-1.5707963250000001</v>
      </c>
      <c r="O424">
        <f t="shared" si="328"/>
        <v>305.06285169651329</v>
      </c>
      <c r="P424">
        <f t="shared" si="329"/>
        <v>1.5675183079035686</v>
      </c>
      <c r="Q424">
        <f t="shared" si="330"/>
        <v>269.38462936661676</v>
      </c>
      <c r="R424">
        <f t="shared" si="331"/>
        <v>1.5670841539843714</v>
      </c>
      <c r="S424">
        <f t="shared" si="332"/>
        <v>0.12211184505530669</v>
      </c>
      <c r="T424">
        <f t="shared" si="333"/>
        <v>-1.4483789526927993</v>
      </c>
      <c r="U424">
        <f t="shared" si="334"/>
        <v>0.15016000259454837</v>
      </c>
      <c r="V424">
        <f t="shared" si="335"/>
        <v>-1.4200662184505046</v>
      </c>
      <c r="X424">
        <f t="shared" si="352"/>
        <v>-45.06574932620029</v>
      </c>
      <c r="Y424">
        <f t="shared" si="336"/>
        <v>-171.20694030893384</v>
      </c>
      <c r="Z424">
        <f t="shared" si="353"/>
        <v>8.793059691066162</v>
      </c>
      <c r="AC424">
        <v>1</v>
      </c>
      <c r="AD424">
        <f t="shared" si="337"/>
        <v>305.06121268560003</v>
      </c>
      <c r="AE424">
        <f t="shared" si="338"/>
        <v>-0.30188909002554787</v>
      </c>
      <c r="AF424">
        <f t="shared" si="339"/>
        <v>4.5851544726750001E-2</v>
      </c>
      <c r="AG424">
        <f t="shared" ref="AG424:AG487" si="367">AC424*AE424/(AE424^2+AF424^2)+AD424*AF424/(AE424^2+AF424^2)</f>
        <v>146.77958760857041</v>
      </c>
      <c r="AH424">
        <f t="shared" ref="AH424:AH487" si="368">AD424*AE424/(AE424^2+AF424^2)-AC424*AF424/(AE424^2+AF424^2)</f>
        <v>-988.2143863964908</v>
      </c>
      <c r="AJ424">
        <f t="shared" si="340"/>
        <v>18000</v>
      </c>
      <c r="AK424">
        <f t="shared" si="341"/>
        <v>146302.71307344001</v>
      </c>
      <c r="AL424">
        <v>1</v>
      </c>
      <c r="AM424">
        <f t="shared" si="342"/>
        <v>269.38277327807998</v>
      </c>
      <c r="AN424">
        <f t="shared" ref="AN424:AN487" si="369">AJ424*AL424/(AL424^2+AM424^2)+AK424*AM424/(AL424^2+AM424^2)</f>
        <v>543.34400716763912</v>
      </c>
      <c r="AO424">
        <f t="shared" ref="AO424:AO487" si="370">AK424*AL424/(AL424^2+AM424^2)-AJ424*AM424/(AL424^2+AM424^2)</f>
        <v>-64.802421403584347</v>
      </c>
      <c r="AQ424">
        <f t="shared" si="343"/>
        <v>2.2675731819561946E-3</v>
      </c>
      <c r="AR424">
        <f t="shared" si="344"/>
        <v>-4.7619036821080085</v>
      </c>
      <c r="AT424">
        <f t="shared" si="365"/>
        <v>-4705.4488918370362</v>
      </c>
      <c r="AU424">
        <f t="shared" si="366"/>
        <v>-701.19110713216241</v>
      </c>
      <c r="AV424">
        <f t="shared" si="354"/>
        <v>-2.9936643736965318</v>
      </c>
      <c r="AW424">
        <f t="shared" si="355"/>
        <v>387.46489145978029</v>
      </c>
      <c r="AX424">
        <f t="shared" si="356"/>
        <v>-3803.692230453421</v>
      </c>
      <c r="AY424">
        <f t="shared" si="364"/>
        <v>-1.4692810188678234</v>
      </c>
      <c r="BA424">
        <f t="shared" si="345"/>
        <v>1.2442947643338498</v>
      </c>
      <c r="BB424">
        <f t="shared" si="357"/>
        <v>1.8984654746137304</v>
      </c>
      <c r="BC424">
        <f t="shared" si="358"/>
        <v>-1.5243833548287085</v>
      </c>
      <c r="BD424">
        <f t="shared" si="346"/>
        <v>-267.34073269147973</v>
      </c>
      <c r="BF424">
        <f t="shared" si="347"/>
        <v>-48.396238280485981</v>
      </c>
      <c r="BG424">
        <f t="shared" si="348"/>
        <v>-183.79736246414294</v>
      </c>
      <c r="BH424">
        <f t="shared" si="359"/>
        <v>-3.7973624641429353</v>
      </c>
      <c r="BI424">
        <f t="shared" si="360"/>
        <v>-3.7973624641429353</v>
      </c>
      <c r="BJ424">
        <f t="shared" si="349"/>
        <v>0</v>
      </c>
      <c r="BK424">
        <f t="shared" si="361"/>
        <v>0</v>
      </c>
      <c r="BM424">
        <f t="shared" si="362"/>
        <v>-50.294703755099704</v>
      </c>
      <c r="BN424">
        <f t="shared" si="350"/>
        <v>-96.456629772663177</v>
      </c>
      <c r="BQ424" s="56">
        <f t="shared" si="363"/>
        <v>18.800426274898868</v>
      </c>
    </row>
    <row r="425" spans="1:69" x14ac:dyDescent="0.25">
      <c r="A425">
        <f t="shared" si="319"/>
        <v>1055000</v>
      </c>
      <c r="B425">
        <f t="shared" si="351"/>
        <v>1055</v>
      </c>
      <c r="C425">
        <f t="shared" si="320"/>
        <v>8.8069215594869998</v>
      </c>
      <c r="D425">
        <f t="shared" si="321"/>
        <v>1.4570038535578131</v>
      </c>
      <c r="F425">
        <f t="shared" si="322"/>
        <v>2.3028171150249738E-5</v>
      </c>
      <c r="G425">
        <f t="shared" si="323"/>
        <v>1.6324199912724471E-3</v>
      </c>
      <c r="H425">
        <f t="shared" si="324"/>
        <v>-3.1399602300087279</v>
      </c>
      <c r="J425">
        <f t="shared" si="325"/>
        <v>15</v>
      </c>
      <c r="M425">
        <f t="shared" si="326"/>
        <v>1.2058974111611668E-3</v>
      </c>
      <c r="N425">
        <f t="shared" si="327"/>
        <v>-1.5707963250000001</v>
      </c>
      <c r="O425">
        <f t="shared" si="328"/>
        <v>306.5155163700905</v>
      </c>
      <c r="P425">
        <f t="shared" si="329"/>
        <v>1.5675338434276238</v>
      </c>
      <c r="Q425">
        <f t="shared" si="330"/>
        <v>270.66739568089673</v>
      </c>
      <c r="R425">
        <f t="shared" si="331"/>
        <v>1.567101747059962</v>
      </c>
      <c r="S425">
        <f t="shared" si="332"/>
        <v>0.12154168519221577</v>
      </c>
      <c r="T425">
        <f t="shared" si="333"/>
        <v>-1.4489533913400445</v>
      </c>
      <c r="U425">
        <f t="shared" si="334"/>
        <v>0.14946427896928938</v>
      </c>
      <c r="V425">
        <f t="shared" si="335"/>
        <v>-1.4207698833151827</v>
      </c>
      <c r="X425">
        <f t="shared" si="352"/>
        <v>-45.147274558154805</v>
      </c>
      <c r="Y425">
        <f t="shared" si="336"/>
        <v>-171.24793992987603</v>
      </c>
      <c r="Z425">
        <f t="shared" si="353"/>
        <v>8.7520600701239744</v>
      </c>
      <c r="AC425">
        <v>1</v>
      </c>
      <c r="AD425">
        <f t="shared" si="337"/>
        <v>306.51388512696002</v>
      </c>
      <c r="AE425">
        <f t="shared" si="338"/>
        <v>-0.30477106977386431</v>
      </c>
      <c r="AF425">
        <f t="shared" si="339"/>
        <v>4.6069885415925001E-2</v>
      </c>
      <c r="AG425">
        <f t="shared" si="367"/>
        <v>145.42261561015141</v>
      </c>
      <c r="AH425">
        <f t="shared" si="368"/>
        <v>-983.73602885396588</v>
      </c>
      <c r="AJ425">
        <f t="shared" si="340"/>
        <v>18000</v>
      </c>
      <c r="AK425">
        <f t="shared" si="341"/>
        <v>146999.392659504</v>
      </c>
      <c r="AL425">
        <v>1</v>
      </c>
      <c r="AM425">
        <f t="shared" si="342"/>
        <v>270.66554838892802</v>
      </c>
      <c r="AN425">
        <f t="shared" si="369"/>
        <v>543.34173242288841</v>
      </c>
      <c r="AO425">
        <f t="shared" si="370"/>
        <v>-64.495309327262731</v>
      </c>
      <c r="AQ425">
        <f t="shared" si="343"/>
        <v>2.2461305347744806E-3</v>
      </c>
      <c r="AR425">
        <f t="shared" si="344"/>
        <v>-4.7393354283741544</v>
      </c>
      <c r="AT425">
        <f t="shared" si="365"/>
        <v>-4661.9283755383312</v>
      </c>
      <c r="AU425">
        <f t="shared" si="366"/>
        <v>-691.41615378059362</v>
      </c>
      <c r="AV425">
        <f t="shared" si="354"/>
        <v>-2.9943547598635467</v>
      </c>
      <c r="AW425">
        <f t="shared" si="355"/>
        <v>388.96858298968669</v>
      </c>
      <c r="AX425">
        <f t="shared" si="356"/>
        <v>-3785.8647053471987</v>
      </c>
      <c r="AY425">
        <f t="shared" si="364"/>
        <v>-1.4684132339959983</v>
      </c>
      <c r="BA425">
        <f t="shared" si="345"/>
        <v>1.2383544239730848</v>
      </c>
      <c r="BB425">
        <f t="shared" si="357"/>
        <v>1.8568991997668616</v>
      </c>
      <c r="BC425">
        <f t="shared" si="358"/>
        <v>-1.5259415258675484</v>
      </c>
      <c r="BD425">
        <f t="shared" si="346"/>
        <v>-267.43000931586681</v>
      </c>
      <c r="BF425">
        <f t="shared" si="347"/>
        <v>-48.479604083155024</v>
      </c>
      <c r="BG425">
        <f t="shared" si="348"/>
        <v>-183.85630690131748</v>
      </c>
      <c r="BH425">
        <f t="shared" si="359"/>
        <v>-3.8563069013174811</v>
      </c>
      <c r="BI425">
        <f t="shared" si="360"/>
        <v>-3.8563069013174811</v>
      </c>
      <c r="BJ425">
        <f t="shared" si="349"/>
        <v>0</v>
      </c>
      <c r="BK425">
        <f t="shared" si="361"/>
        <v>0</v>
      </c>
      <c r="BM425">
        <f t="shared" si="362"/>
        <v>-50.336503282921889</v>
      </c>
      <c r="BN425">
        <f t="shared" si="350"/>
        <v>-96.426297585450698</v>
      </c>
      <c r="BQ425" s="56">
        <f t="shared" si="363"/>
        <v>18.758860000051996</v>
      </c>
    </row>
    <row r="426" spans="1:69" x14ac:dyDescent="0.25">
      <c r="A426">
        <f t="shared" si="319"/>
        <v>1060000</v>
      </c>
      <c r="B426">
        <f t="shared" si="351"/>
        <v>1060</v>
      </c>
      <c r="C426">
        <f t="shared" si="320"/>
        <v>8.848123639431261</v>
      </c>
      <c r="D426">
        <f t="shared" si="321"/>
        <v>1.4575360212597703</v>
      </c>
      <c r="F426">
        <f t="shared" si="322"/>
        <v>2.2811431940320902E-5</v>
      </c>
      <c r="G426">
        <f t="shared" si="323"/>
        <v>1.6247195563526789E-3</v>
      </c>
      <c r="H426">
        <f t="shared" si="324"/>
        <v>-3.1399679304436474</v>
      </c>
      <c r="J426">
        <f t="shared" si="325"/>
        <v>15</v>
      </c>
      <c r="M426">
        <f t="shared" si="326"/>
        <v>1.200209215825501E-3</v>
      </c>
      <c r="N426">
        <f t="shared" si="327"/>
        <v>-1.5707963250000001</v>
      </c>
      <c r="O426">
        <f t="shared" si="328"/>
        <v>307.96818111694807</v>
      </c>
      <c r="P426">
        <f t="shared" si="329"/>
        <v>1.5675492323916838</v>
      </c>
      <c r="Q426">
        <f t="shared" si="330"/>
        <v>271.95016207816246</v>
      </c>
      <c r="R426">
        <f t="shared" si="331"/>
        <v>1.567119174165396</v>
      </c>
      <c r="S426">
        <f t="shared" si="332"/>
        <v>0.12097678555582793</v>
      </c>
      <c r="T426">
        <f t="shared" si="333"/>
        <v>-1.4495224904388302</v>
      </c>
      <c r="U426">
        <f t="shared" si="334"/>
        <v>0.14877489983779968</v>
      </c>
      <c r="V426">
        <f t="shared" si="335"/>
        <v>-1.4214670574480701</v>
      </c>
      <c r="X426">
        <f t="shared" si="352"/>
        <v>-45.228423513644138</v>
      </c>
      <c r="Y426">
        <f t="shared" si="336"/>
        <v>-171.28856205863147</v>
      </c>
      <c r="Z426">
        <f t="shared" si="353"/>
        <v>8.7114379413685299</v>
      </c>
      <c r="AC426">
        <v>1</v>
      </c>
      <c r="AD426">
        <f t="shared" si="337"/>
        <v>307.96655756832001</v>
      </c>
      <c r="AE426">
        <f t="shared" si="338"/>
        <v>-0.3076667406373747</v>
      </c>
      <c r="AF426">
        <f t="shared" si="339"/>
        <v>4.62882261051E-2</v>
      </c>
      <c r="AG426">
        <f t="shared" si="367"/>
        <v>144.08423401322202</v>
      </c>
      <c r="AH426">
        <f t="shared" si="368"/>
        <v>-979.29712305579937</v>
      </c>
      <c r="AJ426">
        <f t="shared" si="340"/>
        <v>18000</v>
      </c>
      <c r="AK426">
        <f t="shared" si="341"/>
        <v>147696.07224556801</v>
      </c>
      <c r="AL426">
        <v>1</v>
      </c>
      <c r="AM426">
        <f t="shared" si="342"/>
        <v>271.948323499776</v>
      </c>
      <c r="AN426">
        <f t="shared" si="369"/>
        <v>543.3394897913621</v>
      </c>
      <c r="AO426">
        <f t="shared" si="370"/>
        <v>-64.191094416594254</v>
      </c>
      <c r="AQ426">
        <f t="shared" si="343"/>
        <v>2.2249906049771704E-3</v>
      </c>
      <c r="AR426">
        <f t="shared" si="344"/>
        <v>-4.7169800825516015</v>
      </c>
      <c r="AT426">
        <f t="shared" si="365"/>
        <v>-4619.0044382872857</v>
      </c>
      <c r="AU426">
        <f t="shared" si="366"/>
        <v>-681.82138894835259</v>
      </c>
      <c r="AV426">
        <f t="shared" si="354"/>
        <v>-2.9950387805679561</v>
      </c>
      <c r="AW426">
        <f t="shared" si="355"/>
        <v>390.45046233992696</v>
      </c>
      <c r="AX426">
        <f t="shared" si="356"/>
        <v>-3768.2026498958394</v>
      </c>
      <c r="AY426">
        <f t="shared" si="364"/>
        <v>-1.4675476237773439</v>
      </c>
      <c r="BA426">
        <f t="shared" si="345"/>
        <v>1.2324685302959666</v>
      </c>
      <c r="BB426">
        <f t="shared" si="357"/>
        <v>1.8155167773497396</v>
      </c>
      <c r="BC426">
        <f t="shared" si="358"/>
        <v>-1.5274911567906122</v>
      </c>
      <c r="BD426">
        <f t="shared" si="346"/>
        <v>-267.51879662766277</v>
      </c>
      <c r="BF426">
        <f t="shared" si="347"/>
        <v>-48.562583427673786</v>
      </c>
      <c r="BG426">
        <f t="shared" si="348"/>
        <v>-183.9150444521851</v>
      </c>
      <c r="BH426">
        <f t="shared" si="359"/>
        <v>-3.9150444521851</v>
      </c>
      <c r="BI426">
        <f t="shared" si="360"/>
        <v>-3.9150444521851</v>
      </c>
      <c r="BJ426">
        <f t="shared" si="349"/>
        <v>0</v>
      </c>
      <c r="BK426">
        <f t="shared" si="361"/>
        <v>0</v>
      </c>
      <c r="BM426">
        <f t="shared" si="362"/>
        <v>-50.378100205023522</v>
      </c>
      <c r="BN426">
        <f t="shared" si="350"/>
        <v>-96.396247824522348</v>
      </c>
      <c r="BQ426" s="56">
        <f t="shared" si="363"/>
        <v>18.717477577634874</v>
      </c>
    </row>
    <row r="427" spans="1:69" x14ac:dyDescent="0.25">
      <c r="A427">
        <f t="shared" si="319"/>
        <v>1065000</v>
      </c>
      <c r="B427">
        <f t="shared" si="351"/>
        <v>1065</v>
      </c>
      <c r="C427">
        <f t="shared" si="320"/>
        <v>8.88932820195663</v>
      </c>
      <c r="D427">
        <f t="shared" si="321"/>
        <v>1.4580632556128137</v>
      </c>
      <c r="F427">
        <f t="shared" si="322"/>
        <v>2.2597738310991436E-5</v>
      </c>
      <c r="G427">
        <f t="shared" si="323"/>
        <v>1.6170914307500239E-3</v>
      </c>
      <c r="H427">
        <f t="shared" si="324"/>
        <v>-3.1399755585692501</v>
      </c>
      <c r="J427">
        <f t="shared" si="325"/>
        <v>15</v>
      </c>
      <c r="M427">
        <f t="shared" si="326"/>
        <v>1.1945744307746771E-3</v>
      </c>
      <c r="N427">
        <f t="shared" si="327"/>
        <v>-1.5707963250000001</v>
      </c>
      <c r="O427">
        <f t="shared" si="328"/>
        <v>309.42084593605398</v>
      </c>
      <c r="P427">
        <f t="shared" si="329"/>
        <v>1.567564476859945</v>
      </c>
      <c r="Q427">
        <f t="shared" si="330"/>
        <v>273.23292855724503</v>
      </c>
      <c r="R427">
        <f t="shared" si="331"/>
        <v>1.5671364376382397</v>
      </c>
      <c r="S427">
        <f t="shared" si="332"/>
        <v>0.12041707423046161</v>
      </c>
      <c r="T427">
        <f t="shared" si="333"/>
        <v>-1.4500863237298238</v>
      </c>
      <c r="U427">
        <f t="shared" si="334"/>
        <v>0.14809177981113</v>
      </c>
      <c r="V427">
        <f t="shared" si="335"/>
        <v>-1.4221578295759434</v>
      </c>
      <c r="X427">
        <f t="shared" si="352"/>
        <v>-45.309199609202587</v>
      </c>
      <c r="Y427">
        <f t="shared" si="336"/>
        <v>-171.32881184246571</v>
      </c>
      <c r="Z427">
        <f t="shared" si="353"/>
        <v>8.6711881575342886</v>
      </c>
      <c r="AC427">
        <v>1</v>
      </c>
      <c r="AD427">
        <f t="shared" si="337"/>
        <v>309.41923000968001</v>
      </c>
      <c r="AE427">
        <f t="shared" si="338"/>
        <v>-0.31057610261607899</v>
      </c>
      <c r="AF427">
        <f t="shared" si="339"/>
        <v>4.6506566794274999E-2</v>
      </c>
      <c r="AG427">
        <f t="shared" si="367"/>
        <v>142.76410735390991</v>
      </c>
      <c r="AH427">
        <f t="shared" si="368"/>
        <v>-974.89716357695374</v>
      </c>
      <c r="AJ427">
        <f t="shared" si="340"/>
        <v>18000</v>
      </c>
      <c r="AK427">
        <f t="shared" si="341"/>
        <v>148392.75183163199</v>
      </c>
      <c r="AL427">
        <v>1</v>
      </c>
      <c r="AM427">
        <f t="shared" si="342"/>
        <v>273.23109861062403</v>
      </c>
      <c r="AN427">
        <f t="shared" si="369"/>
        <v>543.33727867142636</v>
      </c>
      <c r="AO427">
        <f t="shared" si="370"/>
        <v>-63.889735868630765</v>
      </c>
      <c r="AQ427">
        <f t="shared" si="343"/>
        <v>2.2041477210986088E-3</v>
      </c>
      <c r="AR427">
        <f t="shared" si="344"/>
        <v>-4.6948346459400367</v>
      </c>
      <c r="AT427">
        <f t="shared" si="365"/>
        <v>-4576.6663066078745</v>
      </c>
      <c r="AU427">
        <f t="shared" si="366"/>
        <v>-672.40269476324261</v>
      </c>
      <c r="AV427">
        <f t="shared" si="354"/>
        <v>-2.9957165227722102</v>
      </c>
      <c r="AW427">
        <f t="shared" si="355"/>
        <v>391.91095138202485</v>
      </c>
      <c r="AX427">
        <f t="shared" si="356"/>
        <v>-3750.7037821776385</v>
      </c>
      <c r="AY427">
        <f t="shared" si="364"/>
        <v>-1.4666841573009932</v>
      </c>
      <c r="BA427">
        <f t="shared" si="345"/>
        <v>1.2266363368891946</v>
      </c>
      <c r="BB427">
        <f t="shared" si="357"/>
        <v>1.7743165146558315</v>
      </c>
      <c r="BC427">
        <f t="shared" si="358"/>
        <v>-1.529032365471217</v>
      </c>
      <c r="BD427">
        <f t="shared" si="346"/>
        <v>-267.60710138051127</v>
      </c>
      <c r="BF427">
        <f t="shared" si="347"/>
        <v>-48.645179982145443</v>
      </c>
      <c r="BG427">
        <f t="shared" si="348"/>
        <v>-183.9735779611585</v>
      </c>
      <c r="BH427">
        <f t="shared" si="359"/>
        <v>-3.9735779611584974</v>
      </c>
      <c r="BI427">
        <f t="shared" si="360"/>
        <v>-3.9735779611584974</v>
      </c>
      <c r="BJ427">
        <f t="shared" si="349"/>
        <v>0</v>
      </c>
      <c r="BK427">
        <f t="shared" si="361"/>
        <v>0</v>
      </c>
      <c r="BM427">
        <f t="shared" si="362"/>
        <v>-50.419496496801273</v>
      </c>
      <c r="BN427">
        <f t="shared" si="350"/>
        <v>-96.366476580647245</v>
      </c>
      <c r="BQ427" s="56">
        <f t="shared" si="363"/>
        <v>18.676277314940968</v>
      </c>
    </row>
    <row r="428" spans="1:69" x14ac:dyDescent="0.25">
      <c r="A428">
        <f t="shared" ref="A428:A433" si="371">A427+5000</f>
        <v>1070000</v>
      </c>
      <c r="B428">
        <f t="shared" si="351"/>
        <v>1070</v>
      </c>
      <c r="C428">
        <f t="shared" si="320"/>
        <v>8.9305352126999935</v>
      </c>
      <c r="D428">
        <f t="shared" si="321"/>
        <v>1.458585624611715</v>
      </c>
      <c r="F428">
        <f t="shared" si="322"/>
        <v>2.2387033466718299E-5</v>
      </c>
      <c r="G428">
        <f t="shared" si="323"/>
        <v>1.6095346006940424E-3</v>
      </c>
      <c r="H428">
        <f t="shared" si="324"/>
        <v>-3.1399831153993061</v>
      </c>
      <c r="J428">
        <f t="shared" si="325"/>
        <v>15</v>
      </c>
      <c r="M428">
        <f t="shared" si="326"/>
        <v>1.1889923072663843E-3</v>
      </c>
      <c r="N428">
        <f t="shared" si="327"/>
        <v>-1.5707963250000001</v>
      </c>
      <c r="O428">
        <f t="shared" si="328"/>
        <v>310.87351082639532</v>
      </c>
      <c r="P428">
        <f t="shared" si="329"/>
        <v>1.5675795788580213</v>
      </c>
      <c r="Q428">
        <f t="shared" si="330"/>
        <v>274.51569511699745</v>
      </c>
      <c r="R428">
        <f t="shared" si="331"/>
        <v>1.5671535397723668</v>
      </c>
      <c r="S428">
        <f t="shared" si="332"/>
        <v>0.11986248059535602</v>
      </c>
      <c r="T428">
        <f t="shared" si="333"/>
        <v>-1.4506449636087442</v>
      </c>
      <c r="U428">
        <f t="shared" si="334"/>
        <v>0.14741483500730562</v>
      </c>
      <c r="V428">
        <f t="shared" si="335"/>
        <v>-1.4228422868279513</v>
      </c>
      <c r="X428">
        <f t="shared" si="352"/>
        <v>-45.389606215593275</v>
      </c>
      <c r="Y428">
        <f t="shared" si="336"/>
        <v>-171.36869433626339</v>
      </c>
      <c r="Z428">
        <f t="shared" si="353"/>
        <v>8.6313056637366117</v>
      </c>
      <c r="AC428">
        <v>1</v>
      </c>
      <c r="AD428">
        <f t="shared" si="337"/>
        <v>310.87190245104</v>
      </c>
      <c r="AE428">
        <f t="shared" si="338"/>
        <v>-0.31349915570997716</v>
      </c>
      <c r="AF428">
        <f t="shared" si="339"/>
        <v>4.6724907483449998E-2</v>
      </c>
      <c r="AG428">
        <f t="shared" si="367"/>
        <v>141.46190764244577</v>
      </c>
      <c r="AH428">
        <f t="shared" si="368"/>
        <v>-970.53565332562459</v>
      </c>
      <c r="AJ428">
        <f t="shared" si="340"/>
        <v>18000</v>
      </c>
      <c r="AK428">
        <f t="shared" si="341"/>
        <v>149089.43141769597</v>
      </c>
      <c r="AL428">
        <v>1</v>
      </c>
      <c r="AM428">
        <f t="shared" si="342"/>
        <v>274.51387372147201</v>
      </c>
      <c r="AN428">
        <f t="shared" si="369"/>
        <v>543.335098475471</v>
      </c>
      <c r="AO428">
        <f t="shared" si="370"/>
        <v>-63.591193643044988</v>
      </c>
      <c r="AQ428">
        <f t="shared" si="343"/>
        <v>2.1835963438736256E-3</v>
      </c>
      <c r="AR428">
        <f t="shared" si="344"/>
        <v>-4.6728961758895586</v>
      </c>
      <c r="AT428">
        <f t="shared" si="365"/>
        <v>-4534.9034472854601</v>
      </c>
      <c r="AU428">
        <f t="shared" si="366"/>
        <v>-663.15606536062762</v>
      </c>
      <c r="AV428">
        <f t="shared" si="354"/>
        <v>-2.9963880718741094</v>
      </c>
      <c r="AW428">
        <f t="shared" si="355"/>
        <v>393.35046179793551</v>
      </c>
      <c r="AX428">
        <f t="shared" si="356"/>
        <v>-3733.3658618483305</v>
      </c>
      <c r="AY428">
        <f t="shared" si="364"/>
        <v>-1.4658228043022379</v>
      </c>
      <c r="BA428">
        <f t="shared" si="345"/>
        <v>1.2208571108271982</v>
      </c>
      <c r="BB428">
        <f t="shared" si="357"/>
        <v>1.7332967414587106</v>
      </c>
      <c r="BC428">
        <f t="shared" si="358"/>
        <v>-1.5305652675718715</v>
      </c>
      <c r="BD428">
        <f t="shared" si="346"/>
        <v>-267.69493020138589</v>
      </c>
      <c r="BF428">
        <f t="shared" si="347"/>
        <v>-48.727397363187819</v>
      </c>
      <c r="BG428">
        <f t="shared" si="348"/>
        <v>-184.03191021748259</v>
      </c>
      <c r="BH428">
        <f t="shared" si="359"/>
        <v>-4.03191021748259</v>
      </c>
      <c r="BI428">
        <f t="shared" si="360"/>
        <v>-4.03191021748259</v>
      </c>
      <c r="BJ428">
        <f t="shared" si="349"/>
        <v>0</v>
      </c>
      <c r="BK428">
        <f t="shared" si="361"/>
        <v>0</v>
      </c>
      <c r="BM428">
        <f t="shared" si="362"/>
        <v>-50.460694104646535</v>
      </c>
      <c r="BN428">
        <f t="shared" si="350"/>
        <v>-96.336980016096732</v>
      </c>
      <c r="BQ428" s="56">
        <f t="shared" si="363"/>
        <v>18.635257541743847</v>
      </c>
    </row>
    <row r="429" spans="1:69" x14ac:dyDescent="0.25">
      <c r="A429">
        <f t="shared" si="371"/>
        <v>1075000</v>
      </c>
      <c r="B429">
        <f t="shared" si="351"/>
        <v>1075</v>
      </c>
      <c r="C429">
        <f t="shared" si="320"/>
        <v>8.9717446379275305</v>
      </c>
      <c r="D429">
        <f t="shared" si="321"/>
        <v>1.4591031950127127</v>
      </c>
      <c r="F429">
        <f t="shared" si="322"/>
        <v>2.217926192976193E-5</v>
      </c>
      <c r="G429">
        <f t="shared" si="323"/>
        <v>1.6020480712771819E-3</v>
      </c>
      <c r="H429">
        <f t="shared" si="324"/>
        <v>-3.1399906019287229</v>
      </c>
      <c r="J429">
        <f t="shared" si="325"/>
        <v>15</v>
      </c>
      <c r="M429">
        <f t="shared" si="326"/>
        <v>1.1834621104884009E-3</v>
      </c>
      <c r="N429">
        <f t="shared" si="327"/>
        <v>-1.5707963250000001</v>
      </c>
      <c r="O429">
        <f t="shared" si="328"/>
        <v>312.32617578697813</v>
      </c>
      <c r="P429">
        <f t="shared" si="329"/>
        <v>1.5675945403738416</v>
      </c>
      <c r="Q429">
        <f t="shared" si="330"/>
        <v>275.79846175629416</v>
      </c>
      <c r="R429">
        <f t="shared" si="331"/>
        <v>1.5671704828189752</v>
      </c>
      <c r="S429">
        <f t="shared" si="332"/>
        <v>0.11931293529588831</v>
      </c>
      <c r="T429">
        <f t="shared" si="333"/>
        <v>-1.4511984811567329</v>
      </c>
      <c r="U429">
        <f t="shared" si="334"/>
        <v>0.14674398301865457</v>
      </c>
      <c r="V429">
        <f t="shared" si="335"/>
        <v>-1.4235205147711336</v>
      </c>
      <c r="X429">
        <f t="shared" si="352"/>
        <v>-45.469646658612263</v>
      </c>
      <c r="Y429">
        <f t="shared" si="336"/>
        <v>-171.40821450457327</v>
      </c>
      <c r="Z429">
        <f t="shared" si="353"/>
        <v>8.5917854954267341</v>
      </c>
      <c r="AC429">
        <v>1</v>
      </c>
      <c r="AD429">
        <f t="shared" si="337"/>
        <v>312.32457489239999</v>
      </c>
      <c r="AE429">
        <f t="shared" si="338"/>
        <v>-0.31643589991906923</v>
      </c>
      <c r="AF429">
        <f t="shared" si="339"/>
        <v>4.6943248172624998E-2</v>
      </c>
      <c r="AG429">
        <f t="shared" si="367"/>
        <v>140.17731416582586</v>
      </c>
      <c r="AH429">
        <f t="shared" si="368"/>
        <v>-966.21210337871867</v>
      </c>
      <c r="AJ429">
        <f t="shared" si="340"/>
        <v>18000</v>
      </c>
      <c r="AK429">
        <f t="shared" si="341"/>
        <v>149786.11100375999</v>
      </c>
      <c r="AL429">
        <v>1</v>
      </c>
      <c r="AM429">
        <f t="shared" si="342"/>
        <v>275.79664883231999</v>
      </c>
      <c r="AN429">
        <f t="shared" si="369"/>
        <v>543.33294862951891</v>
      </c>
      <c r="AO429">
        <f t="shared" si="370"/>
        <v>-63.295428444396578</v>
      </c>
      <c r="AQ429">
        <f t="shared" si="343"/>
        <v>2.1633310625568279E-3</v>
      </c>
      <c r="AR429">
        <f t="shared" si="344"/>
        <v>-4.6511617844971802</v>
      </c>
      <c r="AT429">
        <f t="shared" si="365"/>
        <v>-4493.7055610157349</v>
      </c>
      <c r="AU429">
        <f t="shared" si="366"/>
        <v>-654.07760335780199</v>
      </c>
      <c r="AV429">
        <f t="shared" si="354"/>
        <v>-2.9970535117415551</v>
      </c>
      <c r="AW429">
        <f t="shared" si="355"/>
        <v>394.76939537482082</v>
      </c>
      <c r="AX429">
        <f t="shared" si="356"/>
        <v>-3716.1866892023318</v>
      </c>
      <c r="AY429">
        <f t="shared" si="364"/>
        <v>-1.4649635351459298</v>
      </c>
      <c r="BA429">
        <f t="shared" si="345"/>
        <v>1.2151301323714359</v>
      </c>
      <c r="BB429">
        <f t="shared" si="357"/>
        <v>1.6924558096247528</v>
      </c>
      <c r="BC429">
        <f t="shared" si="358"/>
        <v>-1.5320899765956253</v>
      </c>
      <c r="BD429">
        <f t="shared" si="346"/>
        <v>-267.78228959353225</v>
      </c>
      <c r="BF429">
        <f t="shared" si="347"/>
        <v>-48.809239136889772</v>
      </c>
      <c r="BG429">
        <f t="shared" si="348"/>
        <v>-184.09004395655634</v>
      </c>
      <c r="BH429">
        <f t="shared" si="359"/>
        <v>-4.0900439565563431</v>
      </c>
      <c r="BI429">
        <f t="shared" si="360"/>
        <v>-4.0900439565563431</v>
      </c>
      <c r="BJ429">
        <f t="shared" si="349"/>
        <v>0</v>
      </c>
      <c r="BK429">
        <f t="shared" si="361"/>
        <v>0</v>
      </c>
      <c r="BM429">
        <f t="shared" si="362"/>
        <v>-50.501694946514526</v>
      </c>
      <c r="BN429">
        <f t="shared" si="350"/>
        <v>-96.30775436302406</v>
      </c>
      <c r="BQ429" s="56">
        <f t="shared" si="363"/>
        <v>18.594416609909889</v>
      </c>
    </row>
    <row r="430" spans="1:69" x14ac:dyDescent="0.25">
      <c r="A430">
        <f t="shared" si="371"/>
        <v>1080000</v>
      </c>
      <c r="B430">
        <f t="shared" si="351"/>
        <v>1080</v>
      </c>
      <c r="C430">
        <f t="shared" si="320"/>
        <v>9.012956444520416</v>
      </c>
      <c r="D430">
        <f t="shared" si="321"/>
        <v>1.4596160323614622</v>
      </c>
      <c r="F430">
        <f t="shared" si="322"/>
        <v>2.1974369503663774E-5</v>
      </c>
      <c r="G430">
        <f t="shared" si="323"/>
        <v>1.5946308660180816E-3</v>
      </c>
      <c r="H430">
        <f t="shared" si="324"/>
        <v>-3.1399980191339822</v>
      </c>
      <c r="J430">
        <f t="shared" si="325"/>
        <v>15</v>
      </c>
      <c r="M430">
        <f t="shared" si="326"/>
        <v>1.1779831192361399E-3</v>
      </c>
      <c r="N430">
        <f t="shared" si="327"/>
        <v>-1.5707963250000001</v>
      </c>
      <c r="O430">
        <f t="shared" si="328"/>
        <v>313.77884081682691</v>
      </c>
      <c r="P430">
        <f t="shared" si="329"/>
        <v>1.5676093633585217</v>
      </c>
      <c r="Q430">
        <f t="shared" si="330"/>
        <v>277.08122847403041</v>
      </c>
      <c r="R430">
        <f t="shared" si="331"/>
        <v>1.5671872689875754</v>
      </c>
      <c r="S430">
        <f t="shared" si="332"/>
        <v>0.11876837021554872</v>
      </c>
      <c r="T430">
        <f t="shared" si="333"/>
        <v>-1.4517469461699115</v>
      </c>
      <c r="U430">
        <f t="shared" si="334"/>
        <v>0.14607914287997051</v>
      </c>
      <c r="V430">
        <f t="shared" si="335"/>
        <v>-1.4241925974450069</v>
      </c>
      <c r="X430">
        <f t="shared" si="352"/>
        <v>-45.549324219875288</v>
      </c>
      <c r="Y430">
        <f t="shared" si="336"/>
        <v>-171.44737722360071</v>
      </c>
      <c r="Z430">
        <f t="shared" si="353"/>
        <v>8.5526227763992893</v>
      </c>
      <c r="AC430">
        <v>1</v>
      </c>
      <c r="AD430">
        <f t="shared" si="337"/>
        <v>313.77724733376004</v>
      </c>
      <c r="AE430">
        <f t="shared" si="338"/>
        <v>-0.31938633524335514</v>
      </c>
      <c r="AF430">
        <f t="shared" si="339"/>
        <v>4.7161588861800004E-2</v>
      </c>
      <c r="AG430">
        <f t="shared" si="367"/>
        <v>138.91001329647602</v>
      </c>
      <c r="AH430">
        <f t="shared" si="368"/>
        <v>-961.92603282101845</v>
      </c>
      <c r="AJ430">
        <f t="shared" si="340"/>
        <v>18000</v>
      </c>
      <c r="AK430">
        <f t="shared" si="341"/>
        <v>150482.790589824</v>
      </c>
      <c r="AL430">
        <v>1</v>
      </c>
      <c r="AM430">
        <f t="shared" si="342"/>
        <v>277.07942394316802</v>
      </c>
      <c r="AN430">
        <f t="shared" si="369"/>
        <v>543.33082857284785</v>
      </c>
      <c r="AO430">
        <f t="shared" si="370"/>
        <v>-63.002401704890588</v>
      </c>
      <c r="AQ430">
        <f t="shared" si="343"/>
        <v>2.1433465913608986E-3</v>
      </c>
      <c r="AR430">
        <f t="shared" si="344"/>
        <v>-4.6296286373395414</v>
      </c>
      <c r="AT430">
        <f t="shared" si="365"/>
        <v>-4453.0625762470981</v>
      </c>
      <c r="AU430">
        <f t="shared" si="366"/>
        <v>-645.16351645417001</v>
      </c>
      <c r="AV430">
        <f t="shared" si="354"/>
        <v>-2.9977129247463918</v>
      </c>
      <c r="AW430">
        <f t="shared" si="355"/>
        <v>396.16814428990205</v>
      </c>
      <c r="AX430">
        <f t="shared" si="356"/>
        <v>-3699.1641042591968</v>
      </c>
      <c r="AY430">
        <f t="shared" si="364"/>
        <v>-1.4641063208103906</v>
      </c>
      <c r="BA430">
        <f t="shared" si="345"/>
        <v>1.2094546946776328</v>
      </c>
      <c r="BB430">
        <f t="shared" si="357"/>
        <v>1.651792092733958</v>
      </c>
      <c r="BC430">
        <f t="shared" si="358"/>
        <v>-1.5336066039360012</v>
      </c>
      <c r="BD430">
        <f t="shared" si="346"/>
        <v>-267.86918593932927</v>
      </c>
      <c r="BF430">
        <f t="shared" si="347"/>
        <v>-48.890708819745427</v>
      </c>
      <c r="BG430">
        <f t="shared" si="348"/>
        <v>-184.14798186121735</v>
      </c>
      <c r="BH430">
        <f t="shared" si="359"/>
        <v>-4.147981861217346</v>
      </c>
      <c r="BI430">
        <f t="shared" si="360"/>
        <v>-4.147981861217346</v>
      </c>
      <c r="BJ430">
        <f t="shared" si="349"/>
        <v>0</v>
      </c>
      <c r="BK430">
        <f t="shared" si="361"/>
        <v>0</v>
      </c>
      <c r="BM430">
        <f t="shared" si="362"/>
        <v>-50.542500912479383</v>
      </c>
      <c r="BN430">
        <f t="shared" si="350"/>
        <v>-96.27879592188809</v>
      </c>
      <c r="BQ430" s="56">
        <f t="shared" si="363"/>
        <v>18.553752893019094</v>
      </c>
    </row>
    <row r="431" spans="1:69" x14ac:dyDescent="0.25">
      <c r="A431">
        <f t="shared" si="371"/>
        <v>1085000</v>
      </c>
      <c r="B431">
        <f t="shared" si="351"/>
        <v>1085</v>
      </c>
      <c r="C431">
        <f t="shared" si="320"/>
        <v>9.0541705999609157</v>
      </c>
      <c r="D431">
        <f t="shared" si="321"/>
        <v>1.4601242010202389</v>
      </c>
      <c r="F431">
        <f t="shared" si="322"/>
        <v>2.1772303237899367E-5</v>
      </c>
      <c r="G431">
        <f t="shared" si="323"/>
        <v>1.5872820264369481E-3</v>
      </c>
      <c r="H431">
        <f t="shared" si="324"/>
        <v>-3.1400053679735631</v>
      </c>
      <c r="J431">
        <f t="shared" si="325"/>
        <v>15</v>
      </c>
      <c r="M431">
        <f t="shared" si="326"/>
        <v>1.1725546255991069E-3</v>
      </c>
      <c r="N431">
        <f t="shared" si="327"/>
        <v>-1.5707963250000001</v>
      </c>
      <c r="O431">
        <f t="shared" si="328"/>
        <v>315.23150591498398</v>
      </c>
      <c r="P431">
        <f t="shared" si="329"/>
        <v>1.5676240497272127</v>
      </c>
      <c r="Q431">
        <f t="shared" si="330"/>
        <v>278.3639952691218</v>
      </c>
      <c r="R431">
        <f t="shared" si="331"/>
        <v>1.5672039004469502</v>
      </c>
      <c r="S431">
        <f t="shared" si="332"/>
        <v>0.1182287184486506</v>
      </c>
      <c r="T431">
        <f t="shared" si="333"/>
        <v>-1.4522904271881463</v>
      </c>
      <c r="U431">
        <f t="shared" si="334"/>
        <v>0.14542023503748541</v>
      </c>
      <c r="V431">
        <f t="shared" si="335"/>
        <v>-1.4248586173952404</v>
      </c>
      <c r="X431">
        <f t="shared" si="352"/>
        <v>-45.62864213758759</v>
      </c>
      <c r="Y431">
        <f t="shared" si="336"/>
        <v>-171.48618728314716</v>
      </c>
      <c r="Z431">
        <f t="shared" si="353"/>
        <v>8.5138127168528399</v>
      </c>
      <c r="AC431">
        <v>1</v>
      </c>
      <c r="AD431">
        <f t="shared" si="337"/>
        <v>315.22991977512004</v>
      </c>
      <c r="AE431">
        <f t="shared" si="338"/>
        <v>-0.32235046168283504</v>
      </c>
      <c r="AF431">
        <f t="shared" si="339"/>
        <v>4.7379929550975003E-2</v>
      </c>
      <c r="AG431">
        <f t="shared" si="367"/>
        <v>137.65969830671011</v>
      </c>
      <c r="AH431">
        <f t="shared" si="368"/>
        <v>-957.67696858793784</v>
      </c>
      <c r="AJ431">
        <f t="shared" si="340"/>
        <v>18000</v>
      </c>
      <c r="AK431">
        <f t="shared" si="341"/>
        <v>151179.47017588801</v>
      </c>
      <c r="AL431">
        <v>1</v>
      </c>
      <c r="AM431">
        <f t="shared" si="342"/>
        <v>278.362199054016</v>
      </c>
      <c r="AN431">
        <f t="shared" si="369"/>
        <v>543.3287377576263</v>
      </c>
      <c r="AO431">
        <f t="shared" si="370"/>
        <v>-62.712075567612963</v>
      </c>
      <c r="AQ431">
        <f t="shared" si="343"/>
        <v>2.1236377660095213E-3</v>
      </c>
      <c r="AR431">
        <f t="shared" si="344"/>
        <v>-4.6082939522406612</v>
      </c>
      <c r="AT431">
        <f t="shared" si="365"/>
        <v>-4412.9646432097816</v>
      </c>
      <c r="AU431">
        <f t="shared" si="366"/>
        <v>-636.41011415221703</v>
      </c>
      <c r="AV431">
        <f t="shared" si="354"/>
        <v>-2.9983663917973544</v>
      </c>
      <c r="AW431">
        <f t="shared" si="355"/>
        <v>397.54709138577158</v>
      </c>
      <c r="AX431">
        <f t="shared" si="356"/>
        <v>-3682.2959858745362</v>
      </c>
      <c r="AY431">
        <f t="shared" si="364"/>
        <v>-1.4632511328718116</v>
      </c>
      <c r="BA431">
        <f t="shared" si="345"/>
        <v>1.2038301035107031</v>
      </c>
      <c r="BB431">
        <f t="shared" si="357"/>
        <v>1.6113039857086073</v>
      </c>
      <c r="BC431">
        <f t="shared" si="358"/>
        <v>-1.5351152589255428</v>
      </c>
      <c r="BD431">
        <f t="shared" si="346"/>
        <v>-267.95562550307011</v>
      </c>
      <c r="BF431">
        <f t="shared" si="347"/>
        <v>-48.971809879567054</v>
      </c>
      <c r="BG431">
        <f t="shared" si="348"/>
        <v>-184.20572656298899</v>
      </c>
      <c r="BH431">
        <f t="shared" si="359"/>
        <v>-4.2057265629889855</v>
      </c>
      <c r="BI431">
        <f t="shared" si="360"/>
        <v>-4.2057265629889855</v>
      </c>
      <c r="BJ431">
        <f t="shared" si="349"/>
        <v>0</v>
      </c>
      <c r="BK431">
        <f t="shared" si="361"/>
        <v>0</v>
      </c>
      <c r="BM431">
        <f t="shared" si="362"/>
        <v>-50.583113865275664</v>
      </c>
      <c r="BN431">
        <f t="shared" si="350"/>
        <v>-96.250101059918862</v>
      </c>
      <c r="BQ431" s="56">
        <f t="shared" si="363"/>
        <v>18.513264785993744</v>
      </c>
    </row>
    <row r="432" spans="1:69" x14ac:dyDescent="0.25">
      <c r="A432">
        <f t="shared" si="371"/>
        <v>1090000</v>
      </c>
      <c r="B432">
        <f t="shared" si="351"/>
        <v>1090</v>
      </c>
      <c r="C432">
        <f t="shared" si="320"/>
        <v>9.0953870723188572</v>
      </c>
      <c r="D432">
        <f t="shared" si="321"/>
        <v>1.4606277641944116</v>
      </c>
      <c r="F432">
        <f t="shared" si="322"/>
        <v>2.1573011393663788E-5</v>
      </c>
      <c r="G432">
        <f t="shared" si="323"/>
        <v>1.5800006116426261E-3</v>
      </c>
      <c r="H432">
        <f t="shared" si="324"/>
        <v>-3.1400126493883578</v>
      </c>
      <c r="J432">
        <f t="shared" si="325"/>
        <v>15</v>
      </c>
      <c r="M432">
        <f t="shared" si="326"/>
        <v>1.1671759346559918E-3</v>
      </c>
      <c r="N432">
        <f t="shared" si="327"/>
        <v>-1.5707963250000001</v>
      </c>
      <c r="O432">
        <f t="shared" si="328"/>
        <v>316.68417108050937</v>
      </c>
      <c r="P432">
        <f t="shared" si="329"/>
        <v>1.5676386013599257</v>
      </c>
      <c r="Q432">
        <f t="shared" si="330"/>
        <v>279.64676214050377</v>
      </c>
      <c r="R432">
        <f t="shared" si="331"/>
        <v>1.567220379326089</v>
      </c>
      <c r="S432">
        <f t="shared" si="332"/>
        <v>0.11769391427375334</v>
      </c>
      <c r="T432">
        <f t="shared" si="333"/>
        <v>-1.4528289915230508</v>
      </c>
      <c r="U432">
        <f t="shared" si="334"/>
        <v>0.14476718131862906</v>
      </c>
      <c r="V432">
        <f t="shared" si="335"/>
        <v>-1.4255186557064523</v>
      </c>
      <c r="X432">
        <f t="shared" si="352"/>
        <v>-45.707603607297273</v>
      </c>
      <c r="Y432">
        <f t="shared" si="336"/>
        <v>-171.52464938849985</v>
      </c>
      <c r="Z432">
        <f t="shared" si="353"/>
        <v>8.4753506115001471</v>
      </c>
      <c r="AC432">
        <v>1</v>
      </c>
      <c r="AD432">
        <f t="shared" si="337"/>
        <v>316.68259221647997</v>
      </c>
      <c r="AE432">
        <f t="shared" si="338"/>
        <v>-0.32532827923750884</v>
      </c>
      <c r="AF432">
        <f t="shared" si="339"/>
        <v>4.7598270240149995E-2</v>
      </c>
      <c r="AG432">
        <f t="shared" si="367"/>
        <v>136.42606918878678</v>
      </c>
      <c r="AH432">
        <f t="shared" si="368"/>
        <v>-953.46444531179066</v>
      </c>
      <c r="AJ432">
        <f t="shared" si="340"/>
        <v>18000</v>
      </c>
      <c r="AK432">
        <f t="shared" si="341"/>
        <v>151876.14976195199</v>
      </c>
      <c r="AL432">
        <v>1</v>
      </c>
      <c r="AM432">
        <f t="shared" si="342"/>
        <v>279.64497416486398</v>
      </c>
      <c r="AN432">
        <f t="shared" si="369"/>
        <v>543.32667564855728</v>
      </c>
      <c r="AO432">
        <f t="shared" si="370"/>
        <v>-62.424412870227052</v>
      </c>
      <c r="AQ432">
        <f t="shared" si="343"/>
        <v>2.1041995404007365E-3</v>
      </c>
      <c r="AR432">
        <f t="shared" si="344"/>
        <v>-4.5871549980736051</v>
      </c>
      <c r="AT432">
        <f t="shared" si="365"/>
        <v>-4373.4021281253717</v>
      </c>
      <c r="AU432">
        <f t="shared" si="366"/>
        <v>-627.81380459449235</v>
      </c>
      <c r="AV432">
        <f t="shared" si="354"/>
        <v>-2.9990139923721637</v>
      </c>
      <c r="AW432">
        <f t="shared" si="355"/>
        <v>398.90661043652761</v>
      </c>
      <c r="AX432">
        <f t="shared" si="356"/>
        <v>-3665.580250874601</v>
      </c>
      <c r="AY432">
        <f t="shared" si="364"/>
        <v>-1.4623979434891272</v>
      </c>
      <c r="BA432">
        <f t="shared" si="345"/>
        <v>1.19825567696714</v>
      </c>
      <c r="BB432">
        <f t="shared" si="357"/>
        <v>1.5709899044496789</v>
      </c>
      <c r="BC432">
        <f t="shared" si="358"/>
        <v>-1.5366160488830365</v>
      </c>
      <c r="BD432">
        <f t="shared" si="346"/>
        <v>-268.04161443366843</v>
      </c>
      <c r="BF432">
        <f t="shared" si="347"/>
        <v>-49.052545736377084</v>
      </c>
      <c r="BG432">
        <f t="shared" si="348"/>
        <v>-184.26328064329309</v>
      </c>
      <c r="BH432">
        <f t="shared" si="359"/>
        <v>-4.2632806432930863</v>
      </c>
      <c r="BI432">
        <f t="shared" si="360"/>
        <v>-4.2632806432930863</v>
      </c>
      <c r="BJ432">
        <f t="shared" si="349"/>
        <v>0</v>
      </c>
      <c r="BK432">
        <f t="shared" si="361"/>
        <v>0</v>
      </c>
      <c r="BM432">
        <f t="shared" si="362"/>
        <v>-50.623535640826759</v>
      </c>
      <c r="BN432">
        <f t="shared" si="350"/>
        <v>-96.221666209624686</v>
      </c>
      <c r="BQ432" s="56">
        <f t="shared" si="363"/>
        <v>18.472950704734817</v>
      </c>
    </row>
    <row r="433" spans="1:69" x14ac:dyDescent="0.25">
      <c r="A433">
        <f t="shared" si="371"/>
        <v>1095000</v>
      </c>
      <c r="B433">
        <f t="shared" si="351"/>
        <v>1095</v>
      </c>
      <c r="C433">
        <f t="shared" si="320"/>
        <v>9.1366058302384463</v>
      </c>
      <c r="D433">
        <f t="shared" si="321"/>
        <v>1.4611267839582136</v>
      </c>
      <c r="F433">
        <f t="shared" si="322"/>
        <v>2.1376443410748321E-5</v>
      </c>
      <c r="G433">
        <f t="shared" si="323"/>
        <v>1.5727856979309807E-3</v>
      </c>
      <c r="H433">
        <f t="shared" si="324"/>
        <v>-3.1400198643020691</v>
      </c>
      <c r="J433">
        <f t="shared" si="325"/>
        <v>15</v>
      </c>
      <c r="M433">
        <f t="shared" si="326"/>
        <v>1.1618463641781104E-3</v>
      </c>
      <c r="N433">
        <f t="shared" si="327"/>
        <v>-1.5707963250000001</v>
      </c>
      <c r="O433">
        <f t="shared" si="328"/>
        <v>318.13683631248028</v>
      </c>
      <c r="P433">
        <f t="shared" si="329"/>
        <v>1.5676530201023351</v>
      </c>
      <c r="Q433">
        <f t="shared" si="330"/>
        <v>280.92952908713124</v>
      </c>
      <c r="R433">
        <f t="shared" si="331"/>
        <v>1.5672367077150966</v>
      </c>
      <c r="S433">
        <f t="shared" si="332"/>
        <v>0.11716389312777632</v>
      </c>
      <c r="T433">
        <f t="shared" si="333"/>
        <v>-1.4533627052852436</v>
      </c>
      <c r="U433">
        <f t="shared" si="334"/>
        <v>0.14411990490255208</v>
      </c>
      <c r="V433">
        <f t="shared" si="335"/>
        <v>-1.4261727920341543</v>
      </c>
      <c r="X433">
        <f t="shared" si="352"/>
        <v>-45.786211782632506</v>
      </c>
      <c r="Y433">
        <f t="shared" si="336"/>
        <v>-171.56276816227205</v>
      </c>
      <c r="Z433">
        <f t="shared" si="353"/>
        <v>8.4372318377279498</v>
      </c>
      <c r="AC433">
        <v>1</v>
      </c>
      <c r="AD433">
        <f t="shared" si="337"/>
        <v>318.13526465783997</v>
      </c>
      <c r="AE433">
        <f t="shared" si="338"/>
        <v>-0.32831978790737637</v>
      </c>
      <c r="AF433">
        <f t="shared" si="339"/>
        <v>4.7816610929324994E-2</v>
      </c>
      <c r="AG433">
        <f t="shared" si="367"/>
        <v>135.20883248037245</v>
      </c>
      <c r="AH433">
        <f t="shared" si="368"/>
        <v>-949.28800517148295</v>
      </c>
      <c r="AJ433">
        <f t="shared" si="340"/>
        <v>18000</v>
      </c>
      <c r="AK433">
        <f t="shared" si="341"/>
        <v>152572.82934801601</v>
      </c>
      <c r="AL433">
        <v>1</v>
      </c>
      <c r="AM433">
        <f t="shared" si="342"/>
        <v>280.92774927571202</v>
      </c>
      <c r="AN433">
        <f t="shared" si="369"/>
        <v>543.32464172253776</v>
      </c>
      <c r="AO433">
        <f t="shared" si="370"/>
        <v>-62.139377129116895</v>
      </c>
      <c r="AQ433">
        <f t="shared" si="343"/>
        <v>2.0850269833767054E-3</v>
      </c>
      <c r="AR433">
        <f t="shared" si="344"/>
        <v>-4.5662090935949848</v>
      </c>
      <c r="AT433">
        <f t="shared" si="365"/>
        <v>-4334.3656075905565</v>
      </c>
      <c r="AU433">
        <f t="shared" si="366"/>
        <v>-619.37109151201605</v>
      </c>
      <c r="AV433">
        <f t="shared" si="354"/>
        <v>-2.9996558045487816</v>
      </c>
      <c r="AW433">
        <f t="shared" si="355"/>
        <v>400.24706640508197</v>
      </c>
      <c r="AX433">
        <f t="shared" si="356"/>
        <v>-3649.0148532138423</v>
      </c>
      <c r="AY433">
        <f t="shared" si="364"/>
        <v>-1.4615467253893439</v>
      </c>
      <c r="BA433">
        <f t="shared" si="345"/>
        <v>1.1927307452046383</v>
      </c>
      <c r="BB433">
        <f t="shared" si="357"/>
        <v>1.5308482854807588</v>
      </c>
      <c r="BC433">
        <f t="shared" si="358"/>
        <v>-1.5381090791594376</v>
      </c>
      <c r="BD433">
        <f t="shared" si="346"/>
        <v>-268.12715876728919</v>
      </c>
      <c r="BF433">
        <f t="shared" si="347"/>
        <v>-49.132919763279766</v>
      </c>
      <c r="BG433">
        <f t="shared" si="348"/>
        <v>-184.32064663462739</v>
      </c>
      <c r="BH433">
        <f t="shared" si="359"/>
        <v>-4.3206466346273942</v>
      </c>
      <c r="BI433">
        <f t="shared" si="360"/>
        <v>-4.3206466346273942</v>
      </c>
      <c r="BJ433">
        <f t="shared" si="349"/>
        <v>0</v>
      </c>
      <c r="BK433">
        <f t="shared" si="361"/>
        <v>0</v>
      </c>
      <c r="BM433">
        <f t="shared" si="362"/>
        <v>-50.663768048760517</v>
      </c>
      <c r="BN433">
        <f t="shared" si="350"/>
        <v>-96.193487867338234</v>
      </c>
      <c r="BQ433" s="56">
        <f t="shared" si="363"/>
        <v>18.432809085765896</v>
      </c>
    </row>
    <row r="434" spans="1:69" x14ac:dyDescent="0.25">
      <c r="A434">
        <f>A433+5000</f>
        <v>1100000</v>
      </c>
      <c r="B434">
        <f t="shared" si="351"/>
        <v>1100</v>
      </c>
      <c r="C434">
        <f t="shared" si="320"/>
        <v>9.1778268429254641</v>
      </c>
      <c r="D434">
        <f t="shared" si="321"/>
        <v>1.4616213212798288</v>
      </c>
      <c r="F434">
        <f t="shared" si="322"/>
        <v>2.1182549875468677E-5</v>
      </c>
      <c r="G434">
        <f t="shared" si="323"/>
        <v>1.565636378394232E-3</v>
      </c>
      <c r="H434">
        <f t="shared" si="324"/>
        <v>-3.140027013621606</v>
      </c>
      <c r="J434">
        <f t="shared" si="325"/>
        <v>15</v>
      </c>
      <c r="M434">
        <f t="shared" si="326"/>
        <v>1.1565652443409373E-3</v>
      </c>
      <c r="N434">
        <f t="shared" si="327"/>
        <v>-1.5707963250000001</v>
      </c>
      <c r="O434">
        <f t="shared" si="328"/>
        <v>319.58950160999058</v>
      </c>
      <c r="P434">
        <f t="shared" si="329"/>
        <v>1.567667307766557</v>
      </c>
      <c r="Q434">
        <f t="shared" si="330"/>
        <v>282.21229610797826</v>
      </c>
      <c r="R434">
        <f t="shared" si="331"/>
        <v>1.5672528876660763</v>
      </c>
      <c r="S434">
        <f t="shared" si="332"/>
        <v>0.1166385915807836</v>
      </c>
      <c r="T434">
        <f t="shared" si="333"/>
        <v>-1.4538916334108891</v>
      </c>
      <c r="U434">
        <f t="shared" si="334"/>
        <v>0.14347833029139073</v>
      </c>
      <c r="V434">
        <f t="shared" si="335"/>
        <v>-1.4268211046358645</v>
      </c>
      <c r="X434">
        <f t="shared" si="352"/>
        <v>-45.864469776023171</v>
      </c>
      <c r="Y434">
        <f t="shared" si="336"/>
        <v>-171.60054814619633</v>
      </c>
      <c r="Z434">
        <f t="shared" si="353"/>
        <v>8.3994518538036687</v>
      </c>
      <c r="AC434">
        <v>1</v>
      </c>
      <c r="AD434">
        <f t="shared" si="337"/>
        <v>319.58793709920002</v>
      </c>
      <c r="AE434">
        <f t="shared" si="338"/>
        <v>-0.33132498769243801</v>
      </c>
      <c r="AF434">
        <f t="shared" si="339"/>
        <v>4.8034951618499994E-2</v>
      </c>
      <c r="AG434">
        <f t="shared" si="367"/>
        <v>134.00770109522705</v>
      </c>
      <c r="AH434">
        <f t="shared" si="368"/>
        <v>-945.14719774554328</v>
      </c>
      <c r="AJ434">
        <f t="shared" si="340"/>
        <v>18000</v>
      </c>
      <c r="AK434">
        <f t="shared" si="341"/>
        <v>153269.50893407999</v>
      </c>
      <c r="AL434">
        <v>1</v>
      </c>
      <c r="AM434">
        <f t="shared" si="342"/>
        <v>282.21052438656</v>
      </c>
      <c r="AN434">
        <f t="shared" si="369"/>
        <v>543.32263546832553</v>
      </c>
      <c r="AO434">
        <f t="shared" si="370"/>
        <v>-61.856932523963053</v>
      </c>
      <c r="AQ434">
        <f t="shared" si="343"/>
        <v>2.0661152755960172E-3</v>
      </c>
      <c r="AR434">
        <f t="shared" si="344"/>
        <v>-4.5454536063112387</v>
      </c>
      <c r="AT434">
        <f t="shared" si="365"/>
        <v>-4295.8458631291605</v>
      </c>
      <c r="AU434">
        <f t="shared" si="366"/>
        <v>-611.07857127972716</v>
      </c>
      <c r="AV434">
        <f t="shared" si="354"/>
        <v>-3.0002919050358599</v>
      </c>
      <c r="AW434">
        <f t="shared" si="355"/>
        <v>401.56881569196855</v>
      </c>
      <c r="AX434">
        <f t="shared" si="356"/>
        <v>-3632.5977831547007</v>
      </c>
      <c r="AY434">
        <f t="shared" si="364"/>
        <v>-1.4606974518533113</v>
      </c>
      <c r="BA434">
        <f t="shared" si="345"/>
        <v>1.1872546501787318</v>
      </c>
      <c r="BB434">
        <f t="shared" si="357"/>
        <v>1.4908775855992584</v>
      </c>
      <c r="BC434">
        <f t="shared" si="358"/>
        <v>-1.5395944531825485</v>
      </c>
      <c r="BD434">
        <f t="shared" si="346"/>
        <v>-268.21226442990906</v>
      </c>
      <c r="BF434">
        <f t="shared" si="347"/>
        <v>-49.212935287313229</v>
      </c>
      <c r="BG434">
        <f t="shared" si="348"/>
        <v>-184.37782702171097</v>
      </c>
      <c r="BH434">
        <f t="shared" si="359"/>
        <v>-4.3778270217109707</v>
      </c>
      <c r="BI434">
        <f t="shared" si="360"/>
        <v>-4.3778270217109707</v>
      </c>
      <c r="BJ434">
        <f t="shared" si="349"/>
        <v>0</v>
      </c>
      <c r="BK434">
        <f t="shared" si="361"/>
        <v>0</v>
      </c>
      <c r="BM434">
        <f t="shared" si="362"/>
        <v>-50.703812872912486</v>
      </c>
      <c r="BN434">
        <f t="shared" si="350"/>
        <v>-96.16556259180193</v>
      </c>
      <c r="BQ434" s="56">
        <f t="shared" si="363"/>
        <v>18.392838385884396</v>
      </c>
    </row>
    <row r="435" spans="1:69" x14ac:dyDescent="0.25">
      <c r="A435">
        <f t="shared" ref="A435:A472" si="372">A434+5000</f>
        <v>1105000</v>
      </c>
      <c r="B435">
        <f t="shared" si="351"/>
        <v>1105</v>
      </c>
      <c r="C435">
        <f t="shared" si="320"/>
        <v>9.2190500801347781</v>
      </c>
      <c r="D435">
        <f t="shared" si="321"/>
        <v>1.4621114360458169</v>
      </c>
      <c r="F435">
        <f t="shared" si="322"/>
        <v>2.0991282489606827E-5</v>
      </c>
      <c r="G435">
        <f t="shared" si="323"/>
        <v>1.5585517625409042E-3</v>
      </c>
      <c r="H435">
        <f t="shared" si="324"/>
        <v>-3.1400340982374595</v>
      </c>
      <c r="J435">
        <f t="shared" si="325"/>
        <v>15</v>
      </c>
      <c r="M435">
        <f t="shared" si="326"/>
        <v>1.1513319174434669E-3</v>
      </c>
      <c r="N435">
        <f t="shared" si="327"/>
        <v>-1.5707963250000001</v>
      </c>
      <c r="O435">
        <f t="shared" si="328"/>
        <v>321.04216697215065</v>
      </c>
      <c r="P435">
        <f t="shared" si="329"/>
        <v>1.5676814661319107</v>
      </c>
      <c r="Q435">
        <f t="shared" si="330"/>
        <v>283.49506320203727</v>
      </c>
      <c r="R435">
        <f t="shared" si="331"/>
        <v>1.5672689211939907</v>
      </c>
      <c r="S435">
        <f t="shared" si="332"/>
        <v>0.11611794731141931</v>
      </c>
      <c r="T435">
        <f t="shared" si="333"/>
        <v>-1.4544158396875393</v>
      </c>
      <c r="U435">
        <f t="shared" si="334"/>
        <v>0.14284238328225177</v>
      </c>
      <c r="V435">
        <f t="shared" si="335"/>
        <v>-1.4274636704014216</v>
      </c>
      <c r="X435">
        <f t="shared" si="352"/>
        <v>-45.942380659407164</v>
      </c>
      <c r="Y435">
        <f t="shared" si="336"/>
        <v>-171.63799380287139</v>
      </c>
      <c r="Z435">
        <f t="shared" si="353"/>
        <v>8.3620061971286077</v>
      </c>
      <c r="AC435">
        <v>1</v>
      </c>
      <c r="AD435">
        <f t="shared" si="337"/>
        <v>321.04060954056001</v>
      </c>
      <c r="AE435">
        <f t="shared" si="338"/>
        <v>-0.33434387859269349</v>
      </c>
      <c r="AF435">
        <f t="shared" si="339"/>
        <v>4.8253292307675E-2</v>
      </c>
      <c r="AG435">
        <f t="shared" si="367"/>
        <v>132.82239415893895</v>
      </c>
      <c r="AH435">
        <f t="shared" si="368"/>
        <v>-941.04157986842006</v>
      </c>
      <c r="AJ435">
        <f t="shared" si="340"/>
        <v>18000</v>
      </c>
      <c r="AK435">
        <f t="shared" si="341"/>
        <v>153966.18852014397</v>
      </c>
      <c r="AL435">
        <v>1</v>
      </c>
      <c r="AM435">
        <f t="shared" si="342"/>
        <v>283.49329949740803</v>
      </c>
      <c r="AN435">
        <f t="shared" si="369"/>
        <v>543.32065638621896</v>
      </c>
      <c r="AO435">
        <f t="shared" si="370"/>
        <v>-61.577043882736938</v>
      </c>
      <c r="AQ435">
        <f t="shared" si="343"/>
        <v>2.0474597065048409E-3</v>
      </c>
      <c r="AR435">
        <f t="shared" si="344"/>
        <v>-4.5248859513756985</v>
      </c>
      <c r="AT435">
        <f t="shared" si="365"/>
        <v>-4257.8338759068447</v>
      </c>
      <c r="AU435">
        <f t="shared" si="366"/>
        <v>-602.93293007479474</v>
      </c>
      <c r="AV435">
        <f t="shared" si="354"/>
        <v>-3.000922369202403</v>
      </c>
      <c r="AW435">
        <f t="shared" si="355"/>
        <v>402.87220637598199</v>
      </c>
      <c r="AX435">
        <f t="shared" si="356"/>
        <v>-3616.327066468984</v>
      </c>
      <c r="AY435">
        <f t="shared" si="364"/>
        <v>-1.4598500967019166</v>
      </c>
      <c r="BA435">
        <f t="shared" si="345"/>
        <v>1.1818267453862494</v>
      </c>
      <c r="BB435">
        <f t="shared" si="357"/>
        <v>1.4510762815348652</v>
      </c>
      <c r="BC435">
        <f t="shared" si="358"/>
        <v>-1.5410722725004864</v>
      </c>
      <c r="BD435">
        <f t="shared" si="346"/>
        <v>-268.29693723980654</v>
      </c>
      <c r="BF435">
        <f t="shared" si="347"/>
        <v>-49.292595590282161</v>
      </c>
      <c r="BG435">
        <f t="shared" si="348"/>
        <v>-184.43482424259656</v>
      </c>
      <c r="BH435">
        <f t="shared" si="359"/>
        <v>-4.4348242425965623</v>
      </c>
      <c r="BI435">
        <f t="shared" si="360"/>
        <v>-4.4348242425965623</v>
      </c>
      <c r="BJ435">
        <f t="shared" si="349"/>
        <v>0</v>
      </c>
      <c r="BK435">
        <f t="shared" si="361"/>
        <v>0</v>
      </c>
      <c r="BM435">
        <f t="shared" si="362"/>
        <v>-50.743671871817014</v>
      </c>
      <c r="BN435">
        <f t="shared" si="350"/>
        <v>-96.137887002790009</v>
      </c>
      <c r="BQ435" s="56">
        <f t="shared" si="363"/>
        <v>18.353037081820002</v>
      </c>
    </row>
    <row r="436" spans="1:69" x14ac:dyDescent="0.25">
      <c r="A436">
        <f t="shared" si="372"/>
        <v>1110000</v>
      </c>
      <c r="B436">
        <f t="shared" si="351"/>
        <v>1110</v>
      </c>
      <c r="C436">
        <f t="shared" si="320"/>
        <v>9.260275512158195</v>
      </c>
      <c r="D436">
        <f t="shared" si="321"/>
        <v>1.4625971870848982</v>
      </c>
      <c r="F436">
        <f t="shared" si="322"/>
        <v>2.0802594040329966E-5</v>
      </c>
      <c r="G436">
        <f t="shared" si="323"/>
        <v>1.5515309759260405E-3</v>
      </c>
      <c r="H436">
        <f t="shared" si="324"/>
        <v>-3.1400411190240742</v>
      </c>
      <c r="J436">
        <f t="shared" si="325"/>
        <v>15</v>
      </c>
      <c r="M436">
        <f t="shared" si="326"/>
        <v>1.1461457376351631E-3</v>
      </c>
      <c r="N436">
        <f t="shared" si="327"/>
        <v>-1.5707963250000001</v>
      </c>
      <c r="O436">
        <f t="shared" si="328"/>
        <v>322.49483239808694</v>
      </c>
      <c r="P436">
        <f t="shared" si="329"/>
        <v>1.5676954969456551</v>
      </c>
      <c r="Q436">
        <f t="shared" si="330"/>
        <v>284.77783036831892</v>
      </c>
      <c r="R436">
        <f t="shared" si="331"/>
        <v>1.5672848102774968</v>
      </c>
      <c r="S436">
        <f t="shared" si="332"/>
        <v>0.11560189908297405</v>
      </c>
      <c r="T436">
        <f t="shared" si="333"/>
        <v>-1.4549353867792998</v>
      </c>
      <c r="U436">
        <f t="shared" si="334"/>
        <v>0.14221199093989728</v>
      </c>
      <c r="V436">
        <f t="shared" si="335"/>
        <v>-1.4281005648825156</v>
      </c>
      <c r="X436">
        <f t="shared" si="352"/>
        <v>-46.019947464921799</v>
      </c>
      <c r="Y436">
        <f t="shared" si="336"/>
        <v>-171.67510951746436</v>
      </c>
      <c r="Z436">
        <f t="shared" si="353"/>
        <v>8.3248904825356362</v>
      </c>
      <c r="AC436">
        <v>1</v>
      </c>
      <c r="AD436">
        <f t="shared" si="337"/>
        <v>322.49328198192001</v>
      </c>
      <c r="AE436">
        <f t="shared" si="338"/>
        <v>-0.33737646060814286</v>
      </c>
      <c r="AF436">
        <f t="shared" si="339"/>
        <v>4.8471632996849999E-2</v>
      </c>
      <c r="AG436">
        <f t="shared" si="367"/>
        <v>131.65263684953499</v>
      </c>
      <c r="AH436">
        <f t="shared" si="368"/>
        <v>-936.97071548995962</v>
      </c>
      <c r="AJ436">
        <f t="shared" si="340"/>
        <v>18000</v>
      </c>
      <c r="AK436">
        <f t="shared" si="341"/>
        <v>154662.86810620798</v>
      </c>
      <c r="AL436">
        <v>1</v>
      </c>
      <c r="AM436">
        <f t="shared" si="342"/>
        <v>284.77607460825601</v>
      </c>
      <c r="AN436">
        <f t="shared" si="369"/>
        <v>543.31870398774515</v>
      </c>
      <c r="AO436">
        <f t="shared" si="370"/>
        <v>-61.299676667100762</v>
      </c>
      <c r="AQ436">
        <f t="shared" si="343"/>
        <v>2.0290556714033618E-3</v>
      </c>
      <c r="AR436">
        <f t="shared" si="344"/>
        <v>-4.5045035905154629</v>
      </c>
      <c r="AT436">
        <f t="shared" si="365"/>
        <v>-4220.3208216029107</v>
      </c>
      <c r="AU436">
        <f t="shared" si="366"/>
        <v>-594.93094113376253</v>
      </c>
      <c r="AV436">
        <f t="shared" si="354"/>
        <v>-3.0015472711066691</v>
      </c>
      <c r="AW436">
        <f t="shared" si="355"/>
        <v>404.15757844694105</v>
      </c>
      <c r="AX436">
        <f t="shared" si="356"/>
        <v>-3600.2007636601493</v>
      </c>
      <c r="AY436">
        <f t="shared" si="364"/>
        <v>-1.4590046342826908</v>
      </c>
      <c r="BA436">
        <f t="shared" si="345"/>
        <v>1.1764463956153708</v>
      </c>
      <c r="BB436">
        <f t="shared" si="357"/>
        <v>1.4114428696149295</v>
      </c>
      <c r="BC436">
        <f t="shared" si="358"/>
        <v>-1.5425426368239783</v>
      </c>
      <c r="BD436">
        <f t="shared" si="346"/>
        <v>-268.38118290998551</v>
      </c>
      <c r="BF436">
        <f t="shared" si="347"/>
        <v>-49.371903909571913</v>
      </c>
      <c r="BG436">
        <f t="shared" si="348"/>
        <v>-184.49164068975261</v>
      </c>
      <c r="BH436">
        <f t="shared" si="359"/>
        <v>-4.4916406897526144</v>
      </c>
      <c r="BI436">
        <f t="shared" si="360"/>
        <v>-4.4916406897526144</v>
      </c>
      <c r="BJ436">
        <f t="shared" si="349"/>
        <v>0</v>
      </c>
      <c r="BK436">
        <f t="shared" si="361"/>
        <v>0</v>
      </c>
      <c r="BM436">
        <f t="shared" si="362"/>
        <v>-50.783346779186836</v>
      </c>
      <c r="BN436">
        <f t="shared" si="350"/>
        <v>-96.110457779767117</v>
      </c>
      <c r="BQ436" s="56">
        <f t="shared" si="363"/>
        <v>18.313403669900065</v>
      </c>
    </row>
    <row r="437" spans="1:69" x14ac:dyDescent="0.25">
      <c r="A437">
        <f t="shared" si="372"/>
        <v>1115000</v>
      </c>
      <c r="B437">
        <f t="shared" si="351"/>
        <v>1115</v>
      </c>
      <c r="C437">
        <f t="shared" si="320"/>
        <v>9.3015031098126411</v>
      </c>
      <c r="D437">
        <f t="shared" si="321"/>
        <v>1.4630786321911127</v>
      </c>
      <c r="F437">
        <f t="shared" si="322"/>
        <v>2.0616438371051668E-5</v>
      </c>
      <c r="G437">
        <f t="shared" si="323"/>
        <v>1.5445731597913744E-3</v>
      </c>
      <c r="H437">
        <f t="shared" si="324"/>
        <v>-3.140048076840209</v>
      </c>
      <c r="J437">
        <f t="shared" si="325"/>
        <v>15</v>
      </c>
      <c r="M437">
        <f t="shared" si="326"/>
        <v>1.1410060706502519E-3</v>
      </c>
      <c r="N437">
        <f t="shared" si="327"/>
        <v>-1.5707963250000001</v>
      </c>
      <c r="O437">
        <f t="shared" si="328"/>
        <v>323.94749788694122</v>
      </c>
      <c r="P437">
        <f t="shared" si="329"/>
        <v>1.5677094019237097</v>
      </c>
      <c r="Q437">
        <f t="shared" si="330"/>
        <v>286.06059760585157</v>
      </c>
      <c r="R437">
        <f t="shared" si="331"/>
        <v>1.5673005568597609</v>
      </c>
      <c r="S437">
        <f t="shared" si="332"/>
        <v>0.11509038672006403</v>
      </c>
      <c r="T437">
        <f t="shared" si="333"/>
        <v>-1.4554503362513418</v>
      </c>
      <c r="U437">
        <f t="shared" si="334"/>
        <v>0.14158708157010869</v>
      </c>
      <c r="V437">
        <f t="shared" si="335"/>
        <v>-1.4287318623214651</v>
      </c>
      <c r="X437">
        <f t="shared" si="352"/>
        <v>-46.097173185580722</v>
      </c>
      <c r="Y437">
        <f t="shared" si="336"/>
        <v>-171.71189959936973</v>
      </c>
      <c r="Z437">
        <f t="shared" si="353"/>
        <v>8.2881004006302703</v>
      </c>
      <c r="AC437">
        <v>1</v>
      </c>
      <c r="AD437">
        <f t="shared" si="337"/>
        <v>323.94595442328</v>
      </c>
      <c r="AE437">
        <f t="shared" si="338"/>
        <v>-0.34042273373878612</v>
      </c>
      <c r="AF437">
        <f t="shared" si="339"/>
        <v>4.8689973686024998E-2</v>
      </c>
      <c r="AG437">
        <f t="shared" si="367"/>
        <v>130.49816024280591</v>
      </c>
      <c r="AH437">
        <f t="shared" si="368"/>
        <v>-932.93417553798986</v>
      </c>
      <c r="AJ437">
        <f t="shared" si="340"/>
        <v>18000</v>
      </c>
      <c r="AK437">
        <f t="shared" si="341"/>
        <v>155359.547692272</v>
      </c>
      <c r="AL437">
        <v>1</v>
      </c>
      <c r="AM437">
        <f t="shared" si="342"/>
        <v>286.05884971910399</v>
      </c>
      <c r="AN437">
        <f t="shared" si="369"/>
        <v>543.31677779535823</v>
      </c>
      <c r="AO437">
        <f t="shared" si="370"/>
        <v>-61.024796958200263</v>
      </c>
      <c r="AQ437">
        <f t="shared" si="343"/>
        <v>2.0108986686041006E-3</v>
      </c>
      <c r="AR437">
        <f t="shared" si="344"/>
        <v>-4.4843040309871443</v>
      </c>
      <c r="AT437">
        <f t="shared" si="365"/>
        <v>-4183.298065433989</v>
      </c>
      <c r="AU437">
        <f t="shared" si="366"/>
        <v>-587.06946210470539</v>
      </c>
      <c r="AV437">
        <f t="shared" si="354"/>
        <v>-3.002166683524333</v>
      </c>
      <c r="AW437">
        <f t="shared" si="355"/>
        <v>405.42526403087936</v>
      </c>
      <c r="AX437">
        <f t="shared" si="356"/>
        <v>-3584.2169692058606</v>
      </c>
      <c r="AY437">
        <f t="shared" si="364"/>
        <v>-1.458161039456811</v>
      </c>
      <c r="BA437">
        <f t="shared" si="345"/>
        <v>1.1711129767020985</v>
      </c>
      <c r="BB437">
        <f t="shared" si="357"/>
        <v>1.371975865436722</v>
      </c>
      <c r="BC437">
        <f t="shared" si="358"/>
        <v>-1.5440056440675221</v>
      </c>
      <c r="BD437">
        <f t="shared" si="346"/>
        <v>-268.46500705053342</v>
      </c>
      <c r="BF437">
        <f t="shared" si="347"/>
        <v>-49.450863438944388</v>
      </c>
      <c r="BG437">
        <f t="shared" si="348"/>
        <v>-184.54827871111527</v>
      </c>
      <c r="BH437">
        <f t="shared" si="359"/>
        <v>-4.5482787111152732</v>
      </c>
      <c r="BI437">
        <f t="shared" si="360"/>
        <v>-4.5482787111152732</v>
      </c>
      <c r="BJ437">
        <f t="shared" si="349"/>
        <v>0</v>
      </c>
      <c r="BK437">
        <f t="shared" si="361"/>
        <v>0</v>
      </c>
      <c r="BM437">
        <f t="shared" si="362"/>
        <v>-50.822839304381105</v>
      </c>
      <c r="BN437">
        <f t="shared" si="350"/>
        <v>-96.083271660581886</v>
      </c>
      <c r="BQ437" s="56">
        <f t="shared" si="363"/>
        <v>18.273936665721859</v>
      </c>
    </row>
    <row r="438" spans="1:69" x14ac:dyDescent="0.25">
      <c r="A438">
        <f t="shared" si="372"/>
        <v>1120000</v>
      </c>
      <c r="B438">
        <f t="shared" si="351"/>
        <v>1120</v>
      </c>
      <c r="C438">
        <f t="shared" si="320"/>
        <v>9.3427328444286371</v>
      </c>
      <c r="D438">
        <f t="shared" si="321"/>
        <v>1.4635558281463796</v>
      </c>
      <c r="F438">
        <f t="shared" si="322"/>
        <v>2.0432770353201629E-5</v>
      </c>
      <c r="G438">
        <f t="shared" si="323"/>
        <v>1.5376774707151369E-3</v>
      </c>
      <c r="H438">
        <f t="shared" si="324"/>
        <v>-3.1400549725292852</v>
      </c>
      <c r="J438">
        <f t="shared" si="325"/>
        <v>15</v>
      </c>
      <c r="M438">
        <f t="shared" si="326"/>
        <v>1.1359122935491349E-3</v>
      </c>
      <c r="N438">
        <f t="shared" si="327"/>
        <v>-1.5707963250000001</v>
      </c>
      <c r="O438">
        <f t="shared" si="328"/>
        <v>325.40016343787107</v>
      </c>
      <c r="P438">
        <f t="shared" si="329"/>
        <v>1.5677231827513523</v>
      </c>
      <c r="Q438">
        <f t="shared" si="330"/>
        <v>287.34336491368111</v>
      </c>
      <c r="R438">
        <f t="shared" si="331"/>
        <v>1.5673161628492511</v>
      </c>
      <c r="S438">
        <f t="shared" si="332"/>
        <v>0.11458335108590463</v>
      </c>
      <c r="T438">
        <f t="shared" si="333"/>
        <v>-1.4559607485937756</v>
      </c>
      <c r="U438">
        <f t="shared" si="334"/>
        <v>0.14096758469371143</v>
      </c>
      <c r="V438">
        <f t="shared" si="335"/>
        <v>-1.4293576356792592</v>
      </c>
      <c r="X438">
        <f t="shared" si="352"/>
        <v>-46.17406077593661</v>
      </c>
      <c r="Y438">
        <f t="shared" si="336"/>
        <v>-171.74836828382593</v>
      </c>
      <c r="Z438">
        <f t="shared" si="353"/>
        <v>8.2516317161740744</v>
      </c>
      <c r="AC438">
        <v>1</v>
      </c>
      <c r="AD438">
        <f t="shared" si="337"/>
        <v>325.39862686463999</v>
      </c>
      <c r="AE438">
        <f t="shared" si="338"/>
        <v>-0.34348269798462333</v>
      </c>
      <c r="AF438">
        <f t="shared" si="339"/>
        <v>4.8908314375199997E-2</v>
      </c>
      <c r="AG438">
        <f t="shared" si="367"/>
        <v>129.3587011621876</v>
      </c>
      <c r="AH438">
        <f t="shared" si="368"/>
        <v>-928.93153778393821</v>
      </c>
      <c r="AJ438">
        <f t="shared" si="340"/>
        <v>18000</v>
      </c>
      <c r="AK438">
        <f t="shared" si="341"/>
        <v>156056.22727833601</v>
      </c>
      <c r="AL438">
        <v>1</v>
      </c>
      <c r="AM438">
        <f t="shared" si="342"/>
        <v>287.34162482995202</v>
      </c>
      <c r="AN438">
        <f t="shared" si="369"/>
        <v>543.31487734214784</v>
      </c>
      <c r="AO438">
        <f t="shared" si="370"/>
        <v>-60.752371442838019</v>
      </c>
      <c r="AQ438">
        <f t="shared" si="343"/>
        <v>1.992984296678831E-3</v>
      </c>
      <c r="AR438">
        <f t="shared" si="344"/>
        <v>-4.4642848245605817</v>
      </c>
      <c r="AT438">
        <f t="shared" si="365"/>
        <v>-4146.757157324505</v>
      </c>
      <c r="AU438">
        <f t="shared" si="366"/>
        <v>-579.34543249071453</v>
      </c>
      <c r="AV438">
        <f t="shared" si="354"/>
        <v>-3.0027806779759292</v>
      </c>
      <c r="AW438">
        <f t="shared" si="355"/>
        <v>406.67558760793878</v>
      </c>
      <c r="AX438">
        <f t="shared" si="356"/>
        <v>-3568.3738108202178</v>
      </c>
      <c r="AY438">
        <f t="shared" si="364"/>
        <v>-1.4573192875864849</v>
      </c>
      <c r="BA438">
        <f t="shared" si="345"/>
        <v>1.1658258752929467</v>
      </c>
      <c r="BB438">
        <f t="shared" si="357"/>
        <v>1.3326738035463126</v>
      </c>
      <c r="BC438">
        <f t="shared" si="358"/>
        <v>-1.5454613903894443</v>
      </c>
      <c r="BD438">
        <f t="shared" si="346"/>
        <v>-268.54841517091654</v>
      </c>
      <c r="BF438">
        <f t="shared" si="347"/>
        <v>-49.529477329316208</v>
      </c>
      <c r="BG438">
        <f t="shared" si="348"/>
        <v>-184.60474061111103</v>
      </c>
      <c r="BH438">
        <f t="shared" si="359"/>
        <v>-4.6047406111110263</v>
      </c>
      <c r="BI438">
        <f t="shared" si="360"/>
        <v>-4.6047406111110263</v>
      </c>
      <c r="BJ438">
        <f t="shared" si="349"/>
        <v>0</v>
      </c>
      <c r="BK438">
        <f t="shared" si="361"/>
        <v>0</v>
      </c>
      <c r="BM438">
        <f t="shared" si="362"/>
        <v>-50.862151132862522</v>
      </c>
      <c r="BN438">
        <f t="shared" si="350"/>
        <v>-96.056325440194485</v>
      </c>
      <c r="BQ438" s="56">
        <f t="shared" si="363"/>
        <v>18.234634603831449</v>
      </c>
    </row>
    <row r="439" spans="1:69" x14ac:dyDescent="0.25">
      <c r="A439">
        <f t="shared" si="372"/>
        <v>1125000</v>
      </c>
      <c r="B439">
        <f t="shared" si="351"/>
        <v>1125</v>
      </c>
      <c r="C439">
        <f t="shared" si="320"/>
        <v>9.3839646878390788</v>
      </c>
      <c r="D439">
        <f t="shared" si="321"/>
        <v>1.4640288307424687</v>
      </c>
      <c r="F439">
        <f t="shared" si="322"/>
        <v>2.0251545858871748E-5</v>
      </c>
      <c r="G439">
        <f t="shared" si="323"/>
        <v>1.5308430802712055E-3</v>
      </c>
      <c r="H439">
        <f t="shared" si="324"/>
        <v>-3.140061806919729</v>
      </c>
      <c r="J439">
        <f t="shared" si="325"/>
        <v>15</v>
      </c>
      <c r="M439">
        <f t="shared" si="326"/>
        <v>1.1308637944666944E-3</v>
      </c>
      <c r="N439">
        <f t="shared" si="327"/>
        <v>-1.5707963250000001</v>
      </c>
      <c r="O439">
        <f t="shared" si="328"/>
        <v>326.85282905004874</v>
      </c>
      <c r="P439">
        <f t="shared" si="329"/>
        <v>1.5677368410839008</v>
      </c>
      <c r="Q439">
        <f t="shared" si="330"/>
        <v>288.6261322908702</v>
      </c>
      <c r="R439">
        <f t="shared" si="331"/>
        <v>1.5673316301205076</v>
      </c>
      <c r="S439">
        <f t="shared" si="332"/>
        <v>0.11408073406016109</v>
      </c>
      <c r="T439">
        <f t="shared" si="333"/>
        <v>-1.4564666832449091</v>
      </c>
      <c r="U439">
        <f t="shared" si="334"/>
        <v>0.14035343102124082</v>
      </c>
      <c r="V439">
        <f t="shared" si="335"/>
        <v>-1.4299779566628876</v>
      </c>
      <c r="X439">
        <f t="shared" si="352"/>
        <v>-46.25061315273016</v>
      </c>
      <c r="Y439">
        <f t="shared" si="336"/>
        <v>-171.78451973349144</v>
      </c>
      <c r="Z439">
        <f t="shared" si="353"/>
        <v>8.215480266508564</v>
      </c>
      <c r="AC439">
        <v>1</v>
      </c>
      <c r="AD439">
        <f t="shared" si="337"/>
        <v>326.85129930599999</v>
      </c>
      <c r="AE439">
        <f t="shared" si="338"/>
        <v>-0.34655635334565443</v>
      </c>
      <c r="AF439">
        <f t="shared" si="339"/>
        <v>4.9126655064374997E-2</v>
      </c>
      <c r="AG439">
        <f t="shared" si="367"/>
        <v>128.23400203304786</v>
      </c>
      <c r="AH439">
        <f t="shared" si="368"/>
        <v>-924.96238671140657</v>
      </c>
      <c r="AJ439">
        <f t="shared" si="340"/>
        <v>18000</v>
      </c>
      <c r="AK439">
        <f t="shared" si="341"/>
        <v>156752.90686439999</v>
      </c>
      <c r="AL439">
        <v>1</v>
      </c>
      <c r="AM439">
        <f t="shared" si="342"/>
        <v>288.6243999408</v>
      </c>
      <c r="AN439">
        <f t="shared" si="369"/>
        <v>543.31300217155638</v>
      </c>
      <c r="AO439">
        <f t="shared" si="370"/>
        <v>-60.482367400015384</v>
      </c>
      <c r="AQ439">
        <f t="shared" si="343"/>
        <v>1.9753082517909625E-3</v>
      </c>
      <c r="AR439">
        <f t="shared" si="344"/>
        <v>-4.4444435665296655</v>
      </c>
      <c r="AT439">
        <f t="shared" si="365"/>
        <v>-4110.6898272190592</v>
      </c>
      <c r="AU439">
        <f t="shared" si="366"/>
        <v>-571.75587118119893</v>
      </c>
      <c r="AV439">
        <f t="shared" si="354"/>
        <v>-3.0033893247535994</v>
      </c>
      <c r="AW439">
        <f t="shared" si="355"/>
        <v>407.90886622323711</v>
      </c>
      <c r="AX439">
        <f t="shared" si="356"/>
        <v>-3552.6694487350669</v>
      </c>
      <c r="AY439">
        <f t="shared" si="364"/>
        <v>-1.4564793545227055</v>
      </c>
      <c r="BA439">
        <f t="shared" si="345"/>
        <v>1.1605844886136762</v>
      </c>
      <c r="BB439">
        <f t="shared" si="357"/>
        <v>1.2935352371240123</v>
      </c>
      <c r="BC439">
        <f t="shared" si="358"/>
        <v>-1.5469099702308939</v>
      </c>
      <c r="BD439">
        <f t="shared" si="346"/>
        <v>-268.6314126822142</v>
      </c>
      <c r="BF439">
        <f t="shared" si="347"/>
        <v>-49.60774868951966</v>
      </c>
      <c r="BG439">
        <f t="shared" si="348"/>
        <v>-184.66102865165149</v>
      </c>
      <c r="BH439">
        <f t="shared" si="359"/>
        <v>-4.6610286516514918</v>
      </c>
      <c r="BI439">
        <f t="shared" si="360"/>
        <v>-4.6610286516514918</v>
      </c>
      <c r="BJ439">
        <f t="shared" si="349"/>
        <v>0</v>
      </c>
      <c r="BK439">
        <f t="shared" si="361"/>
        <v>0</v>
      </c>
      <c r="BM439">
        <f t="shared" si="362"/>
        <v>-50.901283926643679</v>
      </c>
      <c r="BN439">
        <f t="shared" si="350"/>
        <v>-96.029615969437288</v>
      </c>
      <c r="BQ439" s="56">
        <f t="shared" si="363"/>
        <v>18.19549603740915</v>
      </c>
    </row>
    <row r="440" spans="1:69" x14ac:dyDescent="0.25">
      <c r="A440">
        <f t="shared" si="372"/>
        <v>1130000</v>
      </c>
      <c r="B440">
        <f t="shared" si="351"/>
        <v>1130</v>
      </c>
      <c r="C440">
        <f t="shared" si="320"/>
        <v>9.4251986123683249</v>
      </c>
      <c r="D440">
        <f t="shared" si="321"/>
        <v>1.4644976948024062</v>
      </c>
      <c r="F440">
        <f t="shared" si="322"/>
        <v>2.0072721734307671E-5</v>
      </c>
      <c r="G440">
        <f t="shared" si="323"/>
        <v>1.5240691746973038E-3</v>
      </c>
      <c r="H440">
        <f t="shared" si="324"/>
        <v>-3.1400685808253028</v>
      </c>
      <c r="J440">
        <f t="shared" si="325"/>
        <v>15</v>
      </c>
      <c r="M440">
        <f t="shared" si="326"/>
        <v>1.125859972367284E-3</v>
      </c>
      <c r="N440">
        <f t="shared" si="327"/>
        <v>-1.5707963250000001</v>
      </c>
      <c r="O440">
        <f t="shared" si="328"/>
        <v>328.30549472266125</v>
      </c>
      <c r="P440">
        <f t="shared" si="329"/>
        <v>1.5677503785473763</v>
      </c>
      <c r="Q440">
        <f t="shared" si="330"/>
        <v>289.90889973649809</v>
      </c>
      <c r="R440">
        <f t="shared" si="331"/>
        <v>1.5673469605148929</v>
      </c>
      <c r="S440">
        <f t="shared" si="332"/>
        <v>0.11358247851735925</v>
      </c>
      <c r="T440">
        <f t="shared" si="333"/>
        <v>-1.4569681986139076</v>
      </c>
      <c r="U440">
        <f t="shared" si="334"/>
        <v>0.13974455242823131</v>
      </c>
      <c r="V440">
        <f t="shared" si="335"/>
        <v>-1.4305928957519787</v>
      </c>
      <c r="X440">
        <f t="shared" si="352"/>
        <v>-46.326833195525452</v>
      </c>
      <c r="Y440">
        <f t="shared" si="336"/>
        <v>-171.8203580399809</v>
      </c>
      <c r="Z440">
        <f t="shared" si="353"/>
        <v>8.1796419600190973</v>
      </c>
      <c r="AC440">
        <v>1</v>
      </c>
      <c r="AD440">
        <f t="shared" si="337"/>
        <v>328.30397174735998</v>
      </c>
      <c r="AE440">
        <f t="shared" si="338"/>
        <v>-0.34964369982187943</v>
      </c>
      <c r="AF440">
        <f t="shared" si="339"/>
        <v>4.9344995753550003E-2</v>
      </c>
      <c r="AG440">
        <f t="shared" si="367"/>
        <v>127.12381074123192</v>
      </c>
      <c r="AH440">
        <f t="shared" si="368"/>
        <v>-921.02631338763581</v>
      </c>
      <c r="AJ440">
        <f t="shared" si="340"/>
        <v>18000</v>
      </c>
      <c r="AK440">
        <f t="shared" si="341"/>
        <v>157449.586450464</v>
      </c>
      <c r="AL440">
        <v>1</v>
      </c>
      <c r="AM440">
        <f t="shared" si="342"/>
        <v>289.90717505164798</v>
      </c>
      <c r="AN440">
        <f t="shared" si="369"/>
        <v>543.31115183710403</v>
      </c>
      <c r="AO440">
        <f t="shared" si="370"/>
        <v>-60.214752687831627</v>
      </c>
      <c r="AQ440">
        <f t="shared" si="343"/>
        <v>1.95786632511036E-3</v>
      </c>
      <c r="AR440">
        <f t="shared" si="344"/>
        <v>-4.4247778947494139</v>
      </c>
      <c r="AT440">
        <f t="shared" si="365"/>
        <v>-4075.0879805319873</v>
      </c>
      <c r="AU440">
        <f t="shared" si="366"/>
        <v>-564.2978740676333</v>
      </c>
      <c r="AV440">
        <f t="shared" si="354"/>
        <v>-3.0039926929471665</v>
      </c>
      <c r="AW440">
        <f t="shared" si="355"/>
        <v>409.12540969096784</v>
      </c>
      <c r="AX440">
        <f t="shared" si="356"/>
        <v>-3537.1020749997997</v>
      </c>
      <c r="AY440">
        <f t="shared" si="364"/>
        <v>-1.4556412165933625</v>
      </c>
      <c r="BA440">
        <f t="shared" si="345"/>
        <v>1.1553882242438844</v>
      </c>
      <c r="BB440">
        <f t="shared" si="357"/>
        <v>1.2545587376761149</v>
      </c>
      <c r="BC440">
        <f t="shared" si="358"/>
        <v>-1.548351476353804</v>
      </c>
      <c r="BD440">
        <f t="shared" si="346"/>
        <v>-268.71400489929357</v>
      </c>
      <c r="BF440">
        <f t="shared" si="347"/>
        <v>-49.685680587046832</v>
      </c>
      <c r="BG440">
        <f t="shared" si="348"/>
        <v>-184.71714505310104</v>
      </c>
      <c r="BH440">
        <f t="shared" si="359"/>
        <v>-4.717145053101035</v>
      </c>
      <c r="BI440">
        <f t="shared" si="360"/>
        <v>-4.717145053101035</v>
      </c>
      <c r="BJ440">
        <f t="shared" si="349"/>
        <v>0</v>
      </c>
      <c r="BK440">
        <f t="shared" si="361"/>
        <v>0</v>
      </c>
      <c r="BM440">
        <f t="shared" si="362"/>
        <v>-50.940239324722938</v>
      </c>
      <c r="BN440">
        <f t="shared" si="350"/>
        <v>-96.003140153807465</v>
      </c>
      <c r="BQ440" s="56">
        <f t="shared" si="363"/>
        <v>18.156519537961252</v>
      </c>
    </row>
    <row r="441" spans="1:69" x14ac:dyDescent="0.25">
      <c r="A441">
        <f t="shared" si="372"/>
        <v>1135000</v>
      </c>
      <c r="B441">
        <f t="shared" si="351"/>
        <v>1135</v>
      </c>
      <c r="C441">
        <f t="shared" si="320"/>
        <v>9.4664345908215441</v>
      </c>
      <c r="D441">
        <f t="shared" si="321"/>
        <v>1.4649624742013279</v>
      </c>
      <c r="F441">
        <f t="shared" si="322"/>
        <v>1.9896255774215945E-5</v>
      </c>
      <c r="G441">
        <f t="shared" si="323"/>
        <v>1.5173549545719697E-3</v>
      </c>
      <c r="H441">
        <f t="shared" si="324"/>
        <v>-3.140075295045428</v>
      </c>
      <c r="J441">
        <f t="shared" si="325"/>
        <v>15</v>
      </c>
      <c r="M441">
        <f t="shared" si="326"/>
        <v>1.1209002368061949E-3</v>
      </c>
      <c r="N441">
        <f t="shared" si="327"/>
        <v>-1.5707963250000001</v>
      </c>
      <c r="O441">
        <f t="shared" si="328"/>
        <v>329.75816045490984</v>
      </c>
      <c r="P441">
        <f t="shared" si="329"/>
        <v>1.5677637967391476</v>
      </c>
      <c r="Q441">
        <f t="shared" si="330"/>
        <v>291.19166724966033</v>
      </c>
      <c r="R441">
        <f t="shared" si="331"/>
        <v>1.5673621558413244</v>
      </c>
      <c r="S441">
        <f t="shared" si="332"/>
        <v>0.11308852830584011</v>
      </c>
      <c r="T441">
        <f t="shared" si="333"/>
        <v>-1.4574653521028718</v>
      </c>
      <c r="U441">
        <f t="shared" si="334"/>
        <v>0.13914088193111171</v>
      </c>
      <c r="V441">
        <f t="shared" si="335"/>
        <v>-1.4312025222247675</v>
      </c>
      <c r="X441">
        <f t="shared" si="352"/>
        <v>-46.402723747332303</v>
      </c>
      <c r="Y441">
        <f t="shared" si="336"/>
        <v>-171.85588722536264</v>
      </c>
      <c r="Z441">
        <f t="shared" si="353"/>
        <v>8.1441127746373638</v>
      </c>
      <c r="AC441">
        <v>1</v>
      </c>
      <c r="AD441">
        <f t="shared" si="337"/>
        <v>329.75664418872003</v>
      </c>
      <c r="AE441">
        <f t="shared" si="338"/>
        <v>-0.35274473741329831</v>
      </c>
      <c r="AF441">
        <f t="shared" si="339"/>
        <v>4.9563336442725002E-2</v>
      </c>
      <c r="AG441">
        <f t="shared" si="367"/>
        <v>126.02788049572655</v>
      </c>
      <c r="AH441">
        <f t="shared" si="368"/>
        <v>-917.12291533778841</v>
      </c>
      <c r="AJ441">
        <f t="shared" si="340"/>
        <v>18000</v>
      </c>
      <c r="AK441">
        <f t="shared" si="341"/>
        <v>158146.26603652799</v>
      </c>
      <c r="AL441">
        <v>1</v>
      </c>
      <c r="AM441">
        <f t="shared" si="342"/>
        <v>291.18995016249602</v>
      </c>
      <c r="AN441">
        <f t="shared" si="369"/>
        <v>543.30932590212376</v>
      </c>
      <c r="AO441">
        <f t="shared" si="370"/>
        <v>-59.949495730729453</v>
      </c>
      <c r="AQ441">
        <f t="shared" si="343"/>
        <v>1.9406544003077101E-3</v>
      </c>
      <c r="AR441">
        <f t="shared" si="344"/>
        <v>-4.4052854886985022</v>
      </c>
      <c r="AT441">
        <f t="shared" si="365"/>
        <v>-4039.9436937295791</v>
      </c>
      <c r="AU441">
        <f t="shared" si="366"/>
        <v>-556.96861174052651</v>
      </c>
      <c r="AV441">
        <f t="shared" si="354"/>
        <v>-3.0045908504695489</v>
      </c>
      <c r="AW441">
        <f t="shared" si="355"/>
        <v>410.32552079197779</v>
      </c>
      <c r="AX441">
        <f t="shared" si="356"/>
        <v>-3521.6699127991151</v>
      </c>
      <c r="AY441">
        <f t="shared" si="364"/>
        <v>-1.4548048505916993</v>
      </c>
      <c r="BA441">
        <f t="shared" si="345"/>
        <v>1.1502364998972938</v>
      </c>
      <c r="BB441">
        <f t="shared" si="357"/>
        <v>1.215742894732905</v>
      </c>
      <c r="BC441">
        <f t="shared" si="358"/>
        <v>-1.5497859998778496</v>
      </c>
      <c r="BD441">
        <f t="shared" si="346"/>
        <v>-268.79619704292753</v>
      </c>
      <c r="BF441">
        <f t="shared" si="347"/>
        <v>-49.763276048777399</v>
      </c>
      <c r="BG441">
        <f t="shared" si="348"/>
        <v>-184.77309199521804</v>
      </c>
      <c r="BH441">
        <f t="shared" si="359"/>
        <v>-4.7730919952180386</v>
      </c>
      <c r="BI441">
        <f t="shared" si="360"/>
        <v>-4.7730919952180386</v>
      </c>
      <c r="BJ441">
        <f t="shared" si="349"/>
        <v>0</v>
      </c>
      <c r="BK441">
        <f t="shared" si="361"/>
        <v>0</v>
      </c>
      <c r="BM441">
        <f t="shared" si="362"/>
        <v>-50.979018943510312</v>
      </c>
      <c r="BN441">
        <f t="shared" si="350"/>
        <v>-95.976894952290536</v>
      </c>
      <c r="BQ441" s="56">
        <f t="shared" si="363"/>
        <v>18.117703695018044</v>
      </c>
    </row>
    <row r="442" spans="1:69" x14ac:dyDescent="0.25">
      <c r="A442">
        <f t="shared" si="372"/>
        <v>1140000</v>
      </c>
      <c r="B442">
        <f t="shared" si="351"/>
        <v>1140</v>
      </c>
      <c r="C442">
        <f t="shared" si="320"/>
        <v>9.5076725964743503</v>
      </c>
      <c r="D442">
        <f t="shared" si="321"/>
        <v>1.4654232218867995</v>
      </c>
      <c r="F442">
        <f t="shared" si="322"/>
        <v>1.9722106696858351E-5</v>
      </c>
      <c r="G442">
        <f t="shared" si="323"/>
        <v>1.5106996345000297E-3</v>
      </c>
      <c r="H442">
        <f t="shared" si="324"/>
        <v>-3.1400819503655</v>
      </c>
      <c r="J442">
        <f t="shared" si="325"/>
        <v>15</v>
      </c>
      <c r="M442">
        <f t="shared" si="326"/>
        <v>1.1159840076973957E-3</v>
      </c>
      <c r="N442">
        <f t="shared" si="327"/>
        <v>-1.5707963250000001</v>
      </c>
      <c r="O442">
        <f t="shared" si="328"/>
        <v>331.2108262460099</v>
      </c>
      <c r="P442">
        <f t="shared" si="329"/>
        <v>1.5677770972285598</v>
      </c>
      <c r="Q442">
        <f t="shared" si="330"/>
        <v>292.47443482946846</v>
      </c>
      <c r="R442">
        <f t="shared" si="331"/>
        <v>1.5673772178769838</v>
      </c>
      <c r="S442">
        <f t="shared" si="332"/>
        <v>0.11259882822724261</v>
      </c>
      <c r="T442">
        <f t="shared" si="333"/>
        <v>-1.4579582001283544</v>
      </c>
      <c r="U442">
        <f t="shared" si="334"/>
        <v>0.13854235366368894</v>
      </c>
      <c r="V442">
        <f t="shared" si="335"/>
        <v>-1.4318069041834103</v>
      </c>
      <c r="X442">
        <f t="shared" si="352"/>
        <v>-46.478287615215727</v>
      </c>
      <c r="Y442">
        <f t="shared" si="336"/>
        <v>-171.89111124361898</v>
      </c>
      <c r="Z442">
        <f t="shared" si="353"/>
        <v>8.1088887563810204</v>
      </c>
      <c r="AC442">
        <v>1</v>
      </c>
      <c r="AD442">
        <f t="shared" si="337"/>
        <v>331.20931663008002</v>
      </c>
      <c r="AE442">
        <f t="shared" si="338"/>
        <v>-0.35585946611991115</v>
      </c>
      <c r="AF442">
        <f t="shared" si="339"/>
        <v>4.9781677131900001E-2</v>
      </c>
      <c r="AG442">
        <f t="shared" si="367"/>
        <v>124.94596969530757</v>
      </c>
      <c r="AH442">
        <f t="shared" si="368"/>
        <v>-913.25179642198145</v>
      </c>
      <c r="AJ442">
        <f t="shared" si="340"/>
        <v>18000</v>
      </c>
      <c r="AK442">
        <f t="shared" si="341"/>
        <v>158842.94562259197</v>
      </c>
      <c r="AL442">
        <v>1</v>
      </c>
      <c r="AM442">
        <f t="shared" si="342"/>
        <v>292.472725273344</v>
      </c>
      <c r="AN442">
        <f t="shared" si="369"/>
        <v>543.30752393950297</v>
      </c>
      <c r="AO442">
        <f t="shared" si="370"/>
        <v>-59.686565507076025</v>
      </c>
      <c r="AQ442">
        <f t="shared" si="343"/>
        <v>1.9236684511256441E-3</v>
      </c>
      <c r="AR442">
        <f t="shared" si="344"/>
        <v>-4.3859640685664685</v>
      </c>
      <c r="AT442">
        <f t="shared" si="365"/>
        <v>-4005.2492100405921</v>
      </c>
      <c r="AU442">
        <f t="shared" si="366"/>
        <v>-549.76532726452467</v>
      </c>
      <c r="AV442">
        <f t="shared" si="354"/>
        <v>-3.0051838640815394</v>
      </c>
      <c r="AW442">
        <f t="shared" si="355"/>
        <v>411.50949546506348</v>
      </c>
      <c r="AX442">
        <f t="shared" si="356"/>
        <v>-3506.3712157882019</v>
      </c>
      <c r="AY442">
        <f t="shared" si="364"/>
        <v>-1.4539702337651033</v>
      </c>
      <c r="BA442">
        <f t="shared" si="345"/>
        <v>1.1451287432075601</v>
      </c>
      <c r="BB442">
        <f t="shared" si="357"/>
        <v>1.1770863155526718</v>
      </c>
      <c r="BC442">
        <f t="shared" si="358"/>
        <v>-1.5512136303164361</v>
      </c>
      <c r="BD442">
        <f t="shared" si="346"/>
        <v>-268.87799424185641</v>
      </c>
      <c r="BF442">
        <f t="shared" si="347"/>
        <v>-49.840538061690623</v>
      </c>
      <c r="BG442">
        <f t="shared" si="348"/>
        <v>-184.82887161807071</v>
      </c>
      <c r="BH442">
        <f t="shared" si="359"/>
        <v>-4.828871618070707</v>
      </c>
      <c r="BI442">
        <f t="shared" si="360"/>
        <v>-4.828871618070707</v>
      </c>
      <c r="BJ442">
        <f t="shared" si="349"/>
        <v>0</v>
      </c>
      <c r="BK442">
        <f t="shared" si="361"/>
        <v>0</v>
      </c>
      <c r="BM442">
        <f t="shared" si="362"/>
        <v>-51.017624377243294</v>
      </c>
      <c r="BN442">
        <f t="shared" si="350"/>
        <v>-95.950877376214279</v>
      </c>
      <c r="BQ442" s="56">
        <f t="shared" si="363"/>
        <v>18.079047115837806</v>
      </c>
    </row>
    <row r="443" spans="1:69" x14ac:dyDescent="0.25">
      <c r="A443">
        <f t="shared" si="372"/>
        <v>1145000</v>
      </c>
      <c r="B443">
        <f t="shared" si="351"/>
        <v>1145</v>
      </c>
      <c r="C443">
        <f t="shared" si="320"/>
        <v>9.5489126030627069</v>
      </c>
      <c r="D443">
        <f t="shared" si="321"/>
        <v>1.4658799898986188</v>
      </c>
      <c r="F443">
        <f t="shared" si="322"/>
        <v>1.9550234119905856E-5</v>
      </c>
      <c r="G443">
        <f t="shared" si="323"/>
        <v>1.5041024428063114E-3</v>
      </c>
      <c r="H443">
        <f t="shared" si="324"/>
        <v>-3.1400885475571938</v>
      </c>
      <c r="J443">
        <f t="shared" si="325"/>
        <v>15</v>
      </c>
      <c r="M443">
        <f t="shared" si="326"/>
        <v>1.1111107150873635E-3</v>
      </c>
      <c r="N443">
        <f t="shared" si="327"/>
        <v>-1.5707963250000001</v>
      </c>
      <c r="O443">
        <f t="shared" si="328"/>
        <v>332.66349209519046</v>
      </c>
      <c r="P443">
        <f t="shared" si="329"/>
        <v>1.5677902815575468</v>
      </c>
      <c r="Q443">
        <f t="shared" si="330"/>
        <v>293.75720247504921</v>
      </c>
      <c r="R443">
        <f t="shared" si="331"/>
        <v>1.5673921483680113</v>
      </c>
      <c r="S443">
        <f t="shared" si="332"/>
        <v>0.11211332401649891</v>
      </c>
      <c r="T443">
        <f t="shared" si="333"/>
        <v>-1.4584467981423279</v>
      </c>
      <c r="U443">
        <f t="shared" si="334"/>
        <v>0.13794890285420414</v>
      </c>
      <c r="V443">
        <f t="shared" si="335"/>
        <v>-1.432406108578667</v>
      </c>
      <c r="X443">
        <f t="shared" si="352"/>
        <v>-46.553527570892896</v>
      </c>
      <c r="Y443">
        <f t="shared" si="336"/>
        <v>-171.92603398207024</v>
      </c>
      <c r="Z443">
        <f t="shared" si="353"/>
        <v>8.073966017929763</v>
      </c>
      <c r="AC443">
        <v>1</v>
      </c>
      <c r="AD443">
        <f t="shared" si="337"/>
        <v>332.66198907144002</v>
      </c>
      <c r="AE443">
        <f t="shared" si="338"/>
        <v>-0.35898788594171782</v>
      </c>
      <c r="AF443">
        <f t="shared" si="339"/>
        <v>5.0000017821075E-2</v>
      </c>
      <c r="AG443">
        <f t="shared" si="367"/>
        <v>123.87784179903989</v>
      </c>
      <c r="AH443">
        <f t="shared" si="368"/>
        <v>-909.41256671500685</v>
      </c>
      <c r="AJ443">
        <f t="shared" si="340"/>
        <v>18000</v>
      </c>
      <c r="AK443">
        <f t="shared" si="341"/>
        <v>159539.62520865598</v>
      </c>
      <c r="AL443">
        <v>1</v>
      </c>
      <c r="AM443">
        <f t="shared" si="342"/>
        <v>293.75550038419203</v>
      </c>
      <c r="AN443">
        <f t="shared" si="369"/>
        <v>543.30574553143458</v>
      </c>
      <c r="AO443">
        <f t="shared" si="370"/>
        <v>-59.425931537069417</v>
      </c>
      <c r="AQ443">
        <f t="shared" si="343"/>
        <v>1.9069045390239434E-3</v>
      </c>
      <c r="AR443">
        <f t="shared" si="344"/>
        <v>-4.3668113943648299</v>
      </c>
      <c r="AT443">
        <f t="shared" si="365"/>
        <v>-3970.996935290847</v>
      </c>
      <c r="AU443">
        <f t="shared" si="366"/>
        <v>-542.68533402868547</v>
      </c>
      <c r="AV443">
        <f t="shared" si="354"/>
        <v>-3.005771799415963</v>
      </c>
      <c r="AW443">
        <f t="shared" si="355"/>
        <v>412.67762299221022</v>
      </c>
      <c r="AX443">
        <f t="shared" si="356"/>
        <v>-3491.2042674448176</v>
      </c>
      <c r="AY443">
        <f t="shared" si="364"/>
        <v>-1.4531373438042172</v>
      </c>
      <c r="BA443">
        <f t="shared" si="345"/>
        <v>1.140064391519453</v>
      </c>
      <c r="BB443">
        <f t="shared" si="357"/>
        <v>1.1385876248317033</v>
      </c>
      <c r="BC443">
        <f t="shared" si="358"/>
        <v>-1.5526344556117457</v>
      </c>
      <c r="BD443">
        <f t="shared" si="346"/>
        <v>-268.95940153479614</v>
      </c>
      <c r="BF443">
        <f t="shared" si="347"/>
        <v>-49.917469573561625</v>
      </c>
      <c r="BG443">
        <f t="shared" si="348"/>
        <v>-184.88448602292777</v>
      </c>
      <c r="BH443">
        <f t="shared" si="359"/>
        <v>-4.8844860229277742</v>
      </c>
      <c r="BI443">
        <f t="shared" si="360"/>
        <v>-4.8844860229277742</v>
      </c>
      <c r="BJ443">
        <f t="shared" si="349"/>
        <v>0</v>
      </c>
      <c r="BK443">
        <f t="shared" si="361"/>
        <v>0</v>
      </c>
      <c r="BM443">
        <f t="shared" si="362"/>
        <v>-51.056057198393326</v>
      </c>
      <c r="BN443">
        <f t="shared" si="350"/>
        <v>-95.925084488131674</v>
      </c>
      <c r="BQ443" s="56">
        <f t="shared" si="363"/>
        <v>18.040548425116839</v>
      </c>
    </row>
    <row r="444" spans="1:69" x14ac:dyDescent="0.25">
      <c r="A444">
        <f t="shared" si="372"/>
        <v>1150000</v>
      </c>
      <c r="B444">
        <f t="shared" si="351"/>
        <v>1150</v>
      </c>
      <c r="C444">
        <f t="shared" si="320"/>
        <v>9.5901545847730816</v>
      </c>
      <c r="D444">
        <f t="shared" si="321"/>
        <v>1.4663328293881124</v>
      </c>
      <c r="F444">
        <f t="shared" si="322"/>
        <v>1.9380598537025929E-5</v>
      </c>
      <c r="G444">
        <f t="shared" si="323"/>
        <v>1.4975626212373489E-3</v>
      </c>
      <c r="H444">
        <f t="shared" si="324"/>
        <v>-3.140095087378763</v>
      </c>
      <c r="J444">
        <f t="shared" si="325"/>
        <v>15</v>
      </c>
      <c r="M444">
        <f t="shared" si="326"/>
        <v>1.1062797989348095E-3</v>
      </c>
      <c r="N444">
        <f t="shared" si="327"/>
        <v>-1.5707963250000001</v>
      </c>
      <c r="O444">
        <f t="shared" si="328"/>
        <v>334.11615800169392</v>
      </c>
      <c r="P444">
        <f t="shared" si="329"/>
        <v>1.5678033512412262</v>
      </c>
      <c r="Q444">
        <f t="shared" si="330"/>
        <v>295.0399701855448</v>
      </c>
      <c r="R444">
        <f t="shared" si="331"/>
        <v>1.5674069490301801</v>
      </c>
      <c r="S444">
        <f t="shared" si="332"/>
        <v>0.11163196232232798</v>
      </c>
      <c r="T444">
        <f t="shared" si="333"/>
        <v>-1.4589312006526227</v>
      </c>
      <c r="U444">
        <f t="shared" si="334"/>
        <v>0.13736046580294492</v>
      </c>
      <c r="V444">
        <f t="shared" si="335"/>
        <v>-1.4330002012339702</v>
      </c>
      <c r="X444">
        <f t="shared" si="352"/>
        <v>-46.628446351317947</v>
      </c>
      <c r="Y444">
        <f t="shared" si="336"/>
        <v>-171.96065926276302</v>
      </c>
      <c r="Z444">
        <f t="shared" si="353"/>
        <v>8.0393407372369836</v>
      </c>
      <c r="AC444">
        <v>1</v>
      </c>
      <c r="AD444">
        <f t="shared" si="337"/>
        <v>334.11466151280001</v>
      </c>
      <c r="AE444">
        <f t="shared" si="338"/>
        <v>-0.36212999687871844</v>
      </c>
      <c r="AF444">
        <f t="shared" si="339"/>
        <v>5.021835851025E-2</v>
      </c>
      <c r="AG444">
        <f t="shared" si="367"/>
        <v>122.82326520050454</v>
      </c>
      <c r="AH444">
        <f t="shared" si="368"/>
        <v>-905.6048423886707</v>
      </c>
      <c r="AJ444">
        <f t="shared" si="340"/>
        <v>18000</v>
      </c>
      <c r="AK444">
        <f t="shared" si="341"/>
        <v>160236.30479472</v>
      </c>
      <c r="AL444">
        <v>1</v>
      </c>
      <c r="AM444">
        <f t="shared" si="342"/>
        <v>295.03827549504001</v>
      </c>
      <c r="AN444">
        <f t="shared" si="369"/>
        <v>543.3039902691736</v>
      </c>
      <c r="AO444">
        <f t="shared" si="370"/>
        <v>-59.167563870960535</v>
      </c>
      <c r="AQ444">
        <f t="shared" si="343"/>
        <v>1.8903588108962551E-3</v>
      </c>
      <c r="AR444">
        <f t="shared" si="344"/>
        <v>-4.3478252650613864</v>
      </c>
      <c r="AT444">
        <f t="shared" si="365"/>
        <v>-3937.1794338578425</v>
      </c>
      <c r="AU444">
        <f t="shared" si="366"/>
        <v>-535.72601366908839</v>
      </c>
      <c r="AV444">
        <f t="shared" si="354"/>
        <v>-3.0063547210012378</v>
      </c>
      <c r="AW444">
        <f t="shared" si="355"/>
        <v>413.83018617799365</v>
      </c>
      <c r="AX444">
        <f t="shared" si="356"/>
        <v>-3476.1673804377788</v>
      </c>
      <c r="AY444">
        <f t="shared" si="364"/>
        <v>-1.4523061588323645</v>
      </c>
      <c r="BA444">
        <f t="shared" si="345"/>
        <v>1.1350428916852424</v>
      </c>
      <c r="BB444">
        <f t="shared" si="357"/>
        <v>1.1002454644200106</v>
      </c>
      <c r="BC444">
        <f t="shared" si="358"/>
        <v>-1.5540485621688733</v>
      </c>
      <c r="BD444">
        <f t="shared" si="346"/>
        <v>-269.04042387239389</v>
      </c>
      <c r="BF444">
        <f t="shared" si="347"/>
        <v>-49.99407349364273</v>
      </c>
      <c r="BG444">
        <f t="shared" si="348"/>
        <v>-184.93993727312619</v>
      </c>
      <c r="BH444">
        <f t="shared" si="359"/>
        <v>-4.9399372731261906</v>
      </c>
      <c r="BI444">
        <f t="shared" si="360"/>
        <v>-4.9399372731261906</v>
      </c>
      <c r="BJ444">
        <f t="shared" si="349"/>
        <v>0</v>
      </c>
      <c r="BK444">
        <f t="shared" si="361"/>
        <v>0</v>
      </c>
      <c r="BM444">
        <f t="shared" si="362"/>
        <v>-51.094318958062743</v>
      </c>
      <c r="BN444">
        <f t="shared" si="350"/>
        <v>-95.899513400732289</v>
      </c>
      <c r="BQ444" s="56">
        <f t="shared" si="363"/>
        <v>18.002206264705148</v>
      </c>
    </row>
    <row r="445" spans="1:69" x14ac:dyDescent="0.25">
      <c r="A445">
        <f t="shared" si="372"/>
        <v>1155000</v>
      </c>
      <c r="B445">
        <f t="shared" si="351"/>
        <v>1155</v>
      </c>
      <c r="C445">
        <f t="shared" si="320"/>
        <v>9.6313985162328493</v>
      </c>
      <c r="D445">
        <f t="shared" si="321"/>
        <v>1.4667817906369469</v>
      </c>
      <c r="F445">
        <f t="shared" si="322"/>
        <v>1.9213161295177807E-5</v>
      </c>
      <c r="G445">
        <f t="shared" si="323"/>
        <v>1.4910794246708375E-3</v>
      </c>
      <c r="H445">
        <f t="shared" si="324"/>
        <v>-3.1401015705753292</v>
      </c>
      <c r="J445">
        <f t="shared" si="325"/>
        <v>15</v>
      </c>
      <c r="M445">
        <f t="shared" si="326"/>
        <v>1.1014907088961307E-3</v>
      </c>
      <c r="N445">
        <f t="shared" si="327"/>
        <v>-1.5707963250000001</v>
      </c>
      <c r="O445">
        <f t="shared" si="328"/>
        <v>335.5688239647759</v>
      </c>
      <c r="P445">
        <f t="shared" si="329"/>
        <v>1.5678163077684806</v>
      </c>
      <c r="Q445">
        <f t="shared" si="330"/>
        <v>296.32273796011208</v>
      </c>
      <c r="R445">
        <f t="shared" si="331"/>
        <v>1.5674216215495536</v>
      </c>
      <c r="S445">
        <f t="shared" si="332"/>
        <v>0.11115469068821252</v>
      </c>
      <c r="T445">
        <f t="shared" si="333"/>
        <v>-1.4594114612428504</v>
      </c>
      <c r="U445">
        <f t="shared" si="334"/>
        <v>0.13677697986039888</v>
      </c>
      <c r="V445">
        <f t="shared" si="335"/>
        <v>-1.4335892468688933</v>
      </c>
      <c r="X445">
        <f t="shared" si="352"/>
        <v>-46.703046659254774</v>
      </c>
      <c r="Y445">
        <f t="shared" si="336"/>
        <v>-171.99499084382455</v>
      </c>
      <c r="Z445">
        <f t="shared" si="353"/>
        <v>8.0050091561754471</v>
      </c>
      <c r="AC445">
        <v>1</v>
      </c>
      <c r="AD445">
        <f t="shared" si="337"/>
        <v>335.56733395416001</v>
      </c>
      <c r="AE445">
        <f t="shared" si="338"/>
        <v>-0.36528579893091295</v>
      </c>
      <c r="AF445">
        <f t="shared" si="339"/>
        <v>5.0436699199424999E-2</v>
      </c>
      <c r="AG445">
        <f t="shared" si="367"/>
        <v>121.78201310563142</v>
      </c>
      <c r="AH445">
        <f t="shared" si="368"/>
        <v>-901.82824559669109</v>
      </c>
      <c r="AJ445">
        <f t="shared" si="340"/>
        <v>18000</v>
      </c>
      <c r="AK445">
        <f t="shared" si="341"/>
        <v>160932.98438078401</v>
      </c>
      <c r="AL445">
        <v>1</v>
      </c>
      <c r="AM445">
        <f t="shared" si="342"/>
        <v>296.32105060588799</v>
      </c>
      <c r="AN445">
        <f t="shared" si="369"/>
        <v>543.30225775280326</v>
      </c>
      <c r="AO445">
        <f t="shared" si="370"/>
        <v>-58.911433077580782</v>
      </c>
      <c r="AQ445">
        <f t="shared" si="343"/>
        <v>1.8740274968558504E-3</v>
      </c>
      <c r="AR445">
        <f t="shared" si="344"/>
        <v>-4.3290035177370143</v>
      </c>
      <c r="AT445">
        <f t="shared" si="365"/>
        <v>-3903.7894247414933</v>
      </c>
      <c r="AU445">
        <f t="shared" si="366"/>
        <v>-528.88481406106314</v>
      </c>
      <c r="AV445">
        <f t="shared" si="354"/>
        <v>-3.0069326922843476</v>
      </c>
      <c r="AW445">
        <f t="shared" si="355"/>
        <v>414.96746152335578</v>
      </c>
      <c r="AX445">
        <f t="shared" si="356"/>
        <v>-3461.2588960113735</v>
      </c>
      <c r="AY445">
        <f t="shared" si="364"/>
        <v>-1.4514766573952733</v>
      </c>
      <c r="BA445">
        <f t="shared" si="345"/>
        <v>1.1300636998661493</v>
      </c>
      <c r="BB445">
        <f t="shared" si="357"/>
        <v>1.062058493042737</v>
      </c>
      <c r="BC445">
        <f t="shared" si="358"/>
        <v>-1.5554560348890742</v>
      </c>
      <c r="BD445">
        <f t="shared" si="346"/>
        <v>-269.12106611913333</v>
      </c>
      <c r="BF445">
        <f t="shared" si="347"/>
        <v>-50.070352693330094</v>
      </c>
      <c r="BG445">
        <f t="shared" si="348"/>
        <v>-184.99522739491454</v>
      </c>
      <c r="BH445">
        <f t="shared" si="359"/>
        <v>-4.9952273949145365</v>
      </c>
      <c r="BI445">
        <f t="shared" si="360"/>
        <v>-4.9952273949145365</v>
      </c>
      <c r="BJ445">
        <f t="shared" si="349"/>
        <v>0</v>
      </c>
      <c r="BK445">
        <f t="shared" si="361"/>
        <v>0</v>
      </c>
      <c r="BM445">
        <f t="shared" si="362"/>
        <v>-51.132411186372835</v>
      </c>
      <c r="BN445">
        <f t="shared" si="350"/>
        <v>-95.874161275781191</v>
      </c>
      <c r="BQ445" s="56">
        <f t="shared" si="363"/>
        <v>17.964019293327873</v>
      </c>
    </row>
    <row r="446" spans="1:69" x14ac:dyDescent="0.25">
      <c r="A446">
        <f t="shared" si="372"/>
        <v>1160000</v>
      </c>
      <c r="B446">
        <f t="shared" si="351"/>
        <v>1160</v>
      </c>
      <c r="C446">
        <f t="shared" si="320"/>
        <v>9.672644372500951</v>
      </c>
      <c r="D446">
        <f t="shared" si="321"/>
        <v>1.4672269230754638</v>
      </c>
      <c r="F446">
        <f t="shared" si="322"/>
        <v>1.9047884572591346E-5</v>
      </c>
      <c r="G446">
        <f t="shared" si="323"/>
        <v>1.4846521208326025E-3</v>
      </c>
      <c r="H446">
        <f t="shared" si="324"/>
        <v>-3.1401079978791677</v>
      </c>
      <c r="J446">
        <f t="shared" si="325"/>
        <v>15</v>
      </c>
      <c r="M446">
        <f t="shared" si="326"/>
        <v>1.096742904116406E-3</v>
      </c>
      <c r="N446">
        <f t="shared" si="327"/>
        <v>-1.5707963250000001</v>
      </c>
      <c r="O446">
        <f t="shared" si="328"/>
        <v>337.02148998370467</v>
      </c>
      <c r="P446">
        <f t="shared" si="329"/>
        <v>1.5678291526025221</v>
      </c>
      <c r="Q446">
        <f t="shared" si="330"/>
        <v>297.60550579792266</v>
      </c>
      <c r="R446">
        <f t="shared" si="331"/>
        <v>1.5674361675831252</v>
      </c>
      <c r="S446">
        <f t="shared" si="332"/>
        <v>0.11068145753384609</v>
      </c>
      <c r="T446">
        <f t="shared" si="333"/>
        <v>-1.4598876325918262</v>
      </c>
      <c r="U446">
        <f t="shared" si="334"/>
        <v>0.1361983834059324</v>
      </c>
      <c r="V446">
        <f t="shared" si="335"/>
        <v>-1.4341733091220441</v>
      </c>
      <c r="X446">
        <f t="shared" si="352"/>
        <v>-46.777331163838276</v>
      </c>
      <c r="Y446">
        <f t="shared" si="336"/>
        <v>-172.02903242078401</v>
      </c>
      <c r="Z446">
        <f t="shared" si="353"/>
        <v>7.9709675792159942</v>
      </c>
      <c r="AC446">
        <v>1</v>
      </c>
      <c r="AD446">
        <f t="shared" si="337"/>
        <v>337.02000639552</v>
      </c>
      <c r="AE446">
        <f t="shared" si="338"/>
        <v>-0.36845529209830136</v>
      </c>
      <c r="AF446">
        <f t="shared" si="339"/>
        <v>5.0655039888600005E-2</v>
      </c>
      <c r="AG446">
        <f t="shared" si="367"/>
        <v>120.7538634140215</v>
      </c>
      <c r="AH446">
        <f t="shared" si="368"/>
        <v>-898.08240436209417</v>
      </c>
      <c r="AJ446">
        <f t="shared" si="340"/>
        <v>18000</v>
      </c>
      <c r="AK446">
        <f t="shared" si="341"/>
        <v>161629.66396684799</v>
      </c>
      <c r="AL446">
        <v>1</v>
      </c>
      <c r="AM446">
        <f t="shared" si="342"/>
        <v>297.60382571673603</v>
      </c>
      <c r="AN446">
        <f t="shared" si="369"/>
        <v>543.30054759100653</v>
      </c>
      <c r="AO446">
        <f t="shared" si="370"/>
        <v>-58.657510233166661</v>
      </c>
      <c r="AQ446">
        <f t="shared" si="343"/>
        <v>1.8579069080880447E-3</v>
      </c>
      <c r="AR446">
        <f t="shared" si="344"/>
        <v>-4.3103440267642634</v>
      </c>
      <c r="AT446">
        <f t="shared" si="365"/>
        <v>-3870.8197777472255</v>
      </c>
      <c r="AU446">
        <f t="shared" si="366"/>
        <v>-522.15924737843193</v>
      </c>
      <c r="AV446">
        <f t="shared" si="354"/>
        <v>-3.0075057756532506</v>
      </c>
      <c r="AW446">
        <f t="shared" si="355"/>
        <v>416.08971939395138</v>
      </c>
      <c r="AX446">
        <f t="shared" si="356"/>
        <v>-3446.4771833852374</v>
      </c>
      <c r="AY446">
        <f t="shared" si="364"/>
        <v>-1.4506488184510933</v>
      </c>
      <c r="BA446">
        <f t="shared" si="345"/>
        <v>1.1251262813387131</v>
      </c>
      <c r="BB446">
        <f t="shared" si="357"/>
        <v>1.0240253860270752</v>
      </c>
      <c r="BC446">
        <f t="shared" si="358"/>
        <v>-1.5568569572021573</v>
      </c>
      <c r="BD446">
        <f t="shared" si="346"/>
        <v>-269.20133305519045</v>
      </c>
      <c r="BF446">
        <f t="shared" si="347"/>
        <v>-50.146310006815924</v>
      </c>
      <c r="BG446">
        <f t="shared" si="348"/>
        <v>-185.05035837827509</v>
      </c>
      <c r="BH446">
        <f t="shared" si="359"/>
        <v>-5.0503583782750923</v>
      </c>
      <c r="BI446">
        <f t="shared" si="360"/>
        <v>-5.0503583782750923</v>
      </c>
      <c r="BJ446">
        <f t="shared" si="349"/>
        <v>0</v>
      </c>
      <c r="BK446">
        <f t="shared" si="361"/>
        <v>0</v>
      </c>
      <c r="BM446">
        <f t="shared" si="362"/>
        <v>-51.170335392842993</v>
      </c>
      <c r="BN446">
        <f t="shared" si="350"/>
        <v>-95.849025323084675</v>
      </c>
      <c r="BQ446" s="56">
        <f t="shared" si="363"/>
        <v>17.925986186312212</v>
      </c>
    </row>
    <row r="447" spans="1:69" x14ac:dyDescent="0.25">
      <c r="A447">
        <f t="shared" si="372"/>
        <v>1165000</v>
      </c>
      <c r="B447">
        <f t="shared" si="351"/>
        <v>1165</v>
      </c>
      <c r="C447">
        <f t="shared" si="320"/>
        <v>9.713892129058781</v>
      </c>
      <c r="D447">
        <f t="shared" si="321"/>
        <v>1.4676682753005559</v>
      </c>
      <c r="F447">
        <f t="shared" si="322"/>
        <v>1.8884731357406118E-5</v>
      </c>
      <c r="G447">
        <f t="shared" si="323"/>
        <v>1.4782799900208575E-3</v>
      </c>
      <c r="H447">
        <f t="shared" si="324"/>
        <v>-3.1401143700099792</v>
      </c>
      <c r="J447">
        <f t="shared" si="325"/>
        <v>15</v>
      </c>
      <c r="M447">
        <f t="shared" si="326"/>
        <v>1.0920358530257777E-3</v>
      </c>
      <c r="N447">
        <f t="shared" si="327"/>
        <v>-1.5707963250000001</v>
      </c>
      <c r="O447">
        <f t="shared" si="328"/>
        <v>338.47415605776126</v>
      </c>
      <c r="P447">
        <f t="shared" si="329"/>
        <v>1.5678418871814439</v>
      </c>
      <c r="Q447">
        <f t="shared" si="330"/>
        <v>298.88827369816227</v>
      </c>
      <c r="R447">
        <f t="shared" si="331"/>
        <v>1.5674505887594432</v>
      </c>
      <c r="S447">
        <f t="shared" si="332"/>
        <v>0.11021221213703654</v>
      </c>
      <c r="T447">
        <f t="shared" si="333"/>
        <v>-1.4603597664925052</v>
      </c>
      <c r="U447">
        <f t="shared" si="334"/>
        <v>0.13562461582698118</v>
      </c>
      <c r="V447">
        <f t="shared" si="335"/>
        <v>-1.4347524505733897</v>
      </c>
      <c r="X447">
        <f t="shared" si="352"/>
        <v>-46.851302501124252</v>
      </c>
      <c r="Y447">
        <f t="shared" si="336"/>
        <v>-172.0627876278605</v>
      </c>
      <c r="Z447">
        <f t="shared" si="353"/>
        <v>7.9372123721394985</v>
      </c>
      <c r="AC447">
        <v>1</v>
      </c>
      <c r="AD447">
        <f t="shared" si="337"/>
        <v>338.47267883687999</v>
      </c>
      <c r="AE447">
        <f t="shared" si="338"/>
        <v>-0.37163847638088365</v>
      </c>
      <c r="AF447">
        <f t="shared" si="339"/>
        <v>5.0873380577775004E-2</v>
      </c>
      <c r="AG447">
        <f t="shared" si="367"/>
        <v>119.73859860364506</v>
      </c>
      <c r="AH447">
        <f t="shared" si="368"/>
        <v>-894.36695246704642</v>
      </c>
      <c r="AJ447">
        <f t="shared" si="340"/>
        <v>18000</v>
      </c>
      <c r="AK447">
        <f t="shared" si="341"/>
        <v>162326.343552912</v>
      </c>
      <c r="AL447">
        <v>1</v>
      </c>
      <c r="AM447">
        <f t="shared" si="342"/>
        <v>298.886600827584</v>
      </c>
      <c r="AN447">
        <f t="shared" si="369"/>
        <v>543.29885940084648</v>
      </c>
      <c r="AO447">
        <f t="shared" si="370"/>
        <v>-58.405766910471975</v>
      </c>
      <c r="AQ447">
        <f t="shared" si="343"/>
        <v>1.8419934347669998E-3</v>
      </c>
      <c r="AR447">
        <f t="shared" si="344"/>
        <v>-4.2918447030071096</v>
      </c>
      <c r="AT447">
        <f t="shared" si="365"/>
        <v>-3838.2635097777884</v>
      </c>
      <c r="AU447">
        <f t="shared" si="366"/>
        <v>-515.54688821726552</v>
      </c>
      <c r="AV447">
        <f t="shared" si="354"/>
        <v>-3.0080740324587345</v>
      </c>
      <c r="AW447">
        <f t="shared" si="355"/>
        <v>417.19722418326432</v>
      </c>
      <c r="AX447">
        <f t="shared" si="356"/>
        <v>-3431.8206391692402</v>
      </c>
      <c r="AY447">
        <f t="shared" si="364"/>
        <v>-1.4498226213606933</v>
      </c>
      <c r="BA447">
        <f t="shared" si="345"/>
        <v>1.1202301103059331</v>
      </c>
      <c r="BB447">
        <f t="shared" si="357"/>
        <v>0.98614483503456463</v>
      </c>
      <c r="BC447">
        <f t="shared" si="358"/>
        <v>-1.5582514110980412</v>
      </c>
      <c r="BD447">
        <f t="shared" si="346"/>
        <v>-269.28122937824145</v>
      </c>
      <c r="BF447">
        <f t="shared" si="347"/>
        <v>-50.221948231726742</v>
      </c>
      <c r="BG447">
        <f t="shared" si="348"/>
        <v>-185.10533217772314</v>
      </c>
      <c r="BH447">
        <f t="shared" si="359"/>
        <v>-5.1053321777231417</v>
      </c>
      <c r="BI447">
        <f t="shared" si="360"/>
        <v>-5.1053321777231417</v>
      </c>
      <c r="BJ447">
        <f t="shared" si="349"/>
        <v>0</v>
      </c>
      <c r="BK447">
        <f t="shared" si="361"/>
        <v>0</v>
      </c>
      <c r="BM447">
        <f t="shared" si="362"/>
        <v>-51.2080930667613</v>
      </c>
      <c r="BN447">
        <f t="shared" si="350"/>
        <v>-95.824102799481707</v>
      </c>
      <c r="BQ447" s="56">
        <f t="shared" si="363"/>
        <v>17.888105635319704</v>
      </c>
    </row>
    <row r="448" spans="1:69" x14ac:dyDescent="0.25">
      <c r="A448">
        <f t="shared" si="372"/>
        <v>1170000</v>
      </c>
      <c r="B448">
        <f t="shared" si="351"/>
        <v>1170</v>
      </c>
      <c r="C448">
        <f t="shared" si="320"/>
        <v>9.755141761801303</v>
      </c>
      <c r="D448">
        <f t="shared" si="321"/>
        <v>1.4681058950930952</v>
      </c>
      <c r="F448">
        <f t="shared" si="322"/>
        <v>1.8723665426948078E-5</v>
      </c>
      <c r="G448">
        <f t="shared" si="323"/>
        <v>1.4719623248375345E-3</v>
      </c>
      <c r="H448">
        <f t="shared" si="324"/>
        <v>-3.1401206876751626</v>
      </c>
      <c r="J448">
        <f t="shared" si="325"/>
        <v>15</v>
      </c>
      <c r="M448">
        <f t="shared" si="326"/>
        <v>1.0873690331410521E-3</v>
      </c>
      <c r="N448">
        <f t="shared" si="327"/>
        <v>-1.5707963250000001</v>
      </c>
      <c r="O448">
        <f t="shared" si="328"/>
        <v>339.92682218623884</v>
      </c>
      <c r="P448">
        <f t="shared" si="329"/>
        <v>1.5678545129187567</v>
      </c>
      <c r="Q448">
        <f t="shared" si="330"/>
        <v>300.17104166003048</v>
      </c>
      <c r="R448">
        <f t="shared" si="331"/>
        <v>1.567464886679218</v>
      </c>
      <c r="S448">
        <f t="shared" si="332"/>
        <v>0.10974690461605301</v>
      </c>
      <c r="T448">
        <f t="shared" si="333"/>
        <v>-1.4608279138704487</v>
      </c>
      <c r="U448">
        <f t="shared" si="334"/>
        <v>0.13505561749873773</v>
      </c>
      <c r="V448">
        <f t="shared" si="335"/>
        <v>-1.4353267327660384</v>
      </c>
      <c r="X448">
        <f t="shared" si="352"/>
        <v>-46.924963274628169</v>
      </c>
      <c r="Y448">
        <f t="shared" si="336"/>
        <v>-172.09626003922065</v>
      </c>
      <c r="Z448">
        <f t="shared" si="353"/>
        <v>7.9037399607793475</v>
      </c>
      <c r="AC448">
        <v>1</v>
      </c>
      <c r="AD448">
        <f t="shared" si="337"/>
        <v>339.92535127824004</v>
      </c>
      <c r="AE448">
        <f t="shared" si="338"/>
        <v>-0.3748353517786599</v>
      </c>
      <c r="AF448">
        <f t="shared" si="339"/>
        <v>5.1091721266950003E-2</v>
      </c>
      <c r="AG448">
        <f t="shared" si="367"/>
        <v>118.73600561880815</v>
      </c>
      <c r="AH448">
        <f t="shared" si="368"/>
        <v>-890.68152934506668</v>
      </c>
      <c r="AJ448">
        <f t="shared" si="340"/>
        <v>18000</v>
      </c>
      <c r="AK448">
        <f t="shared" si="341"/>
        <v>163023.02313897599</v>
      </c>
      <c r="AL448">
        <v>1</v>
      </c>
      <c r="AM448">
        <f t="shared" si="342"/>
        <v>300.16937593843204</v>
      </c>
      <c r="AN448">
        <f t="shared" si="369"/>
        <v>543.29719280754955</v>
      </c>
      <c r="AO448">
        <f t="shared" si="370"/>
        <v>-58.156175168159088</v>
      </c>
      <c r="AQ448">
        <f t="shared" si="343"/>
        <v>1.8262835440347096E-3</v>
      </c>
      <c r="AR448">
        <f t="shared" si="344"/>
        <v>-4.2735034930412201</v>
      </c>
      <c r="AT448">
        <f t="shared" si="365"/>
        <v>-3806.1137812302923</v>
      </c>
      <c r="AU448">
        <f t="shared" si="366"/>
        <v>-509.04537178175713</v>
      </c>
      <c r="AV448">
        <f t="shared" si="354"/>
        <v>-3.0086375230357398</v>
      </c>
      <c r="AW448">
        <f t="shared" si="355"/>
        <v>418.29023447067209</v>
      </c>
      <c r="AX448">
        <f t="shared" si="356"/>
        <v>-3417.2876867929335</v>
      </c>
      <c r="AY448">
        <f t="shared" si="364"/>
        <v>-1.4489980458782317</v>
      </c>
      <c r="BA448">
        <f t="shared" si="345"/>
        <v>1.1153746697130558</v>
      </c>
      <c r="BB448">
        <f t="shared" si="357"/>
        <v>0.94841554779869219</v>
      </c>
      <c r="BC448">
        <f t="shared" si="358"/>
        <v>-1.5596394771575082</v>
      </c>
      <c r="BD448">
        <f t="shared" si="346"/>
        <v>-269.36075970522512</v>
      </c>
      <c r="BF448">
        <f t="shared" si="347"/>
        <v>-50.297270129748163</v>
      </c>
      <c r="BG448">
        <f t="shared" si="348"/>
        <v>-185.16015071308607</v>
      </c>
      <c r="BH448">
        <f t="shared" si="359"/>
        <v>-5.1601507130860682</v>
      </c>
      <c r="BI448">
        <f t="shared" si="360"/>
        <v>-5.1601507130860682</v>
      </c>
      <c r="BJ448">
        <f t="shared" si="349"/>
        <v>0</v>
      </c>
      <c r="BK448">
        <f t="shared" si="361"/>
        <v>0</v>
      </c>
      <c r="BM448">
        <f t="shared" si="362"/>
        <v>-51.245685677546852</v>
      </c>
      <c r="BN448">
        <f t="shared" si="350"/>
        <v>-95.799391007860976</v>
      </c>
      <c r="BQ448" s="56">
        <f t="shared" si="363"/>
        <v>17.850376348083831</v>
      </c>
    </row>
    <row r="449" spans="1:69" x14ac:dyDescent="0.25">
      <c r="A449">
        <f t="shared" si="372"/>
        <v>1175000</v>
      </c>
      <c r="B449">
        <f t="shared" si="351"/>
        <v>1175</v>
      </c>
      <c r="C449">
        <f t="shared" si="320"/>
        <v>9.7963932470283837</v>
      </c>
      <c r="D449">
        <f t="shared" si="321"/>
        <v>1.468539829434929</v>
      </c>
      <c r="F449">
        <f t="shared" si="322"/>
        <v>1.8564651327622337E-5</v>
      </c>
      <c r="G449">
        <f t="shared" si="323"/>
        <v>1.4656984299264745E-3</v>
      </c>
      <c r="H449">
        <f t="shared" si="324"/>
        <v>-3.1401269515700738</v>
      </c>
      <c r="J449">
        <f t="shared" si="325"/>
        <v>15</v>
      </c>
      <c r="M449">
        <f t="shared" si="326"/>
        <v>1.0827419308723669E-3</v>
      </c>
      <c r="N449">
        <f t="shared" si="327"/>
        <v>-1.5707963250000001</v>
      </c>
      <c r="O449">
        <f t="shared" si="328"/>
        <v>341.37948836844282</v>
      </c>
      <c r="P449">
        <f t="shared" si="329"/>
        <v>1.5678670312039122</v>
      </c>
      <c r="Q449">
        <f t="shared" si="330"/>
        <v>301.45380968274054</v>
      </c>
      <c r="R449">
        <f t="shared" si="331"/>
        <v>1.5674790629159139</v>
      </c>
      <c r="S449">
        <f t="shared" si="332"/>
        <v>0.10928548591240397</v>
      </c>
      <c r="T449">
        <f t="shared" si="333"/>
        <v>-1.4612921248018318</v>
      </c>
      <c r="U449">
        <f t="shared" si="334"/>
        <v>0.13449132976432288</v>
      </c>
      <c r="V449">
        <f t="shared" si="335"/>
        <v>-1.4358962162274858</v>
      </c>
      <c r="X449">
        <f t="shared" si="352"/>
        <v>-46.998316055853202</v>
      </c>
      <c r="Y449">
        <f t="shared" si="336"/>
        <v>-172.12945317020478</v>
      </c>
      <c r="Z449">
        <f t="shared" si="353"/>
        <v>7.8705468297952166</v>
      </c>
      <c r="AC449">
        <v>1</v>
      </c>
      <c r="AD449">
        <f t="shared" si="337"/>
        <v>341.37802371960004</v>
      </c>
      <c r="AE449">
        <f t="shared" si="338"/>
        <v>-0.37804591829162992</v>
      </c>
      <c r="AF449">
        <f t="shared" si="339"/>
        <v>5.1310061956125003E-2</v>
      </c>
      <c r="AG449">
        <f t="shared" si="367"/>
        <v>117.74587576128238</v>
      </c>
      <c r="AH449">
        <f t="shared" si="368"/>
        <v>-887.02577997556159</v>
      </c>
      <c r="AJ449">
        <f t="shared" si="340"/>
        <v>18000</v>
      </c>
      <c r="AK449">
        <f t="shared" si="341"/>
        <v>163719.70272503997</v>
      </c>
      <c r="AL449">
        <v>1</v>
      </c>
      <c r="AM449">
        <f t="shared" si="342"/>
        <v>301.45215104928002</v>
      </c>
      <c r="AN449">
        <f t="shared" si="369"/>
        <v>543.29554744430004</v>
      </c>
      <c r="AO449">
        <f t="shared" si="370"/>
        <v>-57.908707540461229</v>
      </c>
      <c r="AQ449">
        <f t="shared" si="343"/>
        <v>1.8107737780400583E-3</v>
      </c>
      <c r="AR449">
        <f t="shared" si="344"/>
        <v>-4.2553183783941373</v>
      </c>
      <c r="AT449">
        <f t="shared" si="365"/>
        <v>-3774.3638924951006</v>
      </c>
      <c r="AU449">
        <f t="shared" si="366"/>
        <v>-502.65239212992299</v>
      </c>
      <c r="AV449">
        <f t="shared" si="354"/>
        <v>-3.0091963067241578</v>
      </c>
      <c r="AW449">
        <f t="shared" si="355"/>
        <v>419.36900317464432</v>
      </c>
      <c r="AX449">
        <f t="shared" si="356"/>
        <v>-3402.876775949183</v>
      </c>
      <c r="AY449">
        <f t="shared" si="364"/>
        <v>-1.4481750721419908</v>
      </c>
      <c r="BA449">
        <f t="shared" si="345"/>
        <v>1.1105594510678634</v>
      </c>
      <c r="BB449">
        <f t="shared" si="357"/>
        <v>0.91083624786758444</v>
      </c>
      <c r="BC449">
        <f t="shared" si="358"/>
        <v>-1.561021234582167</v>
      </c>
      <c r="BD449">
        <f t="shared" si="346"/>
        <v>-269.43992857405942</v>
      </c>
      <c r="BF449">
        <f t="shared" si="347"/>
        <v>-50.372278427236253</v>
      </c>
      <c r="BG449">
        <f t="shared" si="348"/>
        <v>-185.21481587026122</v>
      </c>
      <c r="BH449">
        <f t="shared" si="359"/>
        <v>-5.2148158702612193</v>
      </c>
      <c r="BI449">
        <f t="shared" si="360"/>
        <v>-5.2148158702612193</v>
      </c>
      <c r="BJ449">
        <f t="shared" si="349"/>
        <v>0</v>
      </c>
      <c r="BK449">
        <f t="shared" si="361"/>
        <v>0</v>
      </c>
      <c r="BM449">
        <f t="shared" si="362"/>
        <v>-51.283114675103846</v>
      </c>
      <c r="BN449">
        <f t="shared" si="350"/>
        <v>-95.77488729620184</v>
      </c>
      <c r="BQ449" s="56">
        <f t="shared" si="363"/>
        <v>17.812797048152721</v>
      </c>
    </row>
    <row r="450" spans="1:69" x14ac:dyDescent="0.25">
      <c r="A450">
        <f t="shared" si="372"/>
        <v>1180000</v>
      </c>
      <c r="B450">
        <f t="shared" si="351"/>
        <v>1180</v>
      </c>
      <c r="C450">
        <f t="shared" si="320"/>
        <v>9.83764656143636</v>
      </c>
      <c r="D450">
        <f t="shared" si="321"/>
        <v>1.4689701245254518</v>
      </c>
      <c r="F450">
        <f t="shared" si="322"/>
        <v>1.8407654355401005E-5</v>
      </c>
      <c r="G450">
        <f t="shared" si="323"/>
        <v>1.4594876217182745E-3</v>
      </c>
      <c r="H450">
        <f t="shared" si="324"/>
        <v>-3.140133162378282</v>
      </c>
      <c r="J450">
        <f t="shared" si="325"/>
        <v>15</v>
      </c>
      <c r="M450">
        <f t="shared" si="326"/>
        <v>1.078154041334772E-3</v>
      </c>
      <c r="N450">
        <f t="shared" si="327"/>
        <v>-1.5707963250000001</v>
      </c>
      <c r="O450">
        <f t="shared" si="328"/>
        <v>342.83215460369007</v>
      </c>
      <c r="P450">
        <f t="shared" si="329"/>
        <v>1.5678794434028116</v>
      </c>
      <c r="Q450">
        <f t="shared" si="330"/>
        <v>302.73657776551909</v>
      </c>
      <c r="R450">
        <f t="shared" si="331"/>
        <v>1.567493119016327</v>
      </c>
      <c r="S450">
        <f t="shared" si="332"/>
        <v>0.1088279077740341</v>
      </c>
      <c r="T450">
        <f t="shared" si="333"/>
        <v>-1.4617524485310041</v>
      </c>
      <c r="U450">
        <f t="shared" si="334"/>
        <v>0.1339316949154272</v>
      </c>
      <c r="V450">
        <f t="shared" si="335"/>
        <v>-1.4364609604903471</v>
      </c>
      <c r="X450">
        <f t="shared" si="352"/>
        <v>-47.07136338480764</v>
      </c>
      <c r="Y450">
        <f t="shared" si="336"/>
        <v>-172.16237047852388</v>
      </c>
      <c r="Z450">
        <f t="shared" si="353"/>
        <v>7.8376295214761171</v>
      </c>
      <c r="AC450">
        <v>1</v>
      </c>
      <c r="AD450">
        <f t="shared" si="337"/>
        <v>342.83069616095997</v>
      </c>
      <c r="AE450">
        <f t="shared" si="338"/>
        <v>-0.38127017591979395</v>
      </c>
      <c r="AF450">
        <f t="shared" si="339"/>
        <v>5.1528402645300002E-2</v>
      </c>
      <c r="AG450">
        <f t="shared" si="367"/>
        <v>116.76800458449661</v>
      </c>
      <c r="AH450">
        <f t="shared" si="368"/>
        <v>-883.39935478062614</v>
      </c>
      <c r="AJ450">
        <f t="shared" si="340"/>
        <v>18000</v>
      </c>
      <c r="AK450">
        <f t="shared" si="341"/>
        <v>164416.38231110398</v>
      </c>
      <c r="AL450">
        <v>1</v>
      </c>
      <c r="AM450">
        <f t="shared" si="342"/>
        <v>302.734926160128</v>
      </c>
      <c r="AN450">
        <f t="shared" si="369"/>
        <v>543.29392295203661</v>
      </c>
      <c r="AO450">
        <f t="shared" si="370"/>
        <v>-57.663337027107502</v>
      </c>
      <c r="AQ450">
        <f t="shared" si="343"/>
        <v>1.7954607520359179E-3</v>
      </c>
      <c r="AR450">
        <f t="shared" si="344"/>
        <v>-4.2372873748047661</v>
      </c>
      <c r="AT450">
        <f t="shared" si="365"/>
        <v>-3743.0072805532986</v>
      </c>
      <c r="AU450">
        <f t="shared" si="366"/>
        <v>-496.36570047691504</v>
      </c>
      <c r="AV450">
        <f t="shared" si="354"/>
        <v>-3.0097504418891288</v>
      </c>
      <c r="AW450">
        <f t="shared" si="355"/>
        <v>420.43377770123811</v>
      </c>
      <c r="AX450">
        <f t="shared" si="356"/>
        <v>-3388.5863820515106</v>
      </c>
      <c r="AY450">
        <f t="shared" si="364"/>
        <v>-1.447353680665465</v>
      </c>
      <c r="BA450">
        <f t="shared" si="345"/>
        <v>1.1057839542653525</v>
      </c>
      <c r="BB450">
        <f t="shared" si="357"/>
        <v>0.87340567435178396</v>
      </c>
      <c r="BC450">
        <f t="shared" si="358"/>
        <v>-1.5623967612236638</v>
      </c>
      <c r="BD450">
        <f t="shared" si="346"/>
        <v>-269.51874044531502</v>
      </c>
      <c r="BF450">
        <f t="shared" si="347"/>
        <v>-50.446975815816089</v>
      </c>
      <c r="BG450">
        <f t="shared" si="348"/>
        <v>-185.26932950195464</v>
      </c>
      <c r="BH450">
        <f t="shared" si="359"/>
        <v>-5.269329501954644</v>
      </c>
      <c r="BI450">
        <f t="shared" si="360"/>
        <v>-5.269329501954644</v>
      </c>
      <c r="BJ450">
        <f t="shared" si="349"/>
        <v>0</v>
      </c>
      <c r="BK450">
        <f t="shared" si="361"/>
        <v>0</v>
      </c>
      <c r="BM450">
        <f t="shared" si="362"/>
        <v>-51.320381490167868</v>
      </c>
      <c r="BN450">
        <f t="shared" si="350"/>
        <v>-95.750589056639598</v>
      </c>
      <c r="BQ450" s="56">
        <f t="shared" si="363"/>
        <v>17.775366474636918</v>
      </c>
    </row>
    <row r="451" spans="1:69" x14ac:dyDescent="0.25">
      <c r="A451">
        <f t="shared" si="372"/>
        <v>1185000</v>
      </c>
      <c r="B451">
        <f t="shared" si="351"/>
        <v>1185</v>
      </c>
      <c r="C451">
        <f t="shared" si="320"/>
        <v>9.8789016821097988</v>
      </c>
      <c r="D451">
        <f t="shared" si="321"/>
        <v>1.4693968257977699</v>
      </c>
      <c r="F451">
        <f t="shared" si="322"/>
        <v>1.8252640536886228E-5</v>
      </c>
      <c r="G451">
        <f t="shared" si="323"/>
        <v>1.4533292281815931E-3</v>
      </c>
      <c r="H451">
        <f t="shared" si="324"/>
        <v>-3.1401393207718185</v>
      </c>
      <c r="J451">
        <f t="shared" si="325"/>
        <v>15</v>
      </c>
      <c r="M451">
        <f t="shared" si="326"/>
        <v>1.0736048681645831E-3</v>
      </c>
      <c r="N451">
        <f t="shared" si="327"/>
        <v>-1.5707963250000001</v>
      </c>
      <c r="O451">
        <f t="shared" si="328"/>
        <v>344.28482089130932</v>
      </c>
      <c r="P451">
        <f t="shared" si="329"/>
        <v>1.5678917508583041</v>
      </c>
      <c r="Q451">
        <f t="shared" si="330"/>
        <v>304.01934590760573</v>
      </c>
      <c r="R451">
        <f t="shared" si="331"/>
        <v>1.567507056501148</v>
      </c>
      <c r="S451">
        <f t="shared" si="332"/>
        <v>0.10837412273892823</v>
      </c>
      <c r="T451">
        <f t="shared" si="333"/>
        <v>-1.4622089334876218</v>
      </c>
      <c r="U451">
        <f t="shared" si="334"/>
        <v>0.13337665617341044</v>
      </c>
      <c r="V451">
        <f t="shared" si="335"/>
        <v>-1.4370210241125856</v>
      </c>
      <c r="X451">
        <f t="shared" si="352"/>
        <v>-47.144107770511987</v>
      </c>
      <c r="Y451">
        <f t="shared" si="336"/>
        <v>-172.19501536542771</v>
      </c>
      <c r="Z451">
        <f t="shared" si="353"/>
        <v>7.8049846345722926</v>
      </c>
      <c r="AC451">
        <v>1</v>
      </c>
      <c r="AD451">
        <f t="shared" si="337"/>
        <v>344.28336860232002</v>
      </c>
      <c r="AE451">
        <f t="shared" si="338"/>
        <v>-0.38450812466315182</v>
      </c>
      <c r="AF451">
        <f t="shared" si="339"/>
        <v>5.1746743334475001E-2</v>
      </c>
      <c r="AG451">
        <f t="shared" si="367"/>
        <v>115.80219179069472</v>
      </c>
      <c r="AH451">
        <f t="shared" si="368"/>
        <v>-879.80190952406258</v>
      </c>
      <c r="AJ451">
        <f t="shared" si="340"/>
        <v>18000</v>
      </c>
      <c r="AK451">
        <f t="shared" si="341"/>
        <v>165113.06189716799</v>
      </c>
      <c r="AL451">
        <v>1</v>
      </c>
      <c r="AM451">
        <f t="shared" si="342"/>
        <v>304.01770127097603</v>
      </c>
      <c r="AN451">
        <f t="shared" si="369"/>
        <v>543.29231897925672</v>
      </c>
      <c r="AO451">
        <f t="shared" si="370"/>
        <v>-57.420037083502883</v>
      </c>
      <c r="AQ451">
        <f t="shared" si="343"/>
        <v>1.7803411525323305E-3</v>
      </c>
      <c r="AR451">
        <f t="shared" si="344"/>
        <v>-4.2194085315016236</v>
      </c>
      <c r="AT451">
        <f t="shared" si="365"/>
        <v>-3712.0375156696509</v>
      </c>
      <c r="AU451">
        <f t="shared" si="366"/>
        <v>-490.18310355384682</v>
      </c>
      <c r="AV451">
        <f t="shared" si="354"/>
        <v>-3.0102999859408444</v>
      </c>
      <c r="AW451">
        <f t="shared" si="355"/>
        <v>421.4848000880624</v>
      </c>
      <c r="AX451">
        <f t="shared" si="356"/>
        <v>-3374.4150057048255</v>
      </c>
      <c r="AY451">
        <f t="shared" si="364"/>
        <v>-1.4465338523286975</v>
      </c>
      <c r="BA451">
        <f t="shared" si="345"/>
        <v>1.1010476874166688</v>
      </c>
      <c r="BB451">
        <f t="shared" si="357"/>
        <v>0.83612258167692288</v>
      </c>
      <c r="BC451">
        <f t="shared" si="358"/>
        <v>-1.5637661336121469</v>
      </c>
      <c r="BD451">
        <f t="shared" si="346"/>
        <v>-269.59719970384651</v>
      </c>
      <c r="BF451">
        <f t="shared" si="347"/>
        <v>-50.521364952967581</v>
      </c>
      <c r="BG451">
        <f t="shared" si="348"/>
        <v>-185.32369342840011</v>
      </c>
      <c r="BH451">
        <f t="shared" si="359"/>
        <v>-5.3236934284001052</v>
      </c>
      <c r="BI451">
        <f t="shared" si="360"/>
        <v>-5.3236934284001052</v>
      </c>
      <c r="BJ451">
        <f t="shared" si="349"/>
        <v>0</v>
      </c>
      <c r="BK451">
        <f t="shared" si="361"/>
        <v>0</v>
      </c>
      <c r="BM451">
        <f t="shared" si="362"/>
        <v>-51.357487534644505</v>
      </c>
      <c r="BN451">
        <f t="shared" si="350"/>
        <v>-95.726493724553606</v>
      </c>
      <c r="BQ451" s="56">
        <f t="shared" si="363"/>
        <v>17.73808338196206</v>
      </c>
    </row>
    <row r="452" spans="1:69" x14ac:dyDescent="0.25">
      <c r="A452">
        <f t="shared" si="372"/>
        <v>1190000</v>
      </c>
      <c r="B452">
        <f t="shared" si="351"/>
        <v>1190</v>
      </c>
      <c r="C452">
        <f t="shared" si="320"/>
        <v>9.9201585865134625</v>
      </c>
      <c r="D452">
        <f t="shared" si="321"/>
        <v>1.4698199779344685</v>
      </c>
      <c r="F452">
        <f t="shared" si="322"/>
        <v>1.809957661092896E-5</v>
      </c>
      <c r="G452">
        <f t="shared" si="323"/>
        <v>1.4472225885807327E-3</v>
      </c>
      <c r="H452">
        <f t="shared" si="324"/>
        <v>-3.1401454274114196</v>
      </c>
      <c r="J452">
        <f t="shared" si="325"/>
        <v>15</v>
      </c>
      <c r="M452">
        <f t="shared" si="326"/>
        <v>1.0690939233403622E-3</v>
      </c>
      <c r="N452">
        <f t="shared" si="327"/>
        <v>-1.5707963250000001</v>
      </c>
      <c r="O452">
        <f t="shared" si="328"/>
        <v>345.73748723064028</v>
      </c>
      <c r="P452">
        <f t="shared" si="329"/>
        <v>1.5679039548906697</v>
      </c>
      <c r="Q452">
        <f t="shared" si="330"/>
        <v>305.30211410825297</v>
      </c>
      <c r="R452">
        <f t="shared" si="331"/>
        <v>1.5675208768655096</v>
      </c>
      <c r="S452">
        <f t="shared" si="332"/>
        <v>0.10792408411911102</v>
      </c>
      <c r="T452">
        <f t="shared" si="333"/>
        <v>-1.4626616273033584</v>
      </c>
      <c r="U452">
        <f t="shared" si="334"/>
        <v>0.13282615767084596</v>
      </c>
      <c r="V452">
        <f t="shared" si="335"/>
        <v>-1.4375764646972524</v>
      </c>
      <c r="X452">
        <f t="shared" si="352"/>
        <v>-47.216551691496107</v>
      </c>
      <c r="Y452">
        <f t="shared" si="336"/>
        <v>-172.22739117684426</v>
      </c>
      <c r="Z452">
        <f t="shared" si="353"/>
        <v>7.7726088231557355</v>
      </c>
      <c r="AC452">
        <v>1</v>
      </c>
      <c r="AD452">
        <f t="shared" si="337"/>
        <v>345.73604104368002</v>
      </c>
      <c r="AE452">
        <f t="shared" si="338"/>
        <v>-0.38775976452170363</v>
      </c>
      <c r="AF452">
        <f t="shared" si="339"/>
        <v>5.1965084023650007E-2</v>
      </c>
      <c r="AG452">
        <f t="shared" si="367"/>
        <v>114.8482411309632</v>
      </c>
      <c r="AH452">
        <f t="shared" si="368"/>
        <v>-876.23310521255405</v>
      </c>
      <c r="AJ452">
        <f t="shared" si="340"/>
        <v>18000</v>
      </c>
      <c r="AK452">
        <f t="shared" si="341"/>
        <v>165809.74148323201</v>
      </c>
      <c r="AL452">
        <v>1</v>
      </c>
      <c r="AM452">
        <f t="shared" si="342"/>
        <v>305.30047638182401</v>
      </c>
      <c r="AN452">
        <f t="shared" si="369"/>
        <v>543.29073518182679</v>
      </c>
      <c r="AO452">
        <f t="shared" si="370"/>
        <v>-57.178781611155884</v>
      </c>
      <c r="AQ452">
        <f t="shared" si="343"/>
        <v>1.7654117355038954E-3</v>
      </c>
      <c r="AR452">
        <f t="shared" si="344"/>
        <v>-4.2016799304992709</v>
      </c>
      <c r="AT452">
        <f t="shared" si="365"/>
        <v>-3681.4482981779497</v>
      </c>
      <c r="AU452">
        <f t="shared" si="366"/>
        <v>-484.10246202008824</v>
      </c>
      <c r="AV452">
        <f t="shared" si="354"/>
        <v>-3.0108449953538745</v>
      </c>
      <c r="AW452">
        <f t="shared" si="355"/>
        <v>422.52230714386207</v>
      </c>
      <c r="AX452">
        <f t="shared" si="356"/>
        <v>-3360.3611721891057</v>
      </c>
      <c r="AY452">
        <f t="shared" si="364"/>
        <v>-1.4457155683698542</v>
      </c>
      <c r="BA452">
        <f t="shared" si="345"/>
        <v>1.0963501666821778</v>
      </c>
      <c r="BB452">
        <f t="shared" si="357"/>
        <v>0.79898573934116701</v>
      </c>
      <c r="BC452">
        <f t="shared" si="358"/>
        <v>-1.5651294269840204</v>
      </c>
      <c r="BD452">
        <f t="shared" si="346"/>
        <v>-269.67531066038231</v>
      </c>
      <c r="BF452">
        <f t="shared" si="347"/>
        <v>-50.595448462599215</v>
      </c>
      <c r="BG452">
        <f t="shared" si="348"/>
        <v>-185.37790943805993</v>
      </c>
      <c r="BH452">
        <f t="shared" si="359"/>
        <v>-5.3779094380599304</v>
      </c>
      <c r="BI452">
        <f t="shared" si="360"/>
        <v>-5.3779094380599304</v>
      </c>
      <c r="BJ452">
        <f t="shared" si="349"/>
        <v>0</v>
      </c>
      <c r="BK452">
        <f t="shared" si="361"/>
        <v>0</v>
      </c>
      <c r="BM452">
        <f t="shared" si="362"/>
        <v>-51.394434201940385</v>
      </c>
      <c r="BN452">
        <f t="shared" si="350"/>
        <v>-95.702598777677679</v>
      </c>
      <c r="BQ452" s="56">
        <f t="shared" si="363"/>
        <v>17.700946539626305</v>
      </c>
    </row>
    <row r="453" spans="1:69" x14ac:dyDescent="0.25">
      <c r="A453">
        <f t="shared" si="372"/>
        <v>1195000</v>
      </c>
      <c r="B453">
        <f t="shared" si="351"/>
        <v>1195</v>
      </c>
      <c r="C453">
        <f t="shared" si="320"/>
        <v>9.9614172524844875</v>
      </c>
      <c r="D453">
        <f t="shared" si="321"/>
        <v>1.4702396248829905</v>
      </c>
      <c r="F453">
        <f t="shared" si="322"/>
        <v>1.7948430010785085E-5</v>
      </c>
      <c r="G453">
        <f t="shared" si="323"/>
        <v>1.4411670532393003E-3</v>
      </c>
      <c r="H453">
        <f t="shared" si="324"/>
        <v>-3.1401514829467607</v>
      </c>
      <c r="J453">
        <f t="shared" si="325"/>
        <v>15</v>
      </c>
      <c r="M453">
        <f t="shared" si="326"/>
        <v>1.0646207270083941E-3</v>
      </c>
      <c r="N453">
        <f t="shared" si="327"/>
        <v>-1.5707963250000001</v>
      </c>
      <c r="O453">
        <f t="shared" si="328"/>
        <v>347.19015362103397</v>
      </c>
      <c r="P453">
        <f t="shared" si="329"/>
        <v>1.5679160567980923</v>
      </c>
      <c r="Q453">
        <f t="shared" si="330"/>
        <v>306.58488236672565</v>
      </c>
      <c r="R453">
        <f t="shared" si="331"/>
        <v>1.5675345815795221</v>
      </c>
      <c r="S453">
        <f t="shared" si="332"/>
        <v>0.10747774598503149</v>
      </c>
      <c r="T453">
        <f t="shared" si="333"/>
        <v>-1.4631105768282051</v>
      </c>
      <c r="U453">
        <f t="shared" si="334"/>
        <v>0.13228014443349823</v>
      </c>
      <c r="V453">
        <f t="shared" si="335"/>
        <v>-1.4381273389117517</v>
      </c>
      <c r="X453">
        <f t="shared" si="352"/>
        <v>-47.288697596286404</v>
      </c>
      <c r="Y453">
        <f t="shared" si="336"/>
        <v>-172.25950120449264</v>
      </c>
      <c r="Z453">
        <f t="shared" si="353"/>
        <v>7.7404987955073636</v>
      </c>
      <c r="AC453">
        <v>1</v>
      </c>
      <c r="AD453">
        <f t="shared" si="337"/>
        <v>347.18871348504001</v>
      </c>
      <c r="AE453">
        <f t="shared" si="338"/>
        <v>-0.39102509549544939</v>
      </c>
      <c r="AF453">
        <f t="shared" si="339"/>
        <v>5.2183424712824993E-2</v>
      </c>
      <c r="AG453">
        <f t="shared" si="367"/>
        <v>113.90596030804012</v>
      </c>
      <c r="AH453">
        <f t="shared" si="368"/>
        <v>-872.69260799895301</v>
      </c>
      <c r="AJ453">
        <f t="shared" si="340"/>
        <v>18000</v>
      </c>
      <c r="AK453">
        <f t="shared" si="341"/>
        <v>166506.42106929599</v>
      </c>
      <c r="AL453">
        <v>1</v>
      </c>
      <c r="AM453">
        <f t="shared" si="342"/>
        <v>306.58325149267199</v>
      </c>
      <c r="AN453">
        <f t="shared" si="369"/>
        <v>543.28917122279779</v>
      </c>
      <c r="AO453">
        <f t="shared" si="370"/>
        <v>-56.939544948346452</v>
      </c>
      <c r="AQ453">
        <f t="shared" si="343"/>
        <v>1.7506693246495467E-3</v>
      </c>
      <c r="AR453">
        <f t="shared" si="344"/>
        <v>-4.1840996859124164</v>
      </c>
      <c r="AT453">
        <f t="shared" si="365"/>
        <v>-3651.2334553559008</v>
      </c>
      <c r="AU453">
        <f t="shared" si="366"/>
        <v>-478.12168892709502</v>
      </c>
      <c r="AV453">
        <f t="shared" si="354"/>
        <v>-3.0113855256860278</v>
      </c>
      <c r="AW453">
        <f t="shared" si="355"/>
        <v>423.5465305838797</v>
      </c>
      <c r="AX453">
        <f t="shared" si="356"/>
        <v>-3346.423430955695</v>
      </c>
      <c r="AY453">
        <f t="shared" si="364"/>
        <v>-1.4448988103770293</v>
      </c>
      <c r="BA453">
        <f t="shared" si="345"/>
        <v>1.0916909161085666</v>
      </c>
      <c r="BB453">
        <f t="shared" si="357"/>
        <v>0.76199393167741325</v>
      </c>
      <c r="BC453">
        <f t="shared" si="358"/>
        <v>-1.5664867153089985</v>
      </c>
      <c r="BD453">
        <f t="shared" si="346"/>
        <v>-269.75307755307477</v>
      </c>
      <c r="BF453">
        <f t="shared" si="347"/>
        <v>-50.669228935609574</v>
      </c>
      <c r="BG453">
        <f t="shared" si="348"/>
        <v>-185.43197928830725</v>
      </c>
      <c r="BH453">
        <f t="shared" si="359"/>
        <v>-5.4319792883072466</v>
      </c>
      <c r="BI453">
        <f t="shared" si="360"/>
        <v>-5.4319792883072466</v>
      </c>
      <c r="BJ453">
        <f t="shared" si="349"/>
        <v>0</v>
      </c>
      <c r="BK453">
        <f t="shared" si="361"/>
        <v>0</v>
      </c>
      <c r="BM453">
        <f t="shared" si="362"/>
        <v>-51.431222867286984</v>
      </c>
      <c r="BN453">
        <f t="shared" si="350"/>
        <v>-95.678901735232486</v>
      </c>
      <c r="BQ453" s="56">
        <f t="shared" si="363"/>
        <v>17.663954731962551</v>
      </c>
    </row>
    <row r="454" spans="1:69" x14ac:dyDescent="0.25">
      <c r="A454">
        <f t="shared" si="372"/>
        <v>1200000</v>
      </c>
      <c r="B454">
        <f t="shared" si="351"/>
        <v>1200</v>
      </c>
      <c r="C454">
        <f t="shared" si="320"/>
        <v>10.002677658224735</v>
      </c>
      <c r="D454">
        <f t="shared" si="321"/>
        <v>1.4706558098706428</v>
      </c>
      <c r="F454">
        <f t="shared" si="322"/>
        <v>1.7799168846790848E-5</v>
      </c>
      <c r="G454">
        <f t="shared" si="323"/>
        <v>1.4351619833097831E-3</v>
      </c>
      <c r="H454">
        <f t="shared" si="324"/>
        <v>-3.1401574880166905</v>
      </c>
      <c r="J454">
        <f t="shared" si="325"/>
        <v>15</v>
      </c>
      <c r="M454">
        <f t="shared" si="326"/>
        <v>1.0601848073125259E-3</v>
      </c>
      <c r="N454">
        <f t="shared" si="327"/>
        <v>-1.5707963250000001</v>
      </c>
      <c r="O454">
        <f t="shared" si="328"/>
        <v>348.64282006185209</v>
      </c>
      <c r="P454">
        <f t="shared" si="329"/>
        <v>1.5679280578571195</v>
      </c>
      <c r="Q454">
        <f t="shared" si="330"/>
        <v>307.86765068230096</v>
      </c>
      <c r="R454">
        <f t="shared" si="331"/>
        <v>1.5675481720887945</v>
      </c>
      <c r="S454">
        <f t="shared" si="332"/>
        <v>0.10703506315032128</v>
      </c>
      <c r="T454">
        <f t="shared" si="333"/>
        <v>-1.4635558281463796</v>
      </c>
      <c r="U454">
        <f t="shared" si="334"/>
        <v>0.13173856236272197</v>
      </c>
      <c r="V454">
        <f t="shared" si="335"/>
        <v>-1.4386737025066454</v>
      </c>
      <c r="X454">
        <f t="shared" si="352"/>
        <v>-47.360547903883486</v>
      </c>
      <c r="Y454">
        <f t="shared" si="336"/>
        <v>-172.29134868696889</v>
      </c>
      <c r="Z454">
        <f t="shared" si="353"/>
        <v>7.7086513130311118</v>
      </c>
      <c r="AC454">
        <v>1</v>
      </c>
      <c r="AD454">
        <f t="shared" si="337"/>
        <v>348.64138592640001</v>
      </c>
      <c r="AE454">
        <f t="shared" si="338"/>
        <v>-0.39430411758438905</v>
      </c>
      <c r="AF454">
        <f t="shared" si="339"/>
        <v>5.2401765401999992E-2</v>
      </c>
      <c r="AG454">
        <f t="shared" si="367"/>
        <v>112.97516088181726</v>
      </c>
      <c r="AH454">
        <f t="shared" si="368"/>
        <v>-869.18008908762806</v>
      </c>
      <c r="AJ454">
        <f t="shared" si="340"/>
        <v>18000</v>
      </c>
      <c r="AK454">
        <f t="shared" si="341"/>
        <v>167203.10065536</v>
      </c>
      <c r="AL454">
        <v>1</v>
      </c>
      <c r="AM454">
        <f t="shared" si="342"/>
        <v>307.86602660352003</v>
      </c>
      <c r="AN454">
        <f t="shared" si="369"/>
        <v>543.28762677222483</v>
      </c>
      <c r="AO454">
        <f t="shared" si="370"/>
        <v>-56.702301861027046</v>
      </c>
      <c r="AQ454">
        <f t="shared" si="343"/>
        <v>1.7361108097029845E-3</v>
      </c>
      <c r="AR454">
        <f t="shared" si="344"/>
        <v>-4.1666659432871622</v>
      </c>
      <c r="AT454">
        <f t="shared" si="365"/>
        <v>-3621.3869383866868</v>
      </c>
      <c r="AU454">
        <f t="shared" si="366"/>
        <v>-472.23874823189965</v>
      </c>
      <c r="AV454">
        <f t="shared" si="354"/>
        <v>-3.0119216315967652</v>
      </c>
      <c r="AW454">
        <f t="shared" si="355"/>
        <v>424.55769716113525</v>
      </c>
      <c r="AX454">
        <f t="shared" si="356"/>
        <v>-3332.6003551358476</v>
      </c>
      <c r="AY454">
        <f t="shared" si="364"/>
        <v>-1.4440835602802753</v>
      </c>
      <c r="BA454">
        <f t="shared" si="345"/>
        <v>1.0870694674698542</v>
      </c>
      <c r="BB454">
        <f t="shared" si="357"/>
        <v>0.72514595762003597</v>
      </c>
      <c r="BC454">
        <f t="shared" si="358"/>
        <v>-1.5678380713164899</v>
      </c>
      <c r="BD454">
        <f t="shared" si="346"/>
        <v>-269.83050454901218</v>
      </c>
      <c r="BF454">
        <f t="shared" si="347"/>
        <v>-50.742708930437388</v>
      </c>
      <c r="BG454">
        <f t="shared" si="348"/>
        <v>-185.48590470609128</v>
      </c>
      <c r="BH454">
        <f t="shared" si="359"/>
        <v>-5.4859047060912758</v>
      </c>
      <c r="BI454">
        <f t="shared" si="360"/>
        <v>-5.4859047060912758</v>
      </c>
      <c r="BJ454">
        <f t="shared" si="349"/>
        <v>0</v>
      </c>
      <c r="BK454">
        <f t="shared" si="361"/>
        <v>0</v>
      </c>
      <c r="BM454">
        <f t="shared" si="362"/>
        <v>-51.467854888057431</v>
      </c>
      <c r="BN454">
        <f t="shared" si="350"/>
        <v>-95.655400157079114</v>
      </c>
      <c r="BQ454" s="56">
        <f t="shared" si="363"/>
        <v>17.627106757905175</v>
      </c>
    </row>
    <row r="455" spans="1:69" x14ac:dyDescent="0.25">
      <c r="A455">
        <f t="shared" si="372"/>
        <v>1205000</v>
      </c>
      <c r="B455">
        <f t="shared" si="351"/>
        <v>1205</v>
      </c>
      <c r="C455">
        <f t="shared" si="320"/>
        <v>10.043939782293338</v>
      </c>
      <c r="D455">
        <f t="shared" si="321"/>
        <v>1.4710685754192352</v>
      </c>
      <c r="F455">
        <f t="shared" si="322"/>
        <v>1.7651761889540492E-5</v>
      </c>
      <c r="G455">
        <f t="shared" si="323"/>
        <v>1.4292067505488597E-3</v>
      </c>
      <c r="H455">
        <f t="shared" si="324"/>
        <v>-3.1401634432494512</v>
      </c>
      <c r="J455">
        <f t="shared" si="325"/>
        <v>15</v>
      </c>
      <c r="M455">
        <f t="shared" si="326"/>
        <v>1.0557857002282415E-3</v>
      </c>
      <c r="N455">
        <f t="shared" si="327"/>
        <v>-1.5707963250000001</v>
      </c>
      <c r="O455">
        <f t="shared" si="328"/>
        <v>350.09548655246692</v>
      </c>
      <c r="P455">
        <f t="shared" si="329"/>
        <v>1.5679399593231118</v>
      </c>
      <c r="Q455">
        <f t="shared" si="330"/>
        <v>309.15041905426824</v>
      </c>
      <c r="R455">
        <f t="shared" si="331"/>
        <v>1.5675616498149425</v>
      </c>
      <c r="S455">
        <f t="shared" si="332"/>
        <v>0.10659599115691705</v>
      </c>
      <c r="T455">
        <f t="shared" si="333"/>
        <v>-1.463997426591845</v>
      </c>
      <c r="U455">
        <f t="shared" si="334"/>
        <v>0.13120135821827134</v>
      </c>
      <c r="V455">
        <f t="shared" si="335"/>
        <v>-1.4392156103340077</v>
      </c>
      <c r="X455">
        <f t="shared" si="352"/>
        <v>-47.432105004230436</v>
      </c>
      <c r="Y455">
        <f t="shared" si="336"/>
        <v>-172.32293681080597</v>
      </c>
      <c r="Z455">
        <f t="shared" si="353"/>
        <v>7.6770631891940297</v>
      </c>
      <c r="AC455">
        <v>1</v>
      </c>
      <c r="AD455">
        <f t="shared" si="337"/>
        <v>350.09405836776006</v>
      </c>
      <c r="AE455">
        <f t="shared" si="338"/>
        <v>-0.39759683078852254</v>
      </c>
      <c r="AF455">
        <f t="shared" si="339"/>
        <v>5.2620106091174991E-2</v>
      </c>
      <c r="AG455">
        <f t="shared" si="367"/>
        <v>112.05565817745023</v>
      </c>
      <c r="AH455">
        <f t="shared" si="368"/>
        <v>-865.69522464182114</v>
      </c>
      <c r="AJ455">
        <f t="shared" si="340"/>
        <v>18000</v>
      </c>
      <c r="AK455">
        <f t="shared" si="341"/>
        <v>167899.78024142398</v>
      </c>
      <c r="AL455">
        <v>1</v>
      </c>
      <c r="AM455">
        <f t="shared" si="342"/>
        <v>309.14880171436801</v>
      </c>
      <c r="AN455">
        <f t="shared" si="369"/>
        <v>543.28610150699478</v>
      </c>
      <c r="AO455">
        <f t="shared" si="370"/>
        <v>-56.467027533950443</v>
      </c>
      <c r="AQ455">
        <f t="shared" si="343"/>
        <v>1.7217331447920757E-3</v>
      </c>
      <c r="AR455">
        <f t="shared" si="344"/>
        <v>-4.1493768789489023</v>
      </c>
      <c r="AT455">
        <f t="shared" si="365"/>
        <v>-3591.9028194045031</v>
      </c>
      <c r="AU455">
        <f t="shared" si="366"/>
        <v>-466.45165335846752</v>
      </c>
      <c r="AV455">
        <f t="shared" si="354"/>
        <v>-3.0124533668651665</v>
      </c>
      <c r="AW455">
        <f t="shared" si="355"/>
        <v>425.55602879376829</v>
      </c>
      <c r="AX455">
        <f t="shared" si="356"/>
        <v>-3318.8905410611742</v>
      </c>
      <c r="AY455">
        <f t="shared" si="364"/>
        <v>-1.4432698003438496</v>
      </c>
      <c r="BA455">
        <f t="shared" si="345"/>
        <v>1.082485360112204</v>
      </c>
      <c r="BB455">
        <f t="shared" si="357"/>
        <v>0.68844063047611104</v>
      </c>
      <c r="BC455">
        <f t="shared" si="358"/>
        <v>-1.569183566521317</v>
      </c>
      <c r="BD455">
        <f t="shared" si="346"/>
        <v>-269.90759574569194</v>
      </c>
      <c r="BF455">
        <f t="shared" si="347"/>
        <v>-50.815890973600098</v>
      </c>
      <c r="BG455">
        <f t="shared" si="348"/>
        <v>-185.53968738858484</v>
      </c>
      <c r="BH455">
        <f t="shared" si="359"/>
        <v>-5.5396873885848379</v>
      </c>
      <c r="BI455">
        <f t="shared" si="360"/>
        <v>-5.5396873885848379</v>
      </c>
      <c r="BJ455">
        <f t="shared" si="349"/>
        <v>0</v>
      </c>
      <c r="BK455">
        <f t="shared" si="361"/>
        <v>0</v>
      </c>
      <c r="BM455">
        <f t="shared" si="362"/>
        <v>-51.504331604076214</v>
      </c>
      <c r="BN455">
        <f t="shared" si="350"/>
        <v>-95.632091642892931</v>
      </c>
      <c r="BQ455" s="56">
        <f t="shared" si="363"/>
        <v>17.590401430761247</v>
      </c>
    </row>
    <row r="456" spans="1:69" x14ac:dyDescent="0.25">
      <c r="A456">
        <f t="shared" si="372"/>
        <v>1210000</v>
      </c>
      <c r="B456">
        <f t="shared" si="351"/>
        <v>1210</v>
      </c>
      <c r="C456">
        <f t="shared" si="320"/>
        <v>10.085203603599435</v>
      </c>
      <c r="D456">
        <f t="shared" si="321"/>
        <v>1.471477963359366</v>
      </c>
      <c r="F456">
        <f t="shared" si="322"/>
        <v>1.7506178553549507E-5</v>
      </c>
      <c r="G456">
        <f t="shared" si="323"/>
        <v>1.4233007370982819E-3</v>
      </c>
      <c r="H456">
        <f t="shared" si="324"/>
        <v>-3.1401693492629019</v>
      </c>
      <c r="J456">
        <f t="shared" si="325"/>
        <v>15</v>
      </c>
      <c r="M456">
        <f t="shared" si="326"/>
        <v>1.0514229494008522E-3</v>
      </c>
      <c r="N456">
        <f t="shared" si="327"/>
        <v>-1.5707963250000001</v>
      </c>
      <c r="O456">
        <f t="shared" si="328"/>
        <v>351.54815309226115</v>
      </c>
      <c r="P456">
        <f t="shared" si="329"/>
        <v>1.5679517624306802</v>
      </c>
      <c r="Q456">
        <f t="shared" si="330"/>
        <v>310.43318748192826</v>
      </c>
      <c r="R456">
        <f t="shared" si="331"/>
        <v>1.5675750161560849</v>
      </c>
      <c r="S456">
        <f t="shared" si="332"/>
        <v>0.10616048626053606</v>
      </c>
      <c r="T456">
        <f t="shared" si="333"/>
        <v>-1.4644354167634568</v>
      </c>
      <c r="U456">
        <f t="shared" si="334"/>
        <v>0.13066847960150824</v>
      </c>
      <c r="V456">
        <f t="shared" si="335"/>
        <v>-1.4397531163653441</v>
      </c>
      <c r="X456">
        <f t="shared" si="352"/>
        <v>-47.503371258671947</v>
      </c>
      <c r="Y456">
        <f t="shared" si="336"/>
        <v>-172.35426871150938</v>
      </c>
      <c r="Z456">
        <f t="shared" si="353"/>
        <v>7.645731288490623</v>
      </c>
      <c r="AC456">
        <v>1</v>
      </c>
      <c r="AD456">
        <f t="shared" si="337"/>
        <v>351.54673080911999</v>
      </c>
      <c r="AE456">
        <f t="shared" si="338"/>
        <v>-0.40090323510784998</v>
      </c>
      <c r="AF456">
        <f t="shared" si="339"/>
        <v>5.2838446780349997E-2</v>
      </c>
      <c r="AG456">
        <f t="shared" si="367"/>
        <v>111.14727119599655</v>
      </c>
      <c r="AH456">
        <f t="shared" si="368"/>
        <v>-862.23769569296906</v>
      </c>
      <c r="AJ456">
        <f t="shared" si="340"/>
        <v>18000</v>
      </c>
      <c r="AK456">
        <f t="shared" si="341"/>
        <v>168596.459827488</v>
      </c>
      <c r="AL456">
        <v>1</v>
      </c>
      <c r="AM456">
        <f t="shared" si="342"/>
        <v>310.43157682521604</v>
      </c>
      <c r="AN456">
        <f t="shared" si="369"/>
        <v>543.28459511065614</v>
      </c>
      <c r="AO456">
        <f t="shared" si="370"/>
        <v>-56.233697562017326</v>
      </c>
      <c r="AQ456">
        <f t="shared" si="343"/>
        <v>1.7075333468456139E-3</v>
      </c>
      <c r="AR456">
        <f t="shared" si="344"/>
        <v>-4.132230699366386</v>
      </c>
      <c r="AT456">
        <f t="shared" si="365"/>
        <v>-3562.7752886214403</v>
      </c>
      <c r="AU456">
        <f t="shared" si="366"/>
        <v>-460.75846580520124</v>
      </c>
      <c r="AV456">
        <f t="shared" si="354"/>
        <v>-3.012980784407481</v>
      </c>
      <c r="AW456">
        <f t="shared" si="355"/>
        <v>426.54174268857412</v>
      </c>
      <c r="AX456">
        <f t="shared" si="356"/>
        <v>-3305.292607795659</v>
      </c>
      <c r="AY456">
        <f t="shared" si="364"/>
        <v>-1.4424575131586699</v>
      </c>
      <c r="BA456">
        <f t="shared" si="345"/>
        <v>1.0779381408024398</v>
      </c>
      <c r="BB456">
        <f t="shared" si="357"/>
        <v>0.65187677770105579</v>
      </c>
      <c r="BC456">
        <f t="shared" si="358"/>
        <v>-1.5705232712488111</v>
      </c>
      <c r="BD456">
        <f t="shared" si="346"/>
        <v>-269.98435517245878</v>
      </c>
      <c r="BF456">
        <f t="shared" si="347"/>
        <v>-50.888777560221321</v>
      </c>
      <c r="BG456">
        <f t="shared" si="348"/>
        <v>-185.59332900381673</v>
      </c>
      <c r="BH456">
        <f t="shared" si="359"/>
        <v>-5.5933290038167343</v>
      </c>
      <c r="BI456">
        <f t="shared" si="360"/>
        <v>-5.5933290038167343</v>
      </c>
      <c r="BJ456">
        <f t="shared" si="349"/>
        <v>0</v>
      </c>
      <c r="BK456">
        <f t="shared" si="361"/>
        <v>0</v>
      </c>
      <c r="BM456">
        <f t="shared" si="362"/>
        <v>-51.540654337922376</v>
      </c>
      <c r="BN456">
        <f t="shared" si="350"/>
        <v>-95.608973831357943</v>
      </c>
      <c r="BQ456" s="56">
        <f t="shared" si="363"/>
        <v>17.553837577986194</v>
      </c>
    </row>
    <row r="457" spans="1:69" x14ac:dyDescent="0.25">
      <c r="A457">
        <f t="shared" si="372"/>
        <v>1215000</v>
      </c>
      <c r="B457">
        <f t="shared" si="351"/>
        <v>1215</v>
      </c>
      <c r="C457">
        <f t="shared" ref="C457:C520" si="373">SQRT((A457/Fesr)^2+1)</f>
        <v>10.126469101395077</v>
      </c>
      <c r="D457">
        <f t="shared" ref="D457:D520" si="374">ATAN(A457/Fesr)</f>
        <v>1.4718840148443639</v>
      </c>
      <c r="F457">
        <f t="shared" ref="F457:F520" si="375">(Ro/(Ro+Rdcr))/SQRT((A457/(Q*Fo))^2+(1-(A457^2/Fo^2))^2)</f>
        <v>1.7362388881387535E-5</v>
      </c>
      <c r="G457">
        <f t="shared" ref="G457:G520" si="376">-ATAN(A457*Fo/(Q*(Fo^2-A457^2)))</f>
        <v>1.4174433352711683E-3</v>
      </c>
      <c r="H457">
        <f t="shared" ref="H457:H520" si="377">IF(G457&gt;0,G457-Pi,G457)</f>
        <v>-3.140175206664729</v>
      </c>
      <c r="J457">
        <f t="shared" ref="J457:J520" si="378">Vin/Vramp</f>
        <v>15</v>
      </c>
      <c r="M457">
        <f t="shared" ref="M457:M520" si="379">1/(2*Pi*_Rfb1*(Cc1ea_u+Cc2ea_u)*A457)</f>
        <v>1.0470961059876798E-3</v>
      </c>
      <c r="N457">
        <f t="shared" ref="N457:N520" si="380">-Pi/2</f>
        <v>-1.5707963250000001</v>
      </c>
      <c r="O457">
        <f t="shared" ref="O457:O520" si="381">SQRT(1+(A457/Fz1_u)^2)</f>
        <v>353.00081968062761</v>
      </c>
      <c r="P457">
        <f t="shared" ref="P457:P520" si="382">ATAN2(Fz1_u,A457)</f>
        <v>1.5679634683941133</v>
      </c>
      <c r="Q457">
        <f t="shared" ref="Q457:Q520" si="383">SQRT(1+(A457/Fz2_u)^2)</f>
        <v>311.71595596459349</v>
      </c>
      <c r="R457">
        <f t="shared" ref="R457:R520" si="384">ATAN2(Fz2_u,A457)</f>
        <v>1.5675882724873258</v>
      </c>
      <c r="S457">
        <f t="shared" ref="S457:S520" si="385">1/SQRT(1+(A457/Fp1_u)^2)</f>
        <v>0.10572850541649605</v>
      </c>
      <c r="T457">
        <f t="shared" ref="T457:T520" si="386">-ATAN2(Fp1_u,A457)</f>
        <v>-1.4648698425397457</v>
      </c>
      <c r="U457">
        <f t="shared" ref="U457:U520" si="387">1/SQRT(1+(A457/Fp2_u)^2)</f>
        <v>0.13013987493899937</v>
      </c>
      <c r="V457">
        <f t="shared" ref="V457:V520" si="388">-ATAN2(Fp2_u,A457)</f>
        <v>-1.4402862737090845</v>
      </c>
      <c r="X457">
        <f t="shared" si="352"/>
        <v>-47.574349000404453</v>
      </c>
      <c r="Y457">
        <f t="shared" ref="Y457:Y520" si="389">(180/Pi)*(D457+H457+N457+P457+R457+T457+V457)</f>
        <v>-172.38534747456711</v>
      </c>
      <c r="Z457">
        <f t="shared" si="353"/>
        <v>7.6146525254328878</v>
      </c>
      <c r="AC457">
        <v>1</v>
      </c>
      <c r="AD457">
        <f t="shared" ref="AD457:AD520" si="390">Rcea1_u*Cc1ea_u*A457*2*Pi</f>
        <v>352.99940325047999</v>
      </c>
      <c r="AE457">
        <f t="shared" ref="AE457:AE520" si="391">-Rcea1_u*Cc1ea_u*Cc2ea_u*(A457*2*Pi)^2</f>
        <v>-0.40422333054237131</v>
      </c>
      <c r="AF457">
        <f t="shared" ref="AF457:AF520" si="392">(Cc2ea_u+Cc1ea_u)*A457*2*Pi</f>
        <v>5.3056787469524996E-2</v>
      </c>
      <c r="AG457">
        <f t="shared" si="367"/>
        <v>110.2498225275024</v>
      </c>
      <c r="AH457">
        <f t="shared" si="368"/>
        <v>-858.80718805194408</v>
      </c>
      <c r="AJ457">
        <f t="shared" ref="AJ457:AJ520" si="393">_Rfb1</f>
        <v>18000</v>
      </c>
      <c r="AK457">
        <f t="shared" ref="AK457:AK520" si="394">_Rfb1*Rcea2_u*Cc3ea_u*A457*2*Pi</f>
        <v>169293.13941355198</v>
      </c>
      <c r="AL457">
        <v>1</v>
      </c>
      <c r="AM457">
        <f t="shared" ref="AM457:AM520" si="395">(_Rfb1+Rcea2_u)*Cc3ea_u*A457*2*Pi</f>
        <v>311.71435193606396</v>
      </c>
      <c r="AN457">
        <f t="shared" si="369"/>
        <v>543.28310727325504</v>
      </c>
      <c r="AO457">
        <f t="shared" si="370"/>
        <v>-56.002287941837565</v>
      </c>
      <c r="AQ457">
        <f t="shared" ref="AQ457:AQ520" si="396">Eadcg/(1+(Eadcg*A457/GBP)^2)</f>
        <v>1.6935084940458782E-3</v>
      </c>
      <c r="AR457">
        <f t="shared" ref="AR457:AR520" si="397">-(A457*Eadcg*Eadcg/GBP)/(1+(Eadcg*A457/GBP)^2)</f>
        <v>-4.1152256405314835</v>
      </c>
      <c r="AT457">
        <f t="shared" si="365"/>
        <v>-3533.9986515331866</v>
      </c>
      <c r="AU457">
        <f t="shared" si="366"/>
        <v>-455.15729379693704</v>
      </c>
      <c r="AV457">
        <f t="shared" si="354"/>
        <v>-3.0135039362942502</v>
      </c>
      <c r="AW457">
        <f t="shared" si="355"/>
        <v>427.51505146086549</v>
      </c>
      <c r="AX457">
        <f t="shared" si="356"/>
        <v>-3291.8051966789189</v>
      </c>
      <c r="AY457">
        <f t="shared" si="364"/>
        <v>-1.4416466816349742</v>
      </c>
      <c r="BA457">
        <f t="shared" ref="BA457:BA520" si="398">SQRT(AT457^2+AU457^2)/SQRT(AW457^2+AX457^2)</f>
        <v>1.0734273635801583</v>
      </c>
      <c r="BB457">
        <f t="shared" si="357"/>
        <v>0.61545324067854568</v>
      </c>
      <c r="BC457">
        <f t="shared" si="358"/>
        <v>-1.5718572546592759</v>
      </c>
      <c r="BD457">
        <f t="shared" ref="BD457:BD520" si="399">BC457*180/Pi-180</f>
        <v>-270.06078679190625</v>
      </c>
      <c r="BF457">
        <f t="shared" ref="BF457:BF520" si="400">20*LOG(BA457*J457*F457*C457)</f>
        <v>-50.96137115454745</v>
      </c>
      <c r="BG457">
        <f t="shared" ref="BG457:BG520" si="401">(180/Pi)*(D457+H457+BC457)</f>
        <v>-185.64683119128617</v>
      </c>
      <c r="BH457">
        <f t="shared" si="359"/>
        <v>-5.646831191286168</v>
      </c>
      <c r="BI457">
        <f t="shared" si="360"/>
        <v>-5.646831191286168</v>
      </c>
      <c r="BJ457">
        <f t="shared" ref="BJ457:BJ520" si="402">SUM((BF458&lt;0)*(BF457&gt;0))*A457</f>
        <v>0</v>
      </c>
      <c r="BK457">
        <f t="shared" si="361"/>
        <v>0</v>
      </c>
      <c r="BM457">
        <f t="shared" si="362"/>
        <v>-51.576824395225998</v>
      </c>
      <c r="BN457">
        <f t="shared" ref="BN457:BN520" si="403">(H457+D457)*180/Pi</f>
        <v>-95.586044399379944</v>
      </c>
      <c r="BQ457" s="56">
        <f t="shared" si="363"/>
        <v>17.517414040963683</v>
      </c>
    </row>
    <row r="458" spans="1:69" x14ac:dyDescent="0.25">
      <c r="A458">
        <f t="shared" si="372"/>
        <v>1220000</v>
      </c>
      <c r="B458">
        <f t="shared" ref="B458:B521" si="404">A458/1000</f>
        <v>1220</v>
      </c>
      <c r="C458">
        <f t="shared" si="373"/>
        <v>10.167736255268288</v>
      </c>
      <c r="D458">
        <f t="shared" si="374"/>
        <v>1.4722867703638933</v>
      </c>
      <c r="F458">
        <f t="shared" si="375"/>
        <v>1.7220363528265559E-5</v>
      </c>
      <c r="G458">
        <f t="shared" si="376"/>
        <v>1.4116339473435552E-3</v>
      </c>
      <c r="H458">
        <f t="shared" si="377"/>
        <v>-3.1401810160526566</v>
      </c>
      <c r="J458">
        <f t="shared" si="378"/>
        <v>15</v>
      </c>
      <c r="M458">
        <f t="shared" si="379"/>
        <v>1.0428047285041238E-3</v>
      </c>
      <c r="N458">
        <f t="shared" si="380"/>
        <v>-1.5707963250000001</v>
      </c>
      <c r="O458">
        <f t="shared" si="381"/>
        <v>354.45348631696919</v>
      </c>
      <c r="P458">
        <f t="shared" si="382"/>
        <v>1.567975078407793</v>
      </c>
      <c r="Q458">
        <f t="shared" si="383"/>
        <v>312.99872450158773</v>
      </c>
      <c r="R458">
        <f t="shared" si="384"/>
        <v>1.5676014201612276</v>
      </c>
      <c r="S458">
        <f t="shared" si="385"/>
        <v>0.10530000626586974</v>
      </c>
      <c r="T458">
        <f t="shared" si="386"/>
        <v>-1.4653007470933457</v>
      </c>
      <c r="U458">
        <f t="shared" si="387"/>
        <v>0.12961549346649109</v>
      </c>
      <c r="V458">
        <f t="shared" si="388"/>
        <v>-1.4408151346276654</v>
      </c>
      <c r="X458">
        <f t="shared" ref="X458:X521" si="405">20*LOG(C458*J458*O458*Q458*F458*M458*S458*U458)</f>
        <v>-47.645040534917591</v>
      </c>
      <c r="Y458">
        <f t="shared" si="389"/>
        <v>-172.41617613643692</v>
      </c>
      <c r="Z458">
        <f t="shared" ref="Z458:Z521" si="406">Y458+180</f>
        <v>7.583823863563083</v>
      </c>
      <c r="AC458">
        <v>1</v>
      </c>
      <c r="AD458">
        <f t="shared" si="390"/>
        <v>354.45207569183998</v>
      </c>
      <c r="AE458">
        <f t="shared" si="391"/>
        <v>-0.40755711709208658</v>
      </c>
      <c r="AF458">
        <f t="shared" si="392"/>
        <v>5.3275128158699996E-2</v>
      </c>
      <c r="AG458">
        <f t="shared" si="367"/>
        <v>109.36313826646199</v>
      </c>
      <c r="AH458">
        <f t="shared" si="368"/>
        <v>-855.40339222216392</v>
      </c>
      <c r="AJ458">
        <f t="shared" si="393"/>
        <v>18000</v>
      </c>
      <c r="AK458">
        <f t="shared" si="394"/>
        <v>169989.81899961599</v>
      </c>
      <c r="AL458">
        <v>1</v>
      </c>
      <c r="AM458">
        <f t="shared" si="395"/>
        <v>312.997127046912</v>
      </c>
      <c r="AN458">
        <f t="shared" si="369"/>
        <v>543.28163769117623</v>
      </c>
      <c r="AO458">
        <f t="shared" si="370"/>
        <v>-55.772775063498933</v>
      </c>
      <c r="AQ458">
        <f t="shared" si="396"/>
        <v>1.6796557243254965E-3</v>
      </c>
      <c r="AR458">
        <f t="shared" si="397"/>
        <v>-4.0983599673542113</v>
      </c>
      <c r="AT458">
        <f t="shared" si="365"/>
        <v>-3505.5673262010901</v>
      </c>
      <c r="AU458">
        <f t="shared" si="366"/>
        <v>-449.64629097984465</v>
      </c>
      <c r="AV458">
        <f t="shared" ref="AV458:AV521" si="407">ATAN2(AT458,AU458)</f>
        <v>-3.0140228737670376</v>
      </c>
      <c r="AW458">
        <f t="shared" ref="AW458:AW521" si="408">AG458-AH458*AO458/_Rfb2+AG458*AN458/_Rfb2+AN458-AO458*AR458+AQ458*AN458</f>
        <v>428.4761632507844</v>
      </c>
      <c r="AX458">
        <f t="shared" ref="AX458:AX521" si="409">AH458+AH458*AN458/_Rfb2+AG458*AO458/_Rfb2+AO458+AO458*AQ458+AN458*AR458</f>
        <v>-3278.4269708804068</v>
      </c>
      <c r="AY458">
        <f t="shared" si="364"/>
        <v>-1.4408372889951773</v>
      </c>
      <c r="BA458">
        <f t="shared" si="398"/>
        <v>1.0689525896133369</v>
      </c>
      <c r="BB458">
        <f t="shared" ref="BB458:BB521" si="410">20*LOG(BA458)</f>
        <v>0.57916887450459253</v>
      </c>
      <c r="BC458">
        <f t="shared" ref="BC458:BC521" si="411">AV458-AY458</f>
        <v>-1.5731855847718603</v>
      </c>
      <c r="BD458">
        <f t="shared" si="399"/>
        <v>-270.1368945012444</v>
      </c>
      <c r="BF458">
        <f t="shared" si="400"/>
        <v>-51.033674190453809</v>
      </c>
      <c r="BG458">
        <f t="shared" si="401"/>
        <v>-185.70019556256355</v>
      </c>
      <c r="BH458">
        <f t="shared" ref="BH458:BH521" si="412">IF(BG458&gt;180,BG458-180,BG458+180)</f>
        <v>-5.7001955625635503</v>
      </c>
      <c r="BI458">
        <f t="shared" ref="BI458:BI521" si="413">IF(BH458&gt;180,BH458-360,BH458)</f>
        <v>-5.7001955625635503</v>
      </c>
      <c r="BJ458">
        <f t="shared" si="402"/>
        <v>0</v>
      </c>
      <c r="BK458">
        <f t="shared" ref="BK458:BK521" si="414">IF(BJ458&gt;0,BI458,0)</f>
        <v>0</v>
      </c>
      <c r="BM458">
        <f t="shared" ref="BM458:BM521" si="415">20*LOG(J458*F458*C458)</f>
        <v>-51.612843064958405</v>
      </c>
      <c r="BN458">
        <f t="shared" si="403"/>
        <v>-95.563301061319123</v>
      </c>
      <c r="BQ458" s="56">
        <f t="shared" ref="BQ458:BQ521" si="416">20*LOG(BA458*7)</f>
        <v>17.481129674789727</v>
      </c>
    </row>
    <row r="459" spans="1:69" x14ac:dyDescent="0.25">
      <c r="A459">
        <f t="shared" si="372"/>
        <v>1225000</v>
      </c>
      <c r="B459">
        <f t="shared" si="404"/>
        <v>1225</v>
      </c>
      <c r="C459">
        <f t="shared" si="373"/>
        <v>10.209005045136328</v>
      </c>
      <c r="D459">
        <f t="shared" si="374"/>
        <v>1.4726862697572352</v>
      </c>
      <c r="F459">
        <f t="shared" si="375"/>
        <v>1.7080073747062563E-5</v>
      </c>
      <c r="G459">
        <f t="shared" si="376"/>
        <v>1.4058719853510498E-3</v>
      </c>
      <c r="H459">
        <f t="shared" si="377"/>
        <v>-3.1401867780146491</v>
      </c>
      <c r="J459">
        <f t="shared" si="378"/>
        <v>15</v>
      </c>
      <c r="M459">
        <f t="shared" si="379"/>
        <v>1.0385483826734947E-3</v>
      </c>
      <c r="N459">
        <f t="shared" si="380"/>
        <v>-1.5707963250000001</v>
      </c>
      <c r="O459">
        <f t="shared" si="381"/>
        <v>355.90615300069834</v>
      </c>
      <c r="P459">
        <f t="shared" si="382"/>
        <v>1.5679865936466024</v>
      </c>
      <c r="Q459">
        <f t="shared" si="383"/>
        <v>314.28149309224563</v>
      </c>
      <c r="R459">
        <f t="shared" si="384"/>
        <v>1.5676144605082702</v>
      </c>
      <c r="S459">
        <f t="shared" si="385"/>
        <v>0.10487494712196449</v>
      </c>
      <c r="T459">
        <f t="shared" si="386"/>
        <v>-1.4657281729050784</v>
      </c>
      <c r="U459">
        <f t="shared" si="387"/>
        <v>0.12909528521325281</v>
      </c>
      <c r="V459">
        <f t="shared" si="388"/>
        <v>-1.4413397505542096</v>
      </c>
      <c r="X459">
        <f t="shared" si="405"/>
        <v>-47.715448140427128</v>
      </c>
      <c r="Y459">
        <f t="shared" si="389"/>
        <v>-172.44675768551002</v>
      </c>
      <c r="Z459">
        <f t="shared" si="406"/>
        <v>7.5532423144899781</v>
      </c>
      <c r="AC459">
        <v>1</v>
      </c>
      <c r="AD459">
        <f t="shared" si="390"/>
        <v>355.90474813320003</v>
      </c>
      <c r="AE459">
        <f t="shared" si="391"/>
        <v>-0.4109045947569957</v>
      </c>
      <c r="AF459">
        <f t="shared" si="392"/>
        <v>5.3493468847874995E-2</v>
      </c>
      <c r="AG459">
        <f t="shared" si="367"/>
        <v>108.48704792957666</v>
      </c>
      <c r="AH459">
        <f t="shared" si="368"/>
        <v>-852.02600331453414</v>
      </c>
      <c r="AJ459">
        <f t="shared" si="393"/>
        <v>18000</v>
      </c>
      <c r="AK459">
        <f t="shared" si="394"/>
        <v>170686.49858568</v>
      </c>
      <c r="AL459">
        <v>1</v>
      </c>
      <c r="AM459">
        <f t="shared" si="395"/>
        <v>314.27990215776003</v>
      </c>
      <c r="AN459">
        <f t="shared" si="369"/>
        <v>543.28018606698754</v>
      </c>
      <c r="AO459">
        <f t="shared" si="370"/>
        <v>-55.545135702537564</v>
      </c>
      <c r="AQ459">
        <f t="shared" si="396"/>
        <v>1.6659722339071664E-3</v>
      </c>
      <c r="AR459">
        <f t="shared" si="397"/>
        <v>-4.0816319730725574</v>
      </c>
      <c r="AT459">
        <f t="shared" si="365"/>
        <v>-3477.4758406082378</v>
      </c>
      <c r="AU459">
        <f t="shared" si="366"/>
        <v>-444.223655157704</v>
      </c>
      <c r="AV459">
        <f t="shared" si="407"/>
        <v>-3.0145376472547603</v>
      </c>
      <c r="AW459">
        <f t="shared" si="408"/>
        <v>429.42528183618157</v>
      </c>
      <c r="AX459">
        <f t="shared" si="409"/>
        <v>-3265.1566149642294</v>
      </c>
      <c r="AY459">
        <f t="shared" ref="AY459:AY522" si="417">ATAN2(AW459,AX459)</f>
        <v>-1.440029318766918</v>
      </c>
      <c r="BA459">
        <f t="shared" si="398"/>
        <v>1.0645133870573513</v>
      </c>
      <c r="BB459">
        <f t="shared" si="410"/>
        <v>0.54302254777577452</v>
      </c>
      <c r="BC459">
        <f t="shared" si="411"/>
        <v>-1.5745083284878423</v>
      </c>
      <c r="BD459">
        <f t="shared" si="399"/>
        <v>-270.21268213363425</v>
      </c>
      <c r="BF459">
        <f t="shared" si="400"/>
        <v>-51.105689071940333</v>
      </c>
      <c r="BG459">
        <f t="shared" si="401"/>
        <v>-185.75342370187494</v>
      </c>
      <c r="BH459">
        <f t="shared" si="412"/>
        <v>-5.7534237018749366</v>
      </c>
      <c r="BI459">
        <f t="shared" si="413"/>
        <v>-5.7534237018749366</v>
      </c>
      <c r="BJ459">
        <f t="shared" si="402"/>
        <v>0</v>
      </c>
      <c r="BK459">
        <f t="shared" si="414"/>
        <v>0</v>
      </c>
      <c r="BM459">
        <f t="shared" si="415"/>
        <v>-51.648711619716103</v>
      </c>
      <c r="BN459">
        <f t="shared" si="403"/>
        <v>-95.540741568240719</v>
      </c>
      <c r="BQ459" s="56">
        <f t="shared" si="416"/>
        <v>17.444983348060912</v>
      </c>
    </row>
    <row r="460" spans="1:69" x14ac:dyDescent="0.25">
      <c r="A460">
        <f t="shared" si="372"/>
        <v>1230000</v>
      </c>
      <c r="B460">
        <f t="shared" si="404"/>
        <v>1230</v>
      </c>
      <c r="C460">
        <f t="shared" si="373"/>
        <v>10.250275451239087</v>
      </c>
      <c r="D460">
        <f t="shared" si="374"/>
        <v>1.4730825522262507</v>
      </c>
      <c r="F460">
        <f t="shared" si="375"/>
        <v>1.6941491373777444E-5</v>
      </c>
      <c r="G460">
        <f t="shared" si="376"/>
        <v>1.4001568708904449E-3</v>
      </c>
      <c r="H460">
        <f t="shared" si="377"/>
        <v>-3.1401924931291099</v>
      </c>
      <c r="J460">
        <f t="shared" si="378"/>
        <v>15</v>
      </c>
      <c r="M460">
        <f t="shared" si="379"/>
        <v>1.034326641280513E-3</v>
      </c>
      <c r="N460">
        <f t="shared" si="380"/>
        <v>-1.5707963250000001</v>
      </c>
      <c r="O460">
        <f t="shared" si="381"/>
        <v>357.35881973123725</v>
      </c>
      <c r="P460">
        <f t="shared" si="382"/>
        <v>1.56799801526632</v>
      </c>
      <c r="Q460">
        <f t="shared" si="383"/>
        <v>315.56426173591285</v>
      </c>
      <c r="R460">
        <f t="shared" si="384"/>
        <v>1.5676273948373003</v>
      </c>
      <c r="S460">
        <f t="shared" si="385"/>
        <v>0.10445328695711885</v>
      </c>
      <c r="T460">
        <f t="shared" si="386"/>
        <v>-1.4661521617777027</v>
      </c>
      <c r="U460">
        <f t="shared" si="387"/>
        <v>0.12857920098677864</v>
      </c>
      <c r="V460">
        <f t="shared" si="388"/>
        <v>-1.4418601721088145</v>
      </c>
      <c r="X460">
        <f t="shared" si="405"/>
        <v>-47.785574068299411</v>
      </c>
      <c r="Y460">
        <f t="shared" si="389"/>
        <v>-172.47709506305219</v>
      </c>
      <c r="Z460">
        <f t="shared" si="406"/>
        <v>7.5229049369478105</v>
      </c>
      <c r="AC460">
        <v>1</v>
      </c>
      <c r="AD460">
        <f t="shared" si="390"/>
        <v>357.35742057456002</v>
      </c>
      <c r="AE460">
        <f t="shared" si="391"/>
        <v>-0.41426576353709876</v>
      </c>
      <c r="AF460">
        <f t="shared" si="392"/>
        <v>5.3711809537049994E-2</v>
      </c>
      <c r="AG460">
        <f t="shared" si="367"/>
        <v>107.62138437574261</v>
      </c>
      <c r="AH460">
        <f t="shared" si="368"/>
        <v>-848.67472096417089</v>
      </c>
      <c r="AJ460">
        <f t="shared" si="393"/>
        <v>18000</v>
      </c>
      <c r="AK460">
        <f t="shared" si="394"/>
        <v>171383.17817174399</v>
      </c>
      <c r="AL460">
        <v>1</v>
      </c>
      <c r="AM460">
        <f t="shared" si="395"/>
        <v>315.56267726860801</v>
      </c>
      <c r="AN460">
        <f t="shared" si="369"/>
        <v>543.27875210929039</v>
      </c>
      <c r="AO460">
        <f t="shared" si="370"/>
        <v>-55.319347012104004</v>
      </c>
      <c r="AQ460">
        <f t="shared" si="396"/>
        <v>1.6524552758848444E-3</v>
      </c>
      <c r="AR460">
        <f t="shared" si="397"/>
        <v>-4.0650399786767171</v>
      </c>
      <c r="AT460">
        <f t="shared" si="365"/>
        <v>-3449.7188300872526</v>
      </c>
      <c r="AU460">
        <f t="shared" si="366"/>
        <v>-438.88762706809484</v>
      </c>
      <c r="AV460">
        <f t="shared" si="407"/>
        <v>-3.0150483063896378</v>
      </c>
      <c r="AW460">
        <f t="shared" si="408"/>
        <v>430.36260674218306</v>
      </c>
      <c r="AX460">
        <f t="shared" si="409"/>
        <v>-3251.9928344643122</v>
      </c>
      <c r="AY460">
        <f t="shared" si="417"/>
        <v>-1.4392227547762904</v>
      </c>
      <c r="BA460">
        <f t="shared" si="398"/>
        <v>1.0601093309172955</v>
      </c>
      <c r="BB460">
        <f t="shared" si="410"/>
        <v>0.50701314238139927</v>
      </c>
      <c r="BC460">
        <f t="shared" si="411"/>
        <v>-1.5758255516133475</v>
      </c>
      <c r="BD460">
        <f t="shared" si="399"/>
        <v>-270.28815345948897</v>
      </c>
      <c r="BF460">
        <f t="shared" si="400"/>
        <v>-51.177418173617291</v>
      </c>
      <c r="BG460">
        <f t="shared" si="401"/>
        <v>-185.80651716667248</v>
      </c>
      <c r="BH460">
        <f t="shared" si="412"/>
        <v>-5.806517166672478</v>
      </c>
      <c r="BI460">
        <f t="shared" si="413"/>
        <v>-5.806517166672478</v>
      </c>
      <c r="BJ460">
        <f t="shared" si="402"/>
        <v>0</v>
      </c>
      <c r="BK460">
        <f t="shared" si="414"/>
        <v>0</v>
      </c>
      <c r="BM460">
        <f t="shared" si="415"/>
        <v>-51.684431315998687</v>
      </c>
      <c r="BN460">
        <f t="shared" si="403"/>
        <v>-95.518363707183553</v>
      </c>
      <c r="BQ460" s="56">
        <f t="shared" si="416"/>
        <v>17.408973942666535</v>
      </c>
    </row>
    <row r="461" spans="1:69" x14ac:dyDescent="0.25">
      <c r="A461">
        <f t="shared" si="372"/>
        <v>1235000</v>
      </c>
      <c r="B461">
        <f t="shared" si="404"/>
        <v>1235</v>
      </c>
      <c r="C461">
        <f t="shared" si="373"/>
        <v>10.291547454132646</v>
      </c>
      <c r="D461">
        <f t="shared" si="374"/>
        <v>1.4734756563480376</v>
      </c>
      <c r="F461">
        <f t="shared" si="375"/>
        <v>1.6804588813392352E-5</v>
      </c>
      <c r="G461">
        <f t="shared" si="376"/>
        <v>1.3944880349261557E-3</v>
      </c>
      <c r="H461">
        <f t="shared" si="377"/>
        <v>-3.1401981619650741</v>
      </c>
      <c r="J461">
        <f t="shared" si="378"/>
        <v>15</v>
      </c>
      <c r="M461">
        <f t="shared" si="379"/>
        <v>1.0301390840283652E-3</v>
      </c>
      <c r="N461">
        <f t="shared" si="380"/>
        <v>-1.5707963250000001</v>
      </c>
      <c r="O461">
        <f t="shared" si="381"/>
        <v>358.81148650801737</v>
      </c>
      <c r="P461">
        <f t="shared" si="382"/>
        <v>1.5680093444040082</v>
      </c>
      <c r="Q461">
        <f t="shared" si="383"/>
        <v>316.84703043194543</v>
      </c>
      <c r="R461">
        <f t="shared" si="384"/>
        <v>1.5676402244359686</v>
      </c>
      <c r="S461">
        <f t="shared" si="385"/>
        <v>0.10403498538980709</v>
      </c>
      <c r="T461">
        <f t="shared" si="386"/>
        <v>-1.4665727548493401</v>
      </c>
      <c r="U461">
        <f t="shared" si="387"/>
        <v>0.12806719235783812</v>
      </c>
      <c r="V461">
        <f t="shared" si="388"/>
        <v>-1.4423764491144613</v>
      </c>
      <c r="X461">
        <f t="shared" si="405"/>
        <v>-47.855420543467929</v>
      </c>
      <c r="Y461">
        <f t="shared" si="389"/>
        <v>-172.50719116412338</v>
      </c>
      <c r="Z461">
        <f t="shared" si="406"/>
        <v>7.4928088358766161</v>
      </c>
      <c r="AC461">
        <v>1</v>
      </c>
      <c r="AD461">
        <f t="shared" si="390"/>
        <v>358.81009301592002</v>
      </c>
      <c r="AE461">
        <f t="shared" si="391"/>
        <v>-0.41764062343239572</v>
      </c>
      <c r="AF461">
        <f t="shared" si="392"/>
        <v>5.3930150226224993E-2</v>
      </c>
      <c r="AG461">
        <f t="shared" si="367"/>
        <v>106.76598372819961</v>
      </c>
      <c r="AH461">
        <f t="shared" si="368"/>
        <v>-845.34924924887434</v>
      </c>
      <c r="AJ461">
        <f t="shared" si="393"/>
        <v>18000</v>
      </c>
      <c r="AK461">
        <f t="shared" si="394"/>
        <v>172079.857757808</v>
      </c>
      <c r="AL461">
        <v>1</v>
      </c>
      <c r="AM461">
        <f t="shared" si="395"/>
        <v>316.84545237945599</v>
      </c>
      <c r="AN461">
        <f t="shared" si="369"/>
        <v>543.27733553257212</v>
      </c>
      <c r="AO461">
        <f t="shared" si="370"/>
        <v>-55.095386515319625</v>
      </c>
      <c r="AQ461">
        <f t="shared" si="396"/>
        <v>1.6391021588450625E-3</v>
      </c>
      <c r="AR461">
        <f t="shared" si="397"/>
        <v>-4.048582332347304</v>
      </c>
      <c r="AT461">
        <f t="shared" si="365"/>
        <v>-3422.2910348176297</v>
      </c>
      <c r="AU461">
        <f t="shared" si="366"/>
        <v>-433.63648919709055</v>
      </c>
      <c r="AV461">
        <f t="shared" si="407"/>
        <v>-3.0155549000227713</v>
      </c>
      <c r="AW461">
        <f t="shared" si="408"/>
        <v>431.28833334754967</v>
      </c>
      <c r="AX461">
        <f t="shared" si="409"/>
        <v>-3238.934355469612</v>
      </c>
      <c r="AY461">
        <f t="shared" si="417"/>
        <v>-1.438417581141257</v>
      </c>
      <c r="BA461">
        <f t="shared" si="398"/>
        <v>1.0557400029135333</v>
      </c>
      <c r="BB461">
        <f t="shared" si="410"/>
        <v>0.47113955329966789</v>
      </c>
      <c r="BC461">
        <f t="shared" si="411"/>
        <v>-1.5771373188815143</v>
      </c>
      <c r="BD461">
        <f t="shared" si="399"/>
        <v>-270.36331218774421</v>
      </c>
      <c r="BF461">
        <f t="shared" si="400"/>
        <v>-51.248863841181191</v>
      </c>
      <c r="BG461">
        <f t="shared" si="401"/>
        <v>-185.85947748819029</v>
      </c>
      <c r="BH461">
        <f t="shared" si="412"/>
        <v>-5.8594774881902936</v>
      </c>
      <c r="BI461">
        <f t="shared" si="413"/>
        <v>-5.8594774881902936</v>
      </c>
      <c r="BJ461">
        <f t="shared" si="402"/>
        <v>0</v>
      </c>
      <c r="BK461">
        <f t="shared" si="414"/>
        <v>0</v>
      </c>
      <c r="BM461">
        <f t="shared" si="415"/>
        <v>-51.720003394480855</v>
      </c>
      <c r="BN461">
        <f t="shared" si="403"/>
        <v>-95.496165300446123</v>
      </c>
      <c r="BQ461" s="56">
        <f t="shared" si="416"/>
        <v>17.373100353584803</v>
      </c>
    </row>
    <row r="462" spans="1:69" x14ac:dyDescent="0.25">
      <c r="A462">
        <f t="shared" si="372"/>
        <v>1240000</v>
      </c>
      <c r="B462">
        <f t="shared" si="404"/>
        <v>1240</v>
      </c>
      <c r="C462">
        <f t="shared" si="373"/>
        <v>10.332821034682997</v>
      </c>
      <c r="D462">
        <f t="shared" si="374"/>
        <v>1.4738656200872873</v>
      </c>
      <c r="F462">
        <f t="shared" si="375"/>
        <v>1.6669339026134307E-5</v>
      </c>
      <c r="G462">
        <f t="shared" si="376"/>
        <v>1.3888649176013359E-3</v>
      </c>
      <c r="H462">
        <f t="shared" si="377"/>
        <v>-3.1402037850823987</v>
      </c>
      <c r="J462">
        <f t="shared" si="378"/>
        <v>15</v>
      </c>
      <c r="M462">
        <f t="shared" si="379"/>
        <v>1.0259852973992186E-3</v>
      </c>
      <c r="N462">
        <f t="shared" si="380"/>
        <v>-1.5707963250000001</v>
      </c>
      <c r="O462">
        <f t="shared" si="381"/>
        <v>360.2641533304793</v>
      </c>
      <c r="P462">
        <f t="shared" si="382"/>
        <v>1.5680205821783897</v>
      </c>
      <c r="Q462">
        <f t="shared" si="383"/>
        <v>318.12979917971001</v>
      </c>
      <c r="R462">
        <f t="shared" si="384"/>
        <v>1.5676529505711581</v>
      </c>
      <c r="S462">
        <f t="shared" si="385"/>
        <v>0.10362000267204351</v>
      </c>
      <c r="T462">
        <f t="shared" si="386"/>
        <v>-1.4669899926065817</v>
      </c>
      <c r="U462">
        <f t="shared" si="387"/>
        <v>0.12755921164586675</v>
      </c>
      <c r="V462">
        <f t="shared" si="388"/>
        <v>-1.4428886306125539</v>
      </c>
      <c r="X462">
        <f t="shared" si="405"/>
        <v>-47.924989764841619</v>
      </c>
      <c r="Y462">
        <f t="shared" si="389"/>
        <v>-172.53704883847553</v>
      </c>
      <c r="Z462">
        <f t="shared" si="406"/>
        <v>7.4629511615244724</v>
      </c>
      <c r="AC462">
        <v>1</v>
      </c>
      <c r="AD462">
        <f t="shared" si="390"/>
        <v>360.26276545728001</v>
      </c>
      <c r="AE462">
        <f t="shared" si="391"/>
        <v>-0.42102917444288657</v>
      </c>
      <c r="AF462">
        <f t="shared" si="392"/>
        <v>5.4148490915399999E-2</v>
      </c>
      <c r="AG462">
        <f t="shared" si="367"/>
        <v>105.92068529877393</v>
      </c>
      <c r="AH462">
        <f t="shared" si="368"/>
        <v>-842.04929660929884</v>
      </c>
      <c r="AJ462">
        <f t="shared" si="393"/>
        <v>18000</v>
      </c>
      <c r="AK462">
        <f t="shared" si="394"/>
        <v>172776.53734387201</v>
      </c>
      <c r="AL462">
        <v>1</v>
      </c>
      <c r="AM462">
        <f t="shared" si="395"/>
        <v>318.12822749030397</v>
      </c>
      <c r="AN462">
        <f t="shared" si="369"/>
        <v>543.275936057065</v>
      </c>
      <c r="AO462">
        <f t="shared" si="370"/>
        <v>-54.873232097818132</v>
      </c>
      <c r="AQ462">
        <f t="shared" si="396"/>
        <v>1.6259102455270802E-3</v>
      </c>
      <c r="AR462">
        <f t="shared" si="397"/>
        <v>-4.0322574089071592</v>
      </c>
      <c r="AT462">
        <f t="shared" si="365"/>
        <v>-3395.1872973904669</v>
      </c>
      <c r="AU462">
        <f t="shared" si="366"/>
        <v>-428.46856463110072</v>
      </c>
      <c r="AV462">
        <f t="shared" si="407"/>
        <v>-3.0160574762393595</v>
      </c>
      <c r="AW462">
        <f t="shared" si="408"/>
        <v>432.2026529879422</v>
      </c>
      <c r="AX462">
        <f t="shared" si="409"/>
        <v>-3225.9799242191061</v>
      </c>
      <c r="AY462">
        <f t="shared" si="417"/>
        <v>-1.4376137822652315</v>
      </c>
      <c r="BA462">
        <f t="shared" si="398"/>
        <v>1.0514049913503754</v>
      </c>
      <c r="BB462">
        <f t="shared" si="410"/>
        <v>0.43540068839760215</v>
      </c>
      <c r="BC462">
        <f t="shared" si="411"/>
        <v>-1.578443693974128</v>
      </c>
      <c r="BD462">
        <f t="shared" si="399"/>
        <v>-270.43816196709747</v>
      </c>
      <c r="BF462">
        <f t="shared" si="400"/>
        <v>-51.320028391881024</v>
      </c>
      <c r="BG462">
        <f t="shared" si="401"/>
        <v>-185.9123061719867</v>
      </c>
      <c r="BH462">
        <f t="shared" si="412"/>
        <v>-5.9123061719866996</v>
      </c>
      <c r="BI462">
        <f t="shared" si="413"/>
        <v>-5.9123061719866996</v>
      </c>
      <c r="BJ462">
        <f t="shared" si="402"/>
        <v>0</v>
      </c>
      <c r="BK462">
        <f t="shared" si="414"/>
        <v>0</v>
      </c>
      <c r="BM462">
        <f t="shared" si="415"/>
        <v>-51.755429080278617</v>
      </c>
      <c r="BN462">
        <f t="shared" si="403"/>
        <v>-95.474144204889214</v>
      </c>
      <c r="BQ462" s="56">
        <f t="shared" si="416"/>
        <v>17.337361488682738</v>
      </c>
    </row>
    <row r="463" spans="1:69" x14ac:dyDescent="0.25">
      <c r="A463">
        <f t="shared" si="372"/>
        <v>1245000</v>
      </c>
      <c r="B463">
        <f t="shared" si="404"/>
        <v>1245</v>
      </c>
      <c r="C463">
        <f t="shared" si="373"/>
        <v>10.374096174059916</v>
      </c>
      <c r="D463">
        <f t="shared" si="374"/>
        <v>1.4742524808083497</v>
      </c>
      <c r="F463">
        <f t="shared" si="375"/>
        <v>1.6535715514122242E-5</v>
      </c>
      <c r="G463">
        <f t="shared" si="376"/>
        <v>1.3832869680535475E-3</v>
      </c>
      <c r="H463">
        <f t="shared" si="377"/>
        <v>-3.1402093630319468</v>
      </c>
      <c r="J463">
        <f t="shared" si="378"/>
        <v>15</v>
      </c>
      <c r="M463">
        <f t="shared" si="379"/>
        <v>1.0218648745180972E-3</v>
      </c>
      <c r="N463">
        <f t="shared" si="380"/>
        <v>-1.5707963250000001</v>
      </c>
      <c r="O463">
        <f t="shared" si="381"/>
        <v>361.71682019807275</v>
      </c>
      <c r="P463">
        <f t="shared" si="382"/>
        <v>1.5680317296902158</v>
      </c>
      <c r="Q463">
        <f t="shared" si="383"/>
        <v>319.41256797858341</v>
      </c>
      <c r="R463">
        <f t="shared" si="384"/>
        <v>1.5676655744894001</v>
      </c>
      <c r="S463">
        <f t="shared" si="385"/>
        <v>0.1032082996770784</v>
      </c>
      <c r="T463">
        <f t="shared" si="386"/>
        <v>-1.4674039148972886</v>
      </c>
      <c r="U463">
        <f t="shared" si="387"/>
        <v>0.12705521190468763</v>
      </c>
      <c r="V463">
        <f t="shared" si="388"/>
        <v>-1.4433967648780979</v>
      </c>
      <c r="X463">
        <f t="shared" si="405"/>
        <v>-47.994283905705544</v>
      </c>
      <c r="Y463">
        <f t="shared" si="389"/>
        <v>-172.56667089143022</v>
      </c>
      <c r="Z463">
        <f t="shared" si="406"/>
        <v>7.4333291085697795</v>
      </c>
      <c r="AC463">
        <v>1</v>
      </c>
      <c r="AD463">
        <f t="shared" si="390"/>
        <v>361.71543789864</v>
      </c>
      <c r="AE463">
        <f t="shared" si="391"/>
        <v>-0.42443141656857131</v>
      </c>
      <c r="AF463">
        <f t="shared" si="392"/>
        <v>5.4366831604574999E-2</v>
      </c>
      <c r="AG463">
        <f t="shared" si="367"/>
        <v>105.08533151415189</v>
      </c>
      <c r="AH463">
        <f t="shared" si="368"/>
        <v>-838.77457577079076</v>
      </c>
      <c r="AJ463">
        <f t="shared" si="393"/>
        <v>18000</v>
      </c>
      <c r="AK463">
        <f t="shared" si="394"/>
        <v>173473.216929936</v>
      </c>
      <c r="AL463">
        <v>1</v>
      </c>
      <c r="AM463">
        <f t="shared" si="395"/>
        <v>319.41100260115201</v>
      </c>
      <c r="AN463">
        <f t="shared" si="369"/>
        <v>543.27455340860763</v>
      </c>
      <c r="AO463">
        <f t="shared" si="370"/>
        <v>-54.652862000466463</v>
      </c>
      <c r="AQ463">
        <f t="shared" si="396"/>
        <v>1.6128769515206284E-3</v>
      </c>
      <c r="AR463">
        <f t="shared" si="397"/>
        <v>-4.0160636092863644</v>
      </c>
      <c r="AT463">
        <f t="shared" si="365"/>
        <v>-3368.4025604385392</v>
      </c>
      <c r="AU463">
        <f t="shared" si="366"/>
        <v>-423.38221594456115</v>
      </c>
      <c r="AV463">
        <f t="shared" si="407"/>
        <v>-3.016556082373564</v>
      </c>
      <c r="AW463">
        <f t="shared" si="408"/>
        <v>433.10575305618914</v>
      </c>
      <c r="AX463">
        <f t="shared" si="409"/>
        <v>-3213.1283067062891</v>
      </c>
      <c r="AY463">
        <f t="shared" si="417"/>
        <v>-1.4368113428308336</v>
      </c>
      <c r="BA463">
        <f t="shared" si="398"/>
        <v>1.0471038909878108</v>
      </c>
      <c r="BB463">
        <f t="shared" si="410"/>
        <v>0.39979546823475232</v>
      </c>
      <c r="BC463">
        <f t="shared" si="411"/>
        <v>-1.5797447395427304</v>
      </c>
      <c r="BD463">
        <f t="shared" si="399"/>
        <v>-270.5127063872178</v>
      </c>
      <c r="BF463">
        <f t="shared" si="400"/>
        <v>-51.390914114975274</v>
      </c>
      <c r="BG463">
        <f t="shared" si="401"/>
        <v>-185.96500469847322</v>
      </c>
      <c r="BH463">
        <f t="shared" si="412"/>
        <v>-5.9650046984732228</v>
      </c>
      <c r="BI463">
        <f t="shared" si="413"/>
        <v>-5.9650046984732228</v>
      </c>
      <c r="BJ463">
        <f t="shared" si="402"/>
        <v>0</v>
      </c>
      <c r="BK463">
        <f t="shared" si="414"/>
        <v>0</v>
      </c>
      <c r="BM463">
        <f t="shared" si="415"/>
        <v>-51.790709583210024</v>
      </c>
      <c r="BN463">
        <f t="shared" si="403"/>
        <v>-95.452298311255433</v>
      </c>
      <c r="BQ463" s="56">
        <f t="shared" si="416"/>
        <v>17.301756268519888</v>
      </c>
    </row>
    <row r="464" spans="1:69" x14ac:dyDescent="0.25">
      <c r="A464">
        <f t="shared" si="372"/>
        <v>1250000</v>
      </c>
      <c r="B464">
        <f t="shared" si="404"/>
        <v>1250</v>
      </c>
      <c r="C464">
        <f t="shared" si="373"/>
        <v>10.415372853730947</v>
      </c>
      <c r="D464">
        <f t="shared" si="374"/>
        <v>1.4746362752870159</v>
      </c>
      <c r="F464">
        <f t="shared" si="375"/>
        <v>1.6403692308387212E-5</v>
      </c>
      <c r="G464">
        <f t="shared" si="376"/>
        <v>1.377753644234859E-3</v>
      </c>
      <c r="H464">
        <f t="shared" si="377"/>
        <v>-3.1402148963557655</v>
      </c>
      <c r="J464">
        <f t="shared" si="378"/>
        <v>15</v>
      </c>
      <c r="M464">
        <f t="shared" si="379"/>
        <v>1.0177774150200247E-3</v>
      </c>
      <c r="N464">
        <f t="shared" si="380"/>
        <v>-1.5707963250000001</v>
      </c>
      <c r="O464">
        <f t="shared" si="381"/>
        <v>363.169487110256</v>
      </c>
      <c r="P464">
        <f t="shared" si="382"/>
        <v>1.568042788022626</v>
      </c>
      <c r="Q464">
        <f t="shared" si="383"/>
        <v>320.69533682795219</v>
      </c>
      <c r="R464">
        <f t="shared" si="384"/>
        <v>1.5676780974172821</v>
      </c>
      <c r="S464">
        <f t="shared" si="385"/>
        <v>0.10279983788737805</v>
      </c>
      <c r="T464">
        <f t="shared" si="386"/>
        <v>-1.4678145609430926</v>
      </c>
      <c r="U464">
        <f t="shared" si="387"/>
        <v>0.12655514690855529</v>
      </c>
      <c r="V464">
        <f t="shared" si="388"/>
        <v>-1.443900899434529</v>
      </c>
      <c r="X464">
        <f t="shared" si="405"/>
        <v>-48.063305114114016</v>
      </c>
      <c r="Y464">
        <f t="shared" si="389"/>
        <v>-172.59606008473548</v>
      </c>
      <c r="Z464">
        <f t="shared" si="406"/>
        <v>7.403939915264516</v>
      </c>
      <c r="AC464">
        <v>1</v>
      </c>
      <c r="AD464">
        <f t="shared" si="390"/>
        <v>363.16811034</v>
      </c>
      <c r="AE464">
        <f t="shared" si="391"/>
        <v>-0.42784734980944999</v>
      </c>
      <c r="AF464">
        <f t="shared" si="392"/>
        <v>5.4585172293749998E-2</v>
      </c>
      <c r="AG464">
        <f t="shared" si="367"/>
        <v>104.25976784412308</v>
      </c>
      <c r="AH464">
        <f t="shared" si="368"/>
        <v>-835.52480366684858</v>
      </c>
      <c r="AJ464">
        <f t="shared" si="393"/>
        <v>18000</v>
      </c>
      <c r="AK464">
        <f t="shared" si="394"/>
        <v>174169.89651599998</v>
      </c>
      <c r="AL464">
        <v>1</v>
      </c>
      <c r="AM464">
        <f t="shared" si="395"/>
        <v>320.69377771200004</v>
      </c>
      <c r="AN464">
        <f t="shared" si="369"/>
        <v>543.27318731851074</v>
      </c>
      <c r="AO464">
        <f t="shared" si="370"/>
        <v>-54.434254812260654</v>
      </c>
      <c r="AQ464">
        <f t="shared" si="396"/>
        <v>1.599999744000041E-3</v>
      </c>
      <c r="AR464">
        <f t="shared" si="397"/>
        <v>-3.9999993600001025</v>
      </c>
      <c r="AT464">
        <f t="shared" si="365"/>
        <v>-3341.9318643297456</v>
      </c>
      <c r="AU464">
        <f t="shared" si="366"/>
        <v>-418.37584412222424</v>
      </c>
      <c r="AV464">
        <f t="shared" si="407"/>
        <v>-3.0170507650230296</v>
      </c>
      <c r="AW464">
        <f t="shared" si="408"/>
        <v>433.99781709966101</v>
      </c>
      <c r="AX464">
        <f t="shared" si="409"/>
        <v>-3200.3782882929245</v>
      </c>
      <c r="AY464">
        <f t="shared" si="417"/>
        <v>-1.4360102477938046</v>
      </c>
      <c r="BA464">
        <f t="shared" si="398"/>
        <v>1.0428363029162049</v>
      </c>
      <c r="BB464">
        <f t="shared" si="410"/>
        <v>0.36432282587055465</v>
      </c>
      <c r="BC464">
        <f t="shared" si="411"/>
        <v>-1.581040517229225</v>
      </c>
      <c r="BD464">
        <f t="shared" si="399"/>
        <v>-270.58694897992598</v>
      </c>
      <c r="BF464">
        <f t="shared" si="400"/>
        <v>-51.461523272179697</v>
      </c>
      <c r="BG464">
        <f t="shared" si="401"/>
        <v>-186.01757452343014</v>
      </c>
      <c r="BH464">
        <f t="shared" si="412"/>
        <v>-6.0175745234301417</v>
      </c>
      <c r="BI464">
        <f t="shared" si="413"/>
        <v>-6.0175745234301417</v>
      </c>
      <c r="BJ464">
        <f t="shared" si="402"/>
        <v>0</v>
      </c>
      <c r="BK464">
        <f t="shared" si="414"/>
        <v>0</v>
      </c>
      <c r="BM464">
        <f t="shared" si="415"/>
        <v>-51.825846098050256</v>
      </c>
      <c r="BN464">
        <f t="shared" si="403"/>
        <v>-95.430625543504149</v>
      </c>
      <c r="BQ464" s="56">
        <f t="shared" si="416"/>
        <v>17.26628362615569</v>
      </c>
    </row>
    <row r="465" spans="1:69" x14ac:dyDescent="0.25">
      <c r="A465">
        <f t="shared" si="372"/>
        <v>1255000</v>
      </c>
      <c r="B465">
        <f t="shared" si="404"/>
        <v>1255</v>
      </c>
      <c r="C465">
        <f t="shared" si="373"/>
        <v>10.45665105545558</v>
      </c>
      <c r="D465">
        <f t="shared" si="374"/>
        <v>1.475017039722025</v>
      </c>
      <c r="F465">
        <f t="shared" si="375"/>
        <v>1.6273243956253844E-5</v>
      </c>
      <c r="G465">
        <f t="shared" si="376"/>
        <v>1.372264412736236E-3</v>
      </c>
      <c r="H465">
        <f t="shared" si="377"/>
        <v>-3.1402203855872641</v>
      </c>
      <c r="J465">
        <f t="shared" si="378"/>
        <v>15</v>
      </c>
      <c r="M465">
        <f t="shared" si="379"/>
        <v>1.0137225249203434E-3</v>
      </c>
      <c r="N465">
        <f t="shared" si="380"/>
        <v>-1.5707963250000001</v>
      </c>
      <c r="O465">
        <f t="shared" si="381"/>
        <v>364.62215406649619</v>
      </c>
      <c r="P465">
        <f t="shared" si="382"/>
        <v>1.5680537582414991</v>
      </c>
      <c r="Q465">
        <f t="shared" si="383"/>
        <v>321.97810572721284</v>
      </c>
      <c r="R465">
        <f t="shared" si="384"/>
        <v>1.5676905205618445</v>
      </c>
      <c r="S465">
        <f t="shared" si="385"/>
        <v>0.10239457938288106</v>
      </c>
      <c r="T465">
        <f t="shared" si="386"/>
        <v>-1.4682219693516056</v>
      </c>
      <c r="U465">
        <f t="shared" si="387"/>
        <v>0.12605897113851355</v>
      </c>
      <c r="V465">
        <f t="shared" si="388"/>
        <v>-1.4444010810682011</v>
      </c>
      <c r="X465">
        <f t="shared" si="405"/>
        <v>-48.132055513276072</v>
      </c>
      <c r="Y465">
        <f t="shared" si="389"/>
        <v>-172.62521913740358</v>
      </c>
      <c r="Z465">
        <f t="shared" si="406"/>
        <v>7.374780862596424</v>
      </c>
      <c r="AC465">
        <v>1</v>
      </c>
      <c r="AD465">
        <f t="shared" si="390"/>
        <v>364.62078278135999</v>
      </c>
      <c r="AE465">
        <f t="shared" si="391"/>
        <v>-0.43127697416552241</v>
      </c>
      <c r="AF465">
        <f t="shared" si="392"/>
        <v>5.4803512982924997E-2</v>
      </c>
      <c r="AG465">
        <f t="shared" si="367"/>
        <v>103.44384273173297</v>
      </c>
      <c r="AH465">
        <f t="shared" si="368"/>
        <v>-832.29970136417137</v>
      </c>
      <c r="AJ465">
        <f t="shared" si="393"/>
        <v>18000</v>
      </c>
      <c r="AK465">
        <f t="shared" si="394"/>
        <v>174866.57610206399</v>
      </c>
      <c r="AL465">
        <v>1</v>
      </c>
      <c r="AM465">
        <f t="shared" si="395"/>
        <v>321.97655282284802</v>
      </c>
      <c r="AN465">
        <f t="shared" si="369"/>
        <v>543.27183752342694</v>
      </c>
      <c r="AO465">
        <f t="shared" si="370"/>
        <v>-54.217389463391427</v>
      </c>
      <c r="AQ465">
        <f t="shared" si="396"/>
        <v>1.5872761404936207E-3</v>
      </c>
      <c r="AR465">
        <f t="shared" si="397"/>
        <v>-3.9840631126389878</v>
      </c>
      <c r="AT465">
        <f t="shared" si="365"/>
        <v>-3315.7703449219916</v>
      </c>
      <c r="AU465">
        <f t="shared" si="366"/>
        <v>-413.44788751484128</v>
      </c>
      <c r="AV465">
        <f t="shared" si="407"/>
        <v>-3.0175415700630723</v>
      </c>
      <c r="AW465">
        <f t="shared" si="408"/>
        <v>434.87902491484294</v>
      </c>
      <c r="AX465">
        <f t="shared" si="409"/>
        <v>-3187.7286733317878</v>
      </c>
      <c r="AY465">
        <f t="shared" si="417"/>
        <v>-1.4352104823770824</v>
      </c>
      <c r="BA465">
        <f t="shared" si="398"/>
        <v>1.0386018344338881</v>
      </c>
      <c r="BB465">
        <f t="shared" si="410"/>
        <v>0.32898170667528959</v>
      </c>
      <c r="BC465">
        <f t="shared" si="411"/>
        <v>-1.58233108768599</v>
      </c>
      <c r="BD465">
        <f t="shared" si="399"/>
        <v>-270.66089322034736</v>
      </c>
      <c r="BF465">
        <f t="shared" si="400"/>
        <v>-51.531858098106284</v>
      </c>
      <c r="BG465">
        <f t="shared" si="401"/>
        <v>-186.07001707850989</v>
      </c>
      <c r="BH465">
        <f t="shared" si="412"/>
        <v>-6.0700170785098919</v>
      </c>
      <c r="BI465">
        <f t="shared" si="413"/>
        <v>-6.0700170785098919</v>
      </c>
      <c r="BJ465">
        <f t="shared" si="402"/>
        <v>0</v>
      </c>
      <c r="BK465">
        <f t="shared" si="414"/>
        <v>0</v>
      </c>
      <c r="BM465">
        <f t="shared" si="415"/>
        <v>-51.860839804781577</v>
      </c>
      <c r="BN465">
        <f t="shared" si="403"/>
        <v>-95.409123858162516</v>
      </c>
      <c r="BQ465" s="56">
        <f t="shared" si="416"/>
        <v>17.230942506960428</v>
      </c>
    </row>
    <row r="466" spans="1:69" x14ac:dyDescent="0.25">
      <c r="A466">
        <f t="shared" si="372"/>
        <v>1260000</v>
      </c>
      <c r="B466">
        <f t="shared" si="404"/>
        <v>1260</v>
      </c>
      <c r="C466">
        <f t="shared" si="373"/>
        <v>10.497930761279529</v>
      </c>
      <c r="D466">
        <f t="shared" si="374"/>
        <v>1.4753948097463034</v>
      </c>
      <c r="F466">
        <f t="shared" si="375"/>
        <v>1.6144345509071691E-5</v>
      </c>
      <c r="G466">
        <f t="shared" si="376"/>
        <v>1.3668187486161212E-3</v>
      </c>
      <c r="H466">
        <f t="shared" si="377"/>
        <v>-3.1402258312513842</v>
      </c>
      <c r="J466">
        <f t="shared" si="378"/>
        <v>15</v>
      </c>
      <c r="M466">
        <f t="shared" si="379"/>
        <v>1.0096998164881199E-3</v>
      </c>
      <c r="N466">
        <f t="shared" si="380"/>
        <v>-1.5707963250000001</v>
      </c>
      <c r="O466">
        <f t="shared" si="381"/>
        <v>366.0748210662689</v>
      </c>
      <c r="P466">
        <f t="shared" si="382"/>
        <v>1.5680646413957955</v>
      </c>
      <c r="Q466">
        <f t="shared" si="383"/>
        <v>323.2608746757715</v>
      </c>
      <c r="R466">
        <f t="shared" si="384"/>
        <v>1.5677028451109689</v>
      </c>
      <c r="S466">
        <f t="shared" si="385"/>
        <v>0.1019924868295235</v>
      </c>
      <c r="T466">
        <f t="shared" si="386"/>
        <v>-1.4686261781283456</v>
      </c>
      <c r="U466">
        <f t="shared" si="387"/>
        <v>0.12556663976905941</v>
      </c>
      <c r="V466">
        <f t="shared" si="388"/>
        <v>-1.4448973558425415</v>
      </c>
      <c r="X466">
        <f t="shared" si="405"/>
        <v>-48.200537201933955</v>
      </c>
      <c r="Y466">
        <f t="shared" si="389"/>
        <v>-172.65415072652928</v>
      </c>
      <c r="Z466">
        <f t="shared" si="406"/>
        <v>7.3458492734707193</v>
      </c>
      <c r="AC466">
        <v>1</v>
      </c>
      <c r="AD466">
        <f t="shared" si="390"/>
        <v>366.07345522272004</v>
      </c>
      <c r="AE466">
        <f t="shared" si="391"/>
        <v>-0.43472028963678888</v>
      </c>
      <c r="AF466">
        <f t="shared" si="392"/>
        <v>5.5021853672099996E-2</v>
      </c>
      <c r="AG466">
        <f t="shared" si="367"/>
        <v>102.6374075252877</v>
      </c>
      <c r="AH466">
        <f t="shared" si="368"/>
        <v>-829.09899398925688</v>
      </c>
      <c r="AJ466">
        <f t="shared" si="393"/>
        <v>18000</v>
      </c>
      <c r="AK466">
        <f t="shared" si="394"/>
        <v>175563.255688128</v>
      </c>
      <c r="AL466">
        <v>1</v>
      </c>
      <c r="AM466">
        <f t="shared" si="395"/>
        <v>323.259327933696</v>
      </c>
      <c r="AN466">
        <f t="shared" si="369"/>
        <v>543.27050376522311</v>
      </c>
      <c r="AO466">
        <f t="shared" si="370"/>
        <v>-54.002245218474684</v>
      </c>
      <c r="AQ466">
        <f t="shared" si="396"/>
        <v>1.5747037076871209E-3</v>
      </c>
      <c r="AR466">
        <f t="shared" si="397"/>
        <v>-3.9682533433715448</v>
      </c>
      <c r="AT466">
        <f t="shared" si="365"/>
        <v>-3289.9132313776754</v>
      </c>
      <c r="AU466">
        <f t="shared" si="366"/>
        <v>-408.5968208270852</v>
      </c>
      <c r="AV466">
        <f t="shared" si="407"/>
        <v>-3.0180285426605429</v>
      </c>
      <c r="AW466">
        <f t="shared" si="408"/>
        <v>435.74955263919941</v>
      </c>
      <c r="AX466">
        <f t="shared" si="409"/>
        <v>-3175.1782847981763</v>
      </c>
      <c r="AY466">
        <f t="shared" si="417"/>
        <v>-1.4344120320650298</v>
      </c>
      <c r="BA466">
        <f t="shared" si="398"/>
        <v>1.0344000989275548</v>
      </c>
      <c r="BB466">
        <f t="shared" si="410"/>
        <v>0.29377106814453097</v>
      </c>
      <c r="BC466">
        <f t="shared" si="411"/>
        <v>-1.5836165105955131</v>
      </c>
      <c r="BD466">
        <f t="shared" si="399"/>
        <v>-270.73454252803663</v>
      </c>
      <c r="BF466">
        <f t="shared" si="400"/>
        <v>-51.601920800693392</v>
      </c>
      <c r="BG466">
        <f t="shared" si="401"/>
        <v>-186.1223337717278</v>
      </c>
      <c r="BH466">
        <f t="shared" si="412"/>
        <v>-6.1223337717277957</v>
      </c>
      <c r="BI466">
        <f t="shared" si="413"/>
        <v>-6.1223337717277957</v>
      </c>
      <c r="BJ466">
        <f t="shared" si="402"/>
        <v>0</v>
      </c>
      <c r="BK466">
        <f t="shared" si="414"/>
        <v>0</v>
      </c>
      <c r="BM466">
        <f t="shared" si="415"/>
        <v>-51.895691868837915</v>
      </c>
      <c r="BN466">
        <f t="shared" si="403"/>
        <v>-95.387791243691169</v>
      </c>
      <c r="BQ466" s="56">
        <f t="shared" si="416"/>
        <v>17.195731868429668</v>
      </c>
    </row>
    <row r="467" spans="1:69" x14ac:dyDescent="0.25">
      <c r="A467">
        <f t="shared" si="372"/>
        <v>1265000</v>
      </c>
      <c r="B467">
        <f t="shared" si="404"/>
        <v>1265</v>
      </c>
      <c r="C467">
        <f t="shared" si="373"/>
        <v>10.539211953529136</v>
      </c>
      <c r="D467">
        <f t="shared" si="374"/>
        <v>1.4757696204379414</v>
      </c>
      <c r="F467">
        <f t="shared" si="375"/>
        <v>1.6016972510285288E-5</v>
      </c>
      <c r="G467">
        <f t="shared" si="376"/>
        <v>1.3614161352330772E-3</v>
      </c>
      <c r="H467">
        <f t="shared" si="377"/>
        <v>-3.1402312338647671</v>
      </c>
      <c r="J467">
        <f t="shared" si="378"/>
        <v>15</v>
      </c>
      <c r="M467">
        <f t="shared" si="379"/>
        <v>1.0057089081225543E-3</v>
      </c>
      <c r="N467">
        <f t="shared" si="380"/>
        <v>-1.5707963250000001</v>
      </c>
      <c r="O467">
        <f t="shared" si="381"/>
        <v>367.5274881090578</v>
      </c>
      <c r="P467">
        <f t="shared" si="382"/>
        <v>1.568075438517891</v>
      </c>
      <c r="Q467">
        <f t="shared" si="383"/>
        <v>324.5436436730435</v>
      </c>
      <c r="R467">
        <f t="shared" si="384"/>
        <v>1.5677150722337563</v>
      </c>
      <c r="S467">
        <f t="shared" si="385"/>
        <v>0.10159352346802634</v>
      </c>
      <c r="T467">
        <f t="shared" si="386"/>
        <v>-1.469027224688386</v>
      </c>
      <c r="U467">
        <f t="shared" si="387"/>
        <v>0.12507810865510458</v>
      </c>
      <c r="V467">
        <f t="shared" si="388"/>
        <v>-1.4453897691118838</v>
      </c>
      <c r="X467">
        <f t="shared" si="405"/>
        <v>-48.268752254734196</v>
      </c>
      <c r="Y467">
        <f t="shared" si="389"/>
        <v>-172.68285748808989</v>
      </c>
      <c r="Z467">
        <f t="shared" si="406"/>
        <v>7.3171425119101059</v>
      </c>
      <c r="AC467">
        <v>1</v>
      </c>
      <c r="AD467">
        <f t="shared" si="390"/>
        <v>367.52612766407998</v>
      </c>
      <c r="AE467">
        <f t="shared" si="391"/>
        <v>-0.43817729622324925</v>
      </c>
      <c r="AF467">
        <f t="shared" si="392"/>
        <v>5.5240194361274995E-2</v>
      </c>
      <c r="AG467">
        <f t="shared" si="367"/>
        <v>101.84031641215557</v>
      </c>
      <c r="AH467">
        <f t="shared" si="368"/>
        <v>-825.92241065651251</v>
      </c>
      <c r="AJ467">
        <f t="shared" si="393"/>
        <v>18000</v>
      </c>
      <c r="AK467">
        <f t="shared" si="394"/>
        <v>176259.93527419199</v>
      </c>
      <c r="AL467">
        <v>1</v>
      </c>
      <c r="AM467">
        <f t="shared" si="395"/>
        <v>324.54210304454398</v>
      </c>
      <c r="AN467">
        <f t="shared" si="369"/>
        <v>543.26918579085736</v>
      </c>
      <c r="AO467">
        <f t="shared" si="370"/>
        <v>-53.788801669942885</v>
      </c>
      <c r="AQ467">
        <f t="shared" si="396"/>
        <v>1.5622800602602665E-3</v>
      </c>
      <c r="AR467">
        <f t="shared" si="397"/>
        <v>-3.9525685524584744</v>
      </c>
      <c r="AT467">
        <f t="shared" si="365"/>
        <v>-3264.3558440359639</v>
      </c>
      <c r="AU467">
        <f t="shared" si="366"/>
        <v>-403.82115413659756</v>
      </c>
      <c r="AV467">
        <f t="shared" si="407"/>
        <v>-3.0185117272873732</v>
      </c>
      <c r="AW467">
        <f t="shared" si="408"/>
        <v>436.60957284041831</v>
      </c>
      <c r="AX467">
        <f t="shared" si="409"/>
        <v>-3162.7259639299268</v>
      </c>
      <c r="AY467">
        <f t="shared" si="417"/>
        <v>-1.433614882597811</v>
      </c>
      <c r="BA467">
        <f t="shared" si="398"/>
        <v>1.0302307157554</v>
      </c>
      <c r="BB467">
        <f t="shared" si="410"/>
        <v>0.25868987971702562</v>
      </c>
      <c r="BC467">
        <f t="shared" si="411"/>
        <v>-1.5848968446895622</v>
      </c>
      <c r="BD467">
        <f t="shared" si="399"/>
        <v>-270.8079002680762</v>
      </c>
      <c r="BF467">
        <f t="shared" si="400"/>
        <v>-51.671713561627556</v>
      </c>
      <c r="BG467">
        <f t="shared" si="401"/>
        <v>-186.17452598794111</v>
      </c>
      <c r="BH467">
        <f t="shared" si="412"/>
        <v>-6.1745259879411094</v>
      </c>
      <c r="BI467">
        <f t="shared" si="413"/>
        <v>-6.1745259879411094</v>
      </c>
      <c r="BJ467">
        <f t="shared" si="402"/>
        <v>0</v>
      </c>
      <c r="BK467">
        <f t="shared" si="414"/>
        <v>0</v>
      </c>
      <c r="BM467">
        <f t="shared" si="415"/>
        <v>-51.930403441344588</v>
      </c>
      <c r="BN467">
        <f t="shared" si="403"/>
        <v>-95.366625719864928</v>
      </c>
      <c r="BQ467" s="56">
        <f t="shared" si="416"/>
        <v>17.160650680002163</v>
      </c>
    </row>
    <row r="468" spans="1:69" x14ac:dyDescent="0.25">
      <c r="A468">
        <f t="shared" si="372"/>
        <v>1270000</v>
      </c>
      <c r="B468">
        <f t="shared" si="404"/>
        <v>1270</v>
      </c>
      <c r="C468">
        <f t="shared" si="373"/>
        <v>10.58049461480595</v>
      </c>
      <c r="D468">
        <f t="shared" si="374"/>
        <v>1.4761415063309189</v>
      </c>
      <c r="F468">
        <f t="shared" si="375"/>
        <v>1.5891100983832425E-5</v>
      </c>
      <c r="G468">
        <f t="shared" si="376"/>
        <v>1.3560560640823816E-3</v>
      </c>
      <c r="H468">
        <f t="shared" si="377"/>
        <v>-3.140236593935918</v>
      </c>
      <c r="J468">
        <f t="shared" si="378"/>
        <v>15</v>
      </c>
      <c r="M468">
        <f t="shared" si="379"/>
        <v>1.0017494242323078E-3</v>
      </c>
      <c r="N468">
        <f t="shared" si="380"/>
        <v>-1.5707963250000001</v>
      </c>
      <c r="O468">
        <f t="shared" si="381"/>
        <v>368.98015519435489</v>
      </c>
      <c r="P468">
        <f t="shared" si="382"/>
        <v>1.5680861506239041</v>
      </c>
      <c r="Q468">
        <f t="shared" si="383"/>
        <v>325.82641271845364</v>
      </c>
      <c r="R468">
        <f t="shared" si="384"/>
        <v>1.5677272030808966</v>
      </c>
      <c r="S468">
        <f t="shared" si="385"/>
        <v>0.10119765310293749</v>
      </c>
      <c r="T468">
        <f t="shared" si="386"/>
        <v>-1.4694251458677376</v>
      </c>
      <c r="U468">
        <f t="shared" si="387"/>
        <v>0.12459333431922771</v>
      </c>
      <c r="V468">
        <f t="shared" si="388"/>
        <v>-1.4458783655349856</v>
      </c>
      <c r="X468">
        <f t="shared" si="405"/>
        <v>-48.336702722591973</v>
      </c>
      <c r="Y468">
        <f t="shared" si="389"/>
        <v>-172.71134201772651</v>
      </c>
      <c r="Z468">
        <f t="shared" si="406"/>
        <v>7.2886579822734916</v>
      </c>
      <c r="AC468">
        <v>1</v>
      </c>
      <c r="AD468">
        <f t="shared" si="390"/>
        <v>368.97880010543997</v>
      </c>
      <c r="AE468">
        <f t="shared" si="391"/>
        <v>-0.4416479939249035</v>
      </c>
      <c r="AF468">
        <f t="shared" si="392"/>
        <v>5.5458535050450002E-2</v>
      </c>
      <c r="AG468">
        <f t="shared" si="367"/>
        <v>101.05242635431178</v>
      </c>
      <c r="AH468">
        <f t="shared" si="368"/>
        <v>-822.76968439784991</v>
      </c>
      <c r="AJ468">
        <f t="shared" si="393"/>
        <v>18000</v>
      </c>
      <c r="AK468">
        <f t="shared" si="394"/>
        <v>176956.614860256</v>
      </c>
      <c r="AL468">
        <v>1</v>
      </c>
      <c r="AM468">
        <f t="shared" si="395"/>
        <v>325.82487815539201</v>
      </c>
      <c r="AN468">
        <f t="shared" si="369"/>
        <v>543.26788335225922</v>
      </c>
      <c r="AO468">
        <f t="shared" si="370"/>
        <v>-53.577038731592182</v>
      </c>
      <c r="AQ468">
        <f t="shared" si="396"/>
        <v>1.5500028597552763E-3</v>
      </c>
      <c r="AR468">
        <f t="shared" si="397"/>
        <v>-3.9370072637784017</v>
      </c>
      <c r="AT468">
        <f t="shared" si="365"/>
        <v>-3239.0935923411639</v>
      </c>
      <c r="AU468">
        <f t="shared" si="366"/>
        <v>-399.11943194309407</v>
      </c>
      <c r="AV468">
        <f t="shared" si="407"/>
        <v>-3.0189911677338142</v>
      </c>
      <c r="AW468">
        <f t="shared" si="408"/>
        <v>437.45925460312196</v>
      </c>
      <c r="AX468">
        <f t="shared" si="409"/>
        <v>-3150.3705698757431</v>
      </c>
      <c r="AY468">
        <f t="shared" si="417"/>
        <v>-1.4328190199659141</v>
      </c>
      <c r="BA468">
        <f t="shared" si="398"/>
        <v>1.0260933101329237</v>
      </c>
      <c r="BB468">
        <f t="shared" si="410"/>
        <v>0.22373712259594916</v>
      </c>
      <c r="BC468">
        <f t="shared" si="411"/>
        <v>-1.5861721477679001</v>
      </c>
      <c r="BD468">
        <f t="shared" si="399"/>
        <v>-270.88096975214847</v>
      </c>
      <c r="BF468">
        <f t="shared" si="400"/>
        <v>-51.741238536756896</v>
      </c>
      <c r="BG468">
        <f t="shared" si="401"/>
        <v>-186.22659508931616</v>
      </c>
      <c r="BH468">
        <f t="shared" si="412"/>
        <v>-6.226595089316163</v>
      </c>
      <c r="BI468">
        <f t="shared" si="413"/>
        <v>-6.226595089316163</v>
      </c>
      <c r="BJ468">
        <f t="shared" si="402"/>
        <v>0</v>
      </c>
      <c r="BK468">
        <f t="shared" si="414"/>
        <v>0</v>
      </c>
      <c r="BM468">
        <f t="shared" si="415"/>
        <v>-51.964975659352852</v>
      </c>
      <c r="BN468">
        <f t="shared" si="403"/>
        <v>-95.345625337167704</v>
      </c>
      <c r="BQ468" s="56">
        <f t="shared" si="416"/>
        <v>17.125697922881088</v>
      </c>
    </row>
    <row r="469" spans="1:69" x14ac:dyDescent="0.25">
      <c r="A469">
        <f t="shared" si="372"/>
        <v>1275000</v>
      </c>
      <c r="B469">
        <f t="shared" si="404"/>
        <v>1275</v>
      </c>
      <c r="C469">
        <f t="shared" si="373"/>
        <v>10.621778727981384</v>
      </c>
      <c r="D469">
        <f t="shared" si="374"/>
        <v>1.4765105014255817</v>
      </c>
      <c r="F469">
        <f t="shared" si="375"/>
        <v>1.5766707422860242E-5</v>
      </c>
      <c r="G469">
        <f t="shared" si="376"/>
        <v>1.3507380346364701E-3</v>
      </c>
      <c r="H469">
        <f t="shared" si="377"/>
        <v>-3.1402419119653637</v>
      </c>
      <c r="J469">
        <f t="shared" si="378"/>
        <v>15</v>
      </c>
      <c r="M469">
        <f t="shared" si="379"/>
        <v>9.9782099511767138E-4</v>
      </c>
      <c r="N469">
        <f t="shared" si="380"/>
        <v>-1.5707963250000001</v>
      </c>
      <c r="O469">
        <f t="shared" si="381"/>
        <v>370.43282232166013</v>
      </c>
      <c r="P469">
        <f t="shared" si="382"/>
        <v>1.5680967787140141</v>
      </c>
      <c r="Q469">
        <f t="shared" si="383"/>
        <v>327.10918181143541</v>
      </c>
      <c r="R469">
        <f t="shared" si="384"/>
        <v>1.5677392387850304</v>
      </c>
      <c r="S469">
        <f t="shared" si="385"/>
        <v>0.10080484009192235</v>
      </c>
      <c r="T469">
        <f t="shared" si="386"/>
        <v>-1.4698199779344685</v>
      </c>
      <c r="U469">
        <f t="shared" si="387"/>
        <v>0.12411227393920918</v>
      </c>
      <c r="V469">
        <f t="shared" si="388"/>
        <v>-1.4463631890882409</v>
      </c>
      <c r="X469">
        <f t="shared" si="405"/>
        <v>-48.404390633048529</v>
      </c>
      <c r="Y469">
        <f t="shared" si="389"/>
        <v>-172.73960687150841</v>
      </c>
      <c r="Z469">
        <f t="shared" si="406"/>
        <v>7.2603931284915859</v>
      </c>
      <c r="AC469">
        <v>1</v>
      </c>
      <c r="AD469">
        <f t="shared" si="390"/>
        <v>370.43147254680002</v>
      </c>
      <c r="AE469">
        <f t="shared" si="391"/>
        <v>-0.44513238274175165</v>
      </c>
      <c r="AF469">
        <f t="shared" si="392"/>
        <v>5.5676875739625001E-2</v>
      </c>
      <c r="AG469">
        <f t="shared" si="367"/>
        <v>100.27359702557321</v>
      </c>
      <c r="AH469">
        <f t="shared" si="368"/>
        <v>-819.64055209371907</v>
      </c>
      <c r="AJ469">
        <f t="shared" si="393"/>
        <v>18000</v>
      </c>
      <c r="AK469">
        <f t="shared" si="394"/>
        <v>177653.29444632001</v>
      </c>
      <c r="AL469">
        <v>1</v>
      </c>
      <c r="AM469">
        <f t="shared" si="395"/>
        <v>327.10765326624005</v>
      </c>
      <c r="AN469">
        <f t="shared" si="369"/>
        <v>543.26659620621285</v>
      </c>
      <c r="AO469">
        <f t="shared" si="370"/>
        <v>-53.366936632281643</v>
      </c>
      <c r="AQ469">
        <f t="shared" si="396"/>
        <v>1.537869813476384E-3</v>
      </c>
      <c r="AR469">
        <f t="shared" si="397"/>
        <v>-3.9215680243647792</v>
      </c>
      <c r="AT469">
        <f t="shared" si="365"/>
        <v>-3214.1219728254682</v>
      </c>
      <c r="AU469">
        <f t="shared" si="366"/>
        <v>-394.49023224649318</v>
      </c>
      <c r="AV469">
        <f t="shared" si="407"/>
        <v>-3.0194669071213776</v>
      </c>
      <c r="AW469">
        <f t="shared" si="408"/>
        <v>438.29876361312347</v>
      </c>
      <c r="AX469">
        <f t="shared" si="409"/>
        <v>-3138.1109793515802</v>
      </c>
      <c r="AY469">
        <f t="shared" si="417"/>
        <v>-1.4320244304048109</v>
      </c>
      <c r="BA469">
        <f t="shared" si="398"/>
        <v>1.021987513021325</v>
      </c>
      <c r="BB469">
        <f t="shared" si="410"/>
        <v>0.18891178957340427</v>
      </c>
      <c r="BC469">
        <f t="shared" si="411"/>
        <v>-1.5874424767165667</v>
      </c>
      <c r="BD469">
        <f t="shared" si="399"/>
        <v>-270.95375423958353</v>
      </c>
      <c r="BF469">
        <f t="shared" si="400"/>
        <v>-51.810497856496418</v>
      </c>
      <c r="BG469">
        <f t="shared" si="401"/>
        <v>-186.27854241578478</v>
      </c>
      <c r="BH469">
        <f t="shared" si="412"/>
        <v>-6.2785424157847842</v>
      </c>
      <c r="BI469">
        <f t="shared" si="413"/>
        <v>-6.2785424157847842</v>
      </c>
      <c r="BJ469">
        <f t="shared" si="402"/>
        <v>0</v>
      </c>
      <c r="BK469">
        <f t="shared" si="414"/>
        <v>0</v>
      </c>
      <c r="BM469">
        <f t="shared" si="415"/>
        <v>-51.999409646069815</v>
      </c>
      <c r="BN469">
        <f t="shared" si="403"/>
        <v>-95.324788176201253</v>
      </c>
      <c r="BQ469" s="56">
        <f t="shared" si="416"/>
        <v>17.090872589858542</v>
      </c>
    </row>
    <row r="470" spans="1:69" x14ac:dyDescent="0.25">
      <c r="A470">
        <f t="shared" si="372"/>
        <v>1280000</v>
      </c>
      <c r="B470">
        <f t="shared" si="404"/>
        <v>1280</v>
      </c>
      <c r="C470">
        <f t="shared" si="373"/>
        <v>10.663064276191522</v>
      </c>
      <c r="D470">
        <f t="shared" si="374"/>
        <v>1.4768766391988781</v>
      </c>
      <c r="F470">
        <f t="shared" si="375"/>
        <v>1.5643768778749278E-5</v>
      </c>
      <c r="G470">
        <f t="shared" si="376"/>
        <v>1.345461554189118E-3</v>
      </c>
      <c r="H470">
        <f t="shared" si="377"/>
        <v>-3.140247188445811</v>
      </c>
      <c r="J470">
        <f t="shared" si="378"/>
        <v>15</v>
      </c>
      <c r="M470">
        <f t="shared" si="379"/>
        <v>9.9392325685549289E-4</v>
      </c>
      <c r="N470">
        <f t="shared" si="380"/>
        <v>-1.5707963250000001</v>
      </c>
      <c r="O470">
        <f t="shared" si="381"/>
        <v>371.88548949048118</v>
      </c>
      <c r="P470">
        <f t="shared" si="382"/>
        <v>1.5681073237727727</v>
      </c>
      <c r="Q470">
        <f t="shared" si="383"/>
        <v>328.39195095143151</v>
      </c>
      <c r="R470">
        <f t="shared" si="384"/>
        <v>1.5677511804611011</v>
      </c>
      <c r="S470">
        <f t="shared" si="385"/>
        <v>0.10041504933529603</v>
      </c>
      <c r="T470">
        <f t="shared" si="386"/>
        <v>-1.4702117565995698</v>
      </c>
      <c r="U470">
        <f t="shared" si="387"/>
        <v>0.1236348853358417</v>
      </c>
      <c r="V470">
        <f t="shared" si="388"/>
        <v>-1.4468442830785926</v>
      </c>
      <c r="X470">
        <f t="shared" si="405"/>
        <v>-48.471817990622057</v>
      </c>
      <c r="Y470">
        <f t="shared" si="389"/>
        <v>-172.76765456667965</v>
      </c>
      <c r="Z470">
        <f t="shared" si="406"/>
        <v>7.2323454333203472</v>
      </c>
      <c r="AC470">
        <v>1</v>
      </c>
      <c r="AD470">
        <f t="shared" si="390"/>
        <v>371.88414498816002</v>
      </c>
      <c r="AE470">
        <f t="shared" si="391"/>
        <v>-0.44863046267379375</v>
      </c>
      <c r="AF470">
        <f t="shared" si="392"/>
        <v>5.58952164288E-2</v>
      </c>
      <c r="AG470">
        <f t="shared" si="367"/>
        <v>99.503690750475002</v>
      </c>
      <c r="AH470">
        <f t="shared" si="368"/>
        <v>-816.53475440555746</v>
      </c>
      <c r="AJ470">
        <f t="shared" si="393"/>
        <v>18000</v>
      </c>
      <c r="AK470">
        <f t="shared" si="394"/>
        <v>178349.97403238399</v>
      </c>
      <c r="AL470">
        <v>1</v>
      </c>
      <c r="AM470">
        <f t="shared" si="395"/>
        <v>328.39042837708797</v>
      </c>
      <c r="AN470">
        <f t="shared" si="369"/>
        <v>543.26532411424284</v>
      </c>
      <c r="AO470">
        <f t="shared" si="370"/>
        <v>-53.158475909779973</v>
      </c>
      <c r="AQ470">
        <f t="shared" si="396"/>
        <v>1.5258786734193919E-3</v>
      </c>
      <c r="AR470">
        <f t="shared" si="397"/>
        <v>-3.9062494039536433</v>
      </c>
      <c r="AT470">
        <f t="shared" ref="AT470:AT533" si="418">-AR470*AH470+AG470*AQ470</f>
        <v>-3189.4365671445007</v>
      </c>
      <c r="AU470">
        <f t="shared" ref="AU470:AU533" si="419">AQ470*AH470+AG470*AR470</f>
        <v>-389.93216565308381</v>
      </c>
      <c r="AV470">
        <f t="shared" si="407"/>
        <v>-3.0199389879154812</v>
      </c>
      <c r="AW470">
        <f t="shared" si="408"/>
        <v>439.12826223930932</v>
      </c>
      <c r="AX470">
        <f t="shared" si="409"/>
        <v>-3125.9460863048866</v>
      </c>
      <c r="AY470">
        <f t="shared" si="417"/>
        <v>-1.4312311003897555</v>
      </c>
      <c r="BA470">
        <f t="shared" si="398"/>
        <v>1.0179129610184297</v>
      </c>
      <c r="BB470">
        <f t="shared" si="410"/>
        <v>0.15421288485818307</v>
      </c>
      <c r="BC470">
        <f t="shared" si="411"/>
        <v>-1.5887078875257257</v>
      </c>
      <c r="BD470">
        <f t="shared" si="399"/>
        <v>-271.02625693838144</v>
      </c>
      <c r="BF470">
        <f t="shared" si="400"/>
        <v>-51.879493626225461</v>
      </c>
      <c r="BG470">
        <f t="shared" si="401"/>
        <v>-186.33036928548916</v>
      </c>
      <c r="BH470">
        <f t="shared" si="412"/>
        <v>-6.3303692854891551</v>
      </c>
      <c r="BI470">
        <f t="shared" si="413"/>
        <v>-6.3303692854891551</v>
      </c>
      <c r="BJ470">
        <f t="shared" si="402"/>
        <v>0</v>
      </c>
      <c r="BK470">
        <f t="shared" si="414"/>
        <v>0</v>
      </c>
      <c r="BM470">
        <f t="shared" si="415"/>
        <v>-52.033706511083643</v>
      </c>
      <c r="BN470">
        <f t="shared" si="403"/>
        <v>-95.304112347107719</v>
      </c>
      <c r="BQ470" s="56">
        <f t="shared" si="416"/>
        <v>17.056173685143317</v>
      </c>
    </row>
    <row r="471" spans="1:69" x14ac:dyDescent="0.25">
      <c r="A471">
        <f t="shared" si="372"/>
        <v>1285000</v>
      </c>
      <c r="B471">
        <f t="shared" si="404"/>
        <v>1285</v>
      </c>
      <c r="C471">
        <f t="shared" si="373"/>
        <v>10.704351242832029</v>
      </c>
      <c r="D471">
        <f t="shared" si="374"/>
        <v>1.4772399526143625</v>
      </c>
      <c r="F471">
        <f t="shared" si="375"/>
        <v>1.5522262450435928E-5</v>
      </c>
      <c r="G471">
        <f t="shared" si="376"/>
        <v>1.34022613770326E-3</v>
      </c>
      <c r="H471">
        <f t="shared" si="377"/>
        <v>-3.1402524238622971</v>
      </c>
      <c r="J471">
        <f t="shared" si="378"/>
        <v>15</v>
      </c>
      <c r="M471">
        <f t="shared" si="379"/>
        <v>9.9005585118679454E-4</v>
      </c>
      <c r="N471">
        <f t="shared" si="380"/>
        <v>-1.5707963250000001</v>
      </c>
      <c r="O471">
        <f t="shared" si="381"/>
        <v>373.33815670033346</v>
      </c>
      <c r="P471">
        <f t="shared" si="382"/>
        <v>1.5681177867694085</v>
      </c>
      <c r="Q471">
        <f t="shared" si="383"/>
        <v>329.67472013789302</v>
      </c>
      <c r="R471">
        <f t="shared" si="384"/>
        <v>1.5677630292066989</v>
      </c>
      <c r="S471">
        <f t="shared" si="385"/>
        <v>0.10002824626579121</v>
      </c>
      <c r="T471">
        <f t="shared" si="386"/>
        <v>-1.4706005170275744</v>
      </c>
      <c r="U471">
        <f t="shared" si="387"/>
        <v>0.12316112696100953</v>
      </c>
      <c r="V471">
        <f t="shared" si="388"/>
        <v>-1.4473216901561552</v>
      </c>
      <c r="X471">
        <f t="shared" si="405"/>
        <v>-48.538986777152004</v>
      </c>
      <c r="Y471">
        <f t="shared" si="389"/>
        <v>-172.79548758238923</v>
      </c>
      <c r="Z471">
        <f t="shared" si="406"/>
        <v>7.204512417610772</v>
      </c>
      <c r="AC471">
        <v>1</v>
      </c>
      <c r="AD471">
        <f t="shared" si="390"/>
        <v>373.33681742952001</v>
      </c>
      <c r="AE471">
        <f t="shared" si="391"/>
        <v>-0.45214223372102974</v>
      </c>
      <c r="AF471">
        <f t="shared" si="392"/>
        <v>5.6113557117974999E-2</v>
      </c>
      <c r="AG471">
        <f t="shared" si="367"/>
        <v>98.742572444738784</v>
      </c>
      <c r="AH471">
        <f t="shared" si="368"/>
        <v>-813.45203570961985</v>
      </c>
      <c r="AJ471">
        <f t="shared" si="393"/>
        <v>18000</v>
      </c>
      <c r="AK471">
        <f t="shared" si="394"/>
        <v>179046.65361844798</v>
      </c>
      <c r="AL471">
        <v>1</v>
      </c>
      <c r="AM471">
        <f t="shared" si="395"/>
        <v>329.67320348793601</v>
      </c>
      <c r="AN471">
        <f t="shared" si="369"/>
        <v>543.26406684250469</v>
      </c>
      <c r="AO471">
        <f t="shared" si="370"/>
        <v>-52.9516374047559</v>
      </c>
      <c r="AQ471">
        <f t="shared" si="396"/>
        <v>1.5140272352303238E-3</v>
      </c>
      <c r="AR471">
        <f t="shared" si="397"/>
        <v>-3.8910499945419317</v>
      </c>
      <c r="AT471">
        <f t="shared" si="418"/>
        <v>-3165.0330401640817</v>
      </c>
      <c r="AU471">
        <f t="shared" si="419"/>
        <v>-385.44387450877502</v>
      </c>
      <c r="AV471">
        <f t="shared" si="407"/>
        <v>-3.0204074519378112</v>
      </c>
      <c r="AW471">
        <f t="shared" si="408"/>
        <v>439.94790961322695</v>
      </c>
      <c r="AX471">
        <f t="shared" si="409"/>
        <v>-3113.8748015865053</v>
      </c>
      <c r="AY471">
        <f t="shared" si="417"/>
        <v>-1.4304390166307135</v>
      </c>
      <c r="BA471">
        <f t="shared" si="398"/>
        <v>1.0138692962520734</v>
      </c>
      <c r="BB471">
        <f t="shared" si="410"/>
        <v>0.11963942390662842</v>
      </c>
      <c r="BC471">
        <f t="shared" si="411"/>
        <v>-1.5899684353070977</v>
      </c>
      <c r="BD471">
        <f t="shared" si="399"/>
        <v>-271.09848100621116</v>
      </c>
      <c r="BF471">
        <f t="shared" si="400"/>
        <v>-51.948227926677419</v>
      </c>
      <c r="BG471">
        <f t="shared" si="401"/>
        <v>-186.38207699521635</v>
      </c>
      <c r="BH471">
        <f t="shared" si="412"/>
        <v>-6.3820769952163516</v>
      </c>
      <c r="BI471">
        <f t="shared" si="413"/>
        <v>-6.3820769952163516</v>
      </c>
      <c r="BJ471">
        <f t="shared" si="402"/>
        <v>0</v>
      </c>
      <c r="BK471">
        <f t="shared" si="414"/>
        <v>0</v>
      </c>
      <c r="BM471">
        <f t="shared" si="415"/>
        <v>-52.067867350584038</v>
      </c>
      <c r="BN471">
        <f t="shared" si="403"/>
        <v>-95.283595989005192</v>
      </c>
      <c r="BQ471" s="56">
        <f t="shared" si="416"/>
        <v>17.021600224191765</v>
      </c>
    </row>
    <row r="472" spans="1:69" x14ac:dyDescent="0.25">
      <c r="A472">
        <f t="shared" si="372"/>
        <v>1290000</v>
      </c>
      <c r="B472">
        <f t="shared" si="404"/>
        <v>1290</v>
      </c>
      <c r="C472">
        <f t="shared" si="373"/>
        <v>10.7456396115532</v>
      </c>
      <c r="D472">
        <f t="shared" si="374"/>
        <v>1.4776004741319686</v>
      </c>
      <c r="F472">
        <f t="shared" si="375"/>
        <v>1.5402166274024029E-5</v>
      </c>
      <c r="G472">
        <f t="shared" si="376"/>
        <v>1.3350313076623507E-3</v>
      </c>
      <c r="H472">
        <f t="shared" si="377"/>
        <v>-3.1402576186923379</v>
      </c>
      <c r="J472">
        <f t="shared" si="378"/>
        <v>15</v>
      </c>
      <c r="M472">
        <f t="shared" si="379"/>
        <v>9.8621842540700072E-4</v>
      </c>
      <c r="N472">
        <f t="shared" si="380"/>
        <v>-1.5707963250000001</v>
      </c>
      <c r="O472">
        <f t="shared" si="381"/>
        <v>374.79082395073982</v>
      </c>
      <c r="P472">
        <f t="shared" si="382"/>
        <v>1.568128168658123</v>
      </c>
      <c r="Q472">
        <f t="shared" si="383"/>
        <v>330.95748937027969</v>
      </c>
      <c r="R472">
        <f t="shared" si="384"/>
        <v>1.5677747861023974</v>
      </c>
      <c r="S472">
        <f t="shared" si="385"/>
        <v>9.9644396838555249E-2</v>
      </c>
      <c r="T472">
        <f t="shared" si="386"/>
        <v>-1.4709862938469327</v>
      </c>
      <c r="U472">
        <f t="shared" si="387"/>
        <v>0.12269095788602948</v>
      </c>
      <c r="V472">
        <f t="shared" si="388"/>
        <v>-1.4477954523265553</v>
      </c>
      <c r="X472">
        <f t="shared" si="405"/>
        <v>-48.605898952137004</v>
      </c>
      <c r="Y472">
        <f t="shared" si="389"/>
        <v>-172.82310836040455</v>
      </c>
      <c r="Z472">
        <f t="shared" si="406"/>
        <v>7.1768916395954534</v>
      </c>
      <c r="AC472">
        <v>1</v>
      </c>
      <c r="AD472">
        <f t="shared" si="390"/>
        <v>374.78948987088</v>
      </c>
      <c r="AE472">
        <f t="shared" si="391"/>
        <v>-0.45566769588345957</v>
      </c>
      <c r="AF472">
        <f t="shared" si="392"/>
        <v>5.6331897807149998E-2</v>
      </c>
      <c r="AG472">
        <f t="shared" si="367"/>
        <v>97.990109557286232</v>
      </c>
      <c r="AH472">
        <f t="shared" si="368"/>
        <v>-810.39214403215215</v>
      </c>
      <c r="AJ472">
        <f t="shared" si="393"/>
        <v>18000</v>
      </c>
      <c r="AK472">
        <f t="shared" si="394"/>
        <v>179743.33320451199</v>
      </c>
      <c r="AL472">
        <v>1</v>
      </c>
      <c r="AM472">
        <f t="shared" si="395"/>
        <v>330.95597859878399</v>
      </c>
      <c r="AN472">
        <f t="shared" si="369"/>
        <v>543.26282416167692</v>
      </c>
      <c r="AO472">
        <f t="shared" si="370"/>
        <v>-52.746402254908425</v>
      </c>
      <c r="AQ472">
        <f t="shared" si="396"/>
        <v>1.5023133371922755E-3</v>
      </c>
      <c r="AR472">
        <f t="shared" si="397"/>
        <v>-3.8759684099560707</v>
      </c>
      <c r="AT472">
        <f t="shared" si="418"/>
        <v>-3140.9071380966911</v>
      </c>
      <c r="AU472">
        <f t="shared" si="419"/>
        <v>-381.02403205851124</v>
      </c>
      <c r="AV472">
        <f t="shared" si="407"/>
        <v>-3.0208723403784106</v>
      </c>
      <c r="AW472">
        <f t="shared" si="408"/>
        <v>440.75786170644562</v>
      </c>
      <c r="AX472">
        <f t="shared" si="409"/>
        <v>-3101.8960526300125</v>
      </c>
      <c r="AY472">
        <f t="shared" si="417"/>
        <v>-1.4296481660674185</v>
      </c>
      <c r="BA472">
        <f t="shared" si="398"/>
        <v>1.0098561662758836</v>
      </c>
      <c r="BB472">
        <f t="shared" si="410"/>
        <v>8.5190433256588038E-2</v>
      </c>
      <c r="BC472">
        <f t="shared" si="411"/>
        <v>-1.5912241743109921</v>
      </c>
      <c r="BD472">
        <f t="shared" si="399"/>
        <v>-271.17042955138646</v>
      </c>
      <c r="BF472">
        <f t="shared" si="400"/>
        <v>-52.01670281432186</v>
      </c>
      <c r="BG472">
        <f t="shared" si="401"/>
        <v>-186.43366682082254</v>
      </c>
      <c r="BH472">
        <f t="shared" si="412"/>
        <v>-6.4336668208225376</v>
      </c>
      <c r="BI472">
        <f t="shared" si="413"/>
        <v>-6.4336668208225376</v>
      </c>
      <c r="BJ472">
        <f t="shared" si="402"/>
        <v>0</v>
      </c>
      <c r="BK472">
        <f t="shared" si="414"/>
        <v>0</v>
      </c>
      <c r="BM472">
        <f t="shared" si="415"/>
        <v>-52.101893247578452</v>
      </c>
      <c r="BN472">
        <f t="shared" si="403"/>
        <v>-95.263237269436075</v>
      </c>
      <c r="BQ472" s="56">
        <f t="shared" si="416"/>
        <v>16.987151233541724</v>
      </c>
    </row>
    <row r="473" spans="1:69" x14ac:dyDescent="0.25">
      <c r="A473">
        <f>A472+5000</f>
        <v>1295000</v>
      </c>
      <c r="B473">
        <f t="shared" si="404"/>
        <v>1295</v>
      </c>
      <c r="C473">
        <f t="shared" si="373"/>
        <v>10.786929366255102</v>
      </c>
      <c r="D473">
        <f t="shared" si="374"/>
        <v>1.4779582357175645</v>
      </c>
      <c r="F473">
        <f t="shared" si="375"/>
        <v>1.5283458512676685E-5</v>
      </c>
      <c r="G473">
        <f t="shared" si="376"/>
        <v>1.3298765939251651E-3</v>
      </c>
      <c r="H473">
        <f t="shared" si="377"/>
        <v>-3.1402627734060751</v>
      </c>
      <c r="J473">
        <f t="shared" si="378"/>
        <v>15</v>
      </c>
      <c r="M473">
        <f t="shared" si="379"/>
        <v>9.8241063225871128E-4</v>
      </c>
      <c r="N473">
        <f t="shared" si="380"/>
        <v>-1.5707963250000001</v>
      </c>
      <c r="O473">
        <f t="shared" si="381"/>
        <v>376.24349124123057</v>
      </c>
      <c r="P473">
        <f t="shared" si="382"/>
        <v>1.5681384703783809</v>
      </c>
      <c r="Q473">
        <f t="shared" si="383"/>
        <v>332.24025864805958</v>
      </c>
      <c r="R473">
        <f t="shared" si="384"/>
        <v>1.5677864522120823</v>
      </c>
      <c r="S473">
        <f t="shared" si="385"/>
        <v>9.9263467521370705E-2</v>
      </c>
      <c r="T473">
        <f t="shared" si="386"/>
        <v>-1.4713691211601565</v>
      </c>
      <c r="U473">
        <f t="shared" si="387"/>
        <v>0.12222433779024708</v>
      </c>
      <c r="V473">
        <f t="shared" si="388"/>
        <v>-1.4482656109629954</v>
      </c>
      <c r="X473">
        <f t="shared" si="405"/>
        <v>-48.672556453066662</v>
      </c>
      <c r="Y473">
        <f t="shared" si="389"/>
        <v>-172.85051930581</v>
      </c>
      <c r="Z473">
        <f t="shared" si="406"/>
        <v>7.1494806941900038</v>
      </c>
      <c r="AC473">
        <v>1</v>
      </c>
      <c r="AD473">
        <f t="shared" si="390"/>
        <v>376.24216231224</v>
      </c>
      <c r="AE473">
        <f t="shared" si="391"/>
        <v>-0.4592068491610834</v>
      </c>
      <c r="AF473">
        <f t="shared" si="392"/>
        <v>5.6550238496324998E-2</v>
      </c>
      <c r="AG473">
        <f t="shared" si="367"/>
        <v>97.246172013752471</v>
      </c>
      <c r="AH473">
        <f t="shared" si="368"/>
        <v>-807.35483098588577</v>
      </c>
      <c r="AJ473">
        <f t="shared" si="393"/>
        <v>18000</v>
      </c>
      <c r="AK473">
        <f t="shared" si="394"/>
        <v>180440.012790576</v>
      </c>
      <c r="AL473">
        <v>1</v>
      </c>
      <c r="AM473">
        <f t="shared" si="395"/>
        <v>332.23875370963202</v>
      </c>
      <c r="AN473">
        <f t="shared" si="369"/>
        <v>543.26159584685604</v>
      </c>
      <c r="AO473">
        <f t="shared" si="370"/>
        <v>-52.542751889232882</v>
      </c>
      <c r="AQ473">
        <f t="shared" si="396"/>
        <v>1.4907348592395971E-3</v>
      </c>
      <c r="AR473">
        <f t="shared" si="397"/>
        <v>-3.8610032854305563</v>
      </c>
      <c r="AT473">
        <f t="shared" si="418"/>
        <v>-3117.0546866861878</v>
      </c>
      <c r="AU473">
        <f t="shared" si="419"/>
        <v>-376.67134163096944</v>
      </c>
      <c r="AV473">
        <f t="shared" si="407"/>
        <v>-3.0213336938074931</v>
      </c>
      <c r="AW473">
        <f t="shared" si="408"/>
        <v>441.55827140576571</v>
      </c>
      <c r="AX473">
        <f t="shared" si="409"/>
        <v>-3090.008783138303</v>
      </c>
      <c r="AY473">
        <f t="shared" si="417"/>
        <v>-1.4288585358645542</v>
      </c>
      <c r="BA473">
        <f t="shared" si="398"/>
        <v>1.0058732239673966</v>
      </c>
      <c r="BB473">
        <f t="shared" si="410"/>
        <v>5.0864950364390968E-2</v>
      </c>
      <c r="BC473">
        <f t="shared" si="411"/>
        <v>-1.5924751579429388</v>
      </c>
      <c r="BD473">
        <f t="shared" si="399"/>
        <v>-271.24210563381888</v>
      </c>
      <c r="BF473">
        <f t="shared" si="400"/>
        <v>-52.084920321739361</v>
      </c>
      <c r="BG473">
        <f t="shared" si="401"/>
        <v>-186.48514001764704</v>
      </c>
      <c r="BH473">
        <f t="shared" si="412"/>
        <v>-6.4851400176470406</v>
      </c>
      <c r="BI473">
        <f t="shared" si="413"/>
        <v>-6.4851400176470406</v>
      </c>
      <c r="BJ473">
        <f t="shared" si="402"/>
        <v>0</v>
      </c>
      <c r="BK473">
        <f t="shared" si="414"/>
        <v>0</v>
      </c>
      <c r="BM473">
        <f t="shared" si="415"/>
        <v>-52.135785272103746</v>
      </c>
      <c r="BN473">
        <f t="shared" si="403"/>
        <v>-95.243034383828174</v>
      </c>
      <c r="BQ473" s="56">
        <f t="shared" si="416"/>
        <v>16.952825750649527</v>
      </c>
    </row>
    <row r="474" spans="1:69" x14ac:dyDescent="0.25">
      <c r="A474">
        <f t="shared" ref="A474:A537" si="420">A473+5000</f>
        <v>1300000</v>
      </c>
      <c r="B474">
        <f t="shared" si="404"/>
        <v>1300</v>
      </c>
      <c r="C474">
        <f t="shared" si="373"/>
        <v>10.828220491082824</v>
      </c>
      <c r="D474">
        <f t="shared" si="374"/>
        <v>1.4783132688522875</v>
      </c>
      <c r="F474">
        <f t="shared" si="375"/>
        <v>1.5166117846779722E-5</v>
      </c>
      <c r="G474">
        <f t="shared" si="376"/>
        <v>1.3247615335839568E-3</v>
      </c>
      <c r="H474">
        <f t="shared" si="377"/>
        <v>-3.1402678884664161</v>
      </c>
      <c r="J474">
        <f t="shared" si="378"/>
        <v>15</v>
      </c>
      <c r="M474">
        <f t="shared" si="379"/>
        <v>9.7863212982694683E-4</v>
      </c>
      <c r="N474">
        <f t="shared" si="380"/>
        <v>-1.5707963250000001</v>
      </c>
      <c r="O474">
        <f t="shared" si="381"/>
        <v>377.69615857134318</v>
      </c>
      <c r="P474">
        <f t="shared" si="382"/>
        <v>1.5681486928551946</v>
      </c>
      <c r="Q474">
        <f t="shared" si="383"/>
        <v>333.52302797070899</v>
      </c>
      <c r="R474">
        <f t="shared" si="384"/>
        <v>1.5677980285832718</v>
      </c>
      <c r="S474">
        <f t="shared" si="385"/>
        <v>9.8885425285093587E-2</v>
      </c>
      <c r="T474">
        <f t="shared" si="386"/>
        <v>-1.471749032553731</v>
      </c>
      <c r="U474">
        <f t="shared" si="387"/>
        <v>0.12176122694988177</v>
      </c>
      <c r="V474">
        <f t="shared" si="388"/>
        <v>-1.448732206818049</v>
      </c>
      <c r="X474">
        <f t="shared" si="405"/>
        <v>-48.73896119574723</v>
      </c>
      <c r="Y474">
        <f t="shared" si="389"/>
        <v>-172.87772278768844</v>
      </c>
      <c r="Z474">
        <f t="shared" si="406"/>
        <v>7.122277212311559</v>
      </c>
      <c r="AC474">
        <v>1</v>
      </c>
      <c r="AD474">
        <f t="shared" si="390"/>
        <v>377.69483475359999</v>
      </c>
      <c r="AE474">
        <f t="shared" si="391"/>
        <v>-0.46275969355390101</v>
      </c>
      <c r="AF474">
        <f t="shared" si="392"/>
        <v>5.6768579185500004E-2</v>
      </c>
      <c r="AG474">
        <f t="shared" si="367"/>
        <v>96.510632161455803</v>
      </c>
      <c r="AH474">
        <f t="shared" si="368"/>
        <v>-804.33985170781727</v>
      </c>
      <c r="AJ474">
        <f t="shared" si="393"/>
        <v>18000</v>
      </c>
      <c r="AK474">
        <f t="shared" si="394"/>
        <v>181136.69237663999</v>
      </c>
      <c r="AL474">
        <v>1</v>
      </c>
      <c r="AM474">
        <f t="shared" si="395"/>
        <v>333.52152882048</v>
      </c>
      <c r="AN474">
        <f t="shared" si="369"/>
        <v>543.26038167745537</v>
      </c>
      <c r="AO474">
        <f t="shared" si="370"/>
        <v>-52.34066802241945</v>
      </c>
      <c r="AQ474">
        <f t="shared" si="396"/>
        <v>1.4792897219985618E-3</v>
      </c>
      <c r="AR474">
        <f t="shared" si="397"/>
        <v>-3.8461532771962608</v>
      </c>
      <c r="AT474">
        <f t="shared" si="418"/>
        <v>-3093.4715894393557</v>
      </c>
      <c r="AU474">
        <f t="shared" si="419"/>
        <v>-372.38453584769132</v>
      </c>
      <c r="AV474">
        <f t="shared" si="407"/>
        <v>-3.0217915521869974</v>
      </c>
      <c r="AW474">
        <f t="shared" si="408"/>
        <v>442.34928858634316</v>
      </c>
      <c r="AX474">
        <f t="shared" si="409"/>
        <v>-3078.2119527772479</v>
      </c>
      <c r="AY474">
        <f t="shared" si="417"/>
        <v>-1.4280701134070566</v>
      </c>
      <c r="BA474">
        <f t="shared" si="398"/>
        <v>1.0019201274284484</v>
      </c>
      <c r="BB474">
        <f t="shared" si="410"/>
        <v>1.6662023444753614E-2</v>
      </c>
      <c r="BC474">
        <f t="shared" si="411"/>
        <v>-1.5937214387799408</v>
      </c>
      <c r="BD474">
        <f t="shared" si="399"/>
        <v>-271.3135122659487</v>
      </c>
      <c r="BF474">
        <f t="shared" si="400"/>
        <v>-52.152882457989037</v>
      </c>
      <c r="BG474">
        <f t="shared" si="401"/>
        <v>-186.53649782091654</v>
      </c>
      <c r="BH474">
        <f t="shared" si="412"/>
        <v>-6.5364978209165372</v>
      </c>
      <c r="BI474">
        <f t="shared" si="413"/>
        <v>-6.5364978209165372</v>
      </c>
      <c r="BJ474">
        <f t="shared" si="402"/>
        <v>0</v>
      </c>
      <c r="BK474">
        <f t="shared" si="414"/>
        <v>0</v>
      </c>
      <c r="BM474">
        <f t="shared" si="415"/>
        <v>-52.169544481433789</v>
      </c>
      <c r="BN474">
        <f t="shared" si="403"/>
        <v>-95.222985554967849</v>
      </c>
      <c r="BQ474" s="56">
        <f t="shared" si="416"/>
        <v>16.918622823729891</v>
      </c>
    </row>
    <row r="475" spans="1:69" x14ac:dyDescent="0.25">
      <c r="A475">
        <f t="shared" si="420"/>
        <v>1305000</v>
      </c>
      <c r="B475">
        <f t="shared" si="404"/>
        <v>1305</v>
      </c>
      <c r="C475">
        <f t="shared" si="373"/>
        <v>10.86951297042186</v>
      </c>
      <c r="D475">
        <f t="shared" si="374"/>
        <v>1.4786656045416733</v>
      </c>
      <c r="F475">
        <f t="shared" si="375"/>
        <v>1.5050123364368462E-5</v>
      </c>
      <c r="G475">
        <f t="shared" si="376"/>
        <v>1.3196856708258705E-3</v>
      </c>
      <c r="H475">
        <f t="shared" si="377"/>
        <v>-3.1402729643291742</v>
      </c>
      <c r="J475">
        <f t="shared" si="378"/>
        <v>15</v>
      </c>
      <c r="M475">
        <f t="shared" si="379"/>
        <v>9.7488258143680533E-4</v>
      </c>
      <c r="N475">
        <f t="shared" si="380"/>
        <v>-1.5707963250000001</v>
      </c>
      <c r="O475">
        <f t="shared" si="381"/>
        <v>379.1488259406222</v>
      </c>
      <c r="P475">
        <f t="shared" si="382"/>
        <v>1.5681588369993997</v>
      </c>
      <c r="Q475">
        <f t="shared" si="383"/>
        <v>334.80579733771202</v>
      </c>
      <c r="R475">
        <f t="shared" si="384"/>
        <v>1.5678095162474306</v>
      </c>
      <c r="S475">
        <f t="shared" si="385"/>
        <v>9.8510237594303621E-2</v>
      </c>
      <c r="T475">
        <f t="shared" si="386"/>
        <v>-1.4721260611078077</v>
      </c>
      <c r="U475">
        <f t="shared" si="387"/>
        <v>0.12130158622711426</v>
      </c>
      <c r="V475">
        <f t="shared" si="388"/>
        <v>-1.4491952800351953</v>
      </c>
      <c r="X475">
        <f t="shared" si="405"/>
        <v>-48.805115074621277</v>
      </c>
      <c r="Y475">
        <f t="shared" si="389"/>
        <v>-172.90472113978913</v>
      </c>
      <c r="Z475">
        <f t="shared" si="406"/>
        <v>7.0952788602108683</v>
      </c>
      <c r="AC475">
        <v>1</v>
      </c>
      <c r="AD475">
        <f t="shared" si="390"/>
        <v>379.14750719495999</v>
      </c>
      <c r="AE475">
        <f t="shared" si="391"/>
        <v>-0.46632622906191262</v>
      </c>
      <c r="AF475">
        <f t="shared" si="392"/>
        <v>5.6986919874675003E-2</v>
      </c>
      <c r="AG475">
        <f t="shared" si="367"/>
        <v>95.783364715780166</v>
      </c>
      <c r="AH475">
        <f t="shared" si="368"/>
        <v>-801.34696479824549</v>
      </c>
      <c r="AJ475">
        <f t="shared" si="393"/>
        <v>18000</v>
      </c>
      <c r="AK475">
        <f t="shared" si="394"/>
        <v>181833.371962704</v>
      </c>
      <c r="AL475">
        <v>1</v>
      </c>
      <c r="AM475">
        <f t="shared" si="395"/>
        <v>334.80430393132798</v>
      </c>
      <c r="AN475">
        <f t="shared" si="369"/>
        <v>543.25918143710635</v>
      </c>
      <c r="AO475">
        <f t="shared" si="370"/>
        <v>-52.140132649380348</v>
      </c>
      <c r="AQ475">
        <f t="shared" si="396"/>
        <v>1.4679758858537183E-3</v>
      </c>
      <c r="AR475">
        <f t="shared" si="397"/>
        <v>-3.8314170620782049</v>
      </c>
      <c r="AT475">
        <f t="shared" si="418"/>
        <v>-3070.1538259029121</v>
      </c>
      <c r="AU475">
        <f t="shared" si="419"/>
        <v>-368.16237585582553</v>
      </c>
      <c r="AV475">
        <f t="shared" si="407"/>
        <v>-3.0222459548818845</v>
      </c>
      <c r="AW475">
        <f t="shared" si="408"/>
        <v>443.13106018279518</v>
      </c>
      <c r="AX475">
        <f t="shared" si="409"/>
        <v>-3066.5045368762217</v>
      </c>
      <c r="AY475">
        <f t="shared" si="417"/>
        <v>-1.4272828862955327</v>
      </c>
      <c r="BA475">
        <f t="shared" si="398"/>
        <v>0.99799653988777781</v>
      </c>
      <c r="BB475">
        <f t="shared" si="410"/>
        <v>-1.7419288686442481E-2</v>
      </c>
      <c r="BC475">
        <f t="shared" si="411"/>
        <v>-1.5949630685863518</v>
      </c>
      <c r="BD475">
        <f t="shared" si="399"/>
        <v>-271.38465241365498</v>
      </c>
      <c r="BF475">
        <f t="shared" si="400"/>
        <v>-52.22059120896914</v>
      </c>
      <c r="BG475">
        <f t="shared" si="401"/>
        <v>-186.58774144613989</v>
      </c>
      <c r="BH475">
        <f t="shared" si="412"/>
        <v>-6.5877414461398871</v>
      </c>
      <c r="BI475">
        <f t="shared" si="413"/>
        <v>-6.5877414461398871</v>
      </c>
      <c r="BJ475">
        <f t="shared" si="402"/>
        <v>0</v>
      </c>
      <c r="BK475">
        <f t="shared" si="414"/>
        <v>0</v>
      </c>
      <c r="BM475">
        <f t="shared" si="415"/>
        <v>-52.203171920282692</v>
      </c>
      <c r="BN475">
        <f t="shared" si="403"/>
        <v>-95.203089032484897</v>
      </c>
      <c r="BQ475" s="56">
        <f t="shared" si="416"/>
        <v>16.884541511598695</v>
      </c>
    </row>
    <row r="476" spans="1:69" x14ac:dyDescent="0.25">
      <c r="A476">
        <f t="shared" si="420"/>
        <v>1310000</v>
      </c>
      <c r="B476">
        <f t="shared" si="404"/>
        <v>1310</v>
      </c>
      <c r="C476">
        <f t="shared" si="373"/>
        <v>10.91080678889357</v>
      </c>
      <c r="D476">
        <f t="shared" si="374"/>
        <v>1.4790152733245758</v>
      </c>
      <c r="F476">
        <f t="shared" si="375"/>
        <v>1.4935454551809799E-5</v>
      </c>
      <c r="G476">
        <f t="shared" si="376"/>
        <v>1.3146485567975316E-3</v>
      </c>
      <c r="H476">
        <f t="shared" si="377"/>
        <v>-3.1402780014432028</v>
      </c>
      <c r="J476">
        <f t="shared" si="378"/>
        <v>15</v>
      </c>
      <c r="M476">
        <f t="shared" si="379"/>
        <v>9.7116165555345886E-4</v>
      </c>
      <c r="N476">
        <f t="shared" si="380"/>
        <v>-1.5707963250000001</v>
      </c>
      <c r="O476">
        <f t="shared" si="381"/>
        <v>380.60149334861921</v>
      </c>
      <c r="P476">
        <f t="shared" si="382"/>
        <v>1.5681689037079261</v>
      </c>
      <c r="Q476">
        <f t="shared" si="383"/>
        <v>336.08856674856094</v>
      </c>
      <c r="R476">
        <f t="shared" si="384"/>
        <v>1.5678209162202756</v>
      </c>
      <c r="S476">
        <f t="shared" si="385"/>
        <v>9.8137872398161158E-2</v>
      </c>
      <c r="T476">
        <f t="shared" si="386"/>
        <v>-1.4725002394056768</v>
      </c>
      <c r="U476">
        <f t="shared" si="387"/>
        <v>0.12084537705941044</v>
      </c>
      <c r="V476">
        <f t="shared" si="388"/>
        <v>-1.449654870160098</v>
      </c>
      <c r="X476">
        <f t="shared" si="405"/>
        <v>-48.871019963081665</v>
      </c>
      <c r="Y476">
        <f t="shared" si="389"/>
        <v>-172.93151666118013</v>
      </c>
      <c r="Z476">
        <f t="shared" si="406"/>
        <v>7.068483338819874</v>
      </c>
      <c r="AC476">
        <v>1</v>
      </c>
      <c r="AD476">
        <f t="shared" si="390"/>
        <v>380.60017963632004</v>
      </c>
      <c r="AE476">
        <f t="shared" si="391"/>
        <v>-0.46990645568511807</v>
      </c>
      <c r="AF476">
        <f t="shared" si="392"/>
        <v>5.7205260563850002E-2</v>
      </c>
      <c r="AG476">
        <f t="shared" si="367"/>
        <v>95.064246707930749</v>
      </c>
      <c r="AH476">
        <f t="shared" si="368"/>
        <v>-798.375932261039</v>
      </c>
      <c r="AJ476">
        <f t="shared" si="393"/>
        <v>18000</v>
      </c>
      <c r="AK476">
        <f t="shared" si="394"/>
        <v>182530.05154876801</v>
      </c>
      <c r="AL476">
        <v>1</v>
      </c>
      <c r="AM476">
        <f t="shared" si="395"/>
        <v>336.08707904217601</v>
      </c>
      <c r="AN476">
        <f t="shared" si="369"/>
        <v>543.25799491356065</v>
      </c>
      <c r="AO476">
        <f t="shared" si="370"/>
        <v>-51.941128039902324</v>
      </c>
      <c r="AQ476">
        <f t="shared" si="396"/>
        <v>1.4567913500391366E-3</v>
      </c>
      <c r="AR476">
        <f t="shared" si="397"/>
        <v>-3.816793337102538</v>
      </c>
      <c r="AT476">
        <f t="shared" si="418"/>
        <v>-3047.0974499846589</v>
      </c>
      <c r="AU476">
        <f t="shared" si="419"/>
        <v>-364.00365058369925</v>
      </c>
      <c r="AV476">
        <f t="shared" si="407"/>
        <v>-3.0226969406711861</v>
      </c>
      <c r="AW476">
        <f t="shared" si="408"/>
        <v>443.90373025834998</v>
      </c>
      <c r="AX476">
        <f t="shared" si="409"/>
        <v>-3054.8855261353201</v>
      </c>
      <c r="AY476">
        <f t="shared" si="417"/>
        <v>-1.4264968423417934</v>
      </c>
      <c r="BA476">
        <f t="shared" si="398"/>
        <v>0.9941021296057948</v>
      </c>
      <c r="BB476">
        <f t="shared" si="410"/>
        <v>-5.1379916766506772E-2</v>
      </c>
      <c r="BC476">
        <f t="shared" si="411"/>
        <v>-1.5962000983293927</v>
      </c>
      <c r="BD476">
        <f t="shared" si="399"/>
        <v>-271.45552899714437</v>
      </c>
      <c r="BF476">
        <f t="shared" si="400"/>
        <v>-52.288048537770692</v>
      </c>
      <c r="BG476">
        <f t="shared" si="401"/>
        <v>-186.63887208949367</v>
      </c>
      <c r="BH476">
        <f t="shared" si="412"/>
        <v>-6.6388720894936739</v>
      </c>
      <c r="BI476">
        <f t="shared" si="413"/>
        <v>-6.6388720894936739</v>
      </c>
      <c r="BJ476">
        <f t="shared" si="402"/>
        <v>0</v>
      </c>
      <c r="BK476">
        <f t="shared" si="414"/>
        <v>0</v>
      </c>
      <c r="BM476">
        <f t="shared" si="415"/>
        <v>-52.236668621004185</v>
      </c>
      <c r="BN476">
        <f t="shared" si="403"/>
        <v>-95.183343092349304</v>
      </c>
      <c r="BQ476" s="56">
        <f t="shared" si="416"/>
        <v>16.850580883518631</v>
      </c>
    </row>
    <row r="477" spans="1:69" x14ac:dyDescent="0.25">
      <c r="A477">
        <f t="shared" si="420"/>
        <v>1315000</v>
      </c>
      <c r="B477">
        <f t="shared" si="404"/>
        <v>1315</v>
      </c>
      <c r="C477">
        <f t="shared" si="373"/>
        <v>10.952101931350748</v>
      </c>
      <c r="D477">
        <f t="shared" si="374"/>
        <v>1.4793623052818905</v>
      </c>
      <c r="F477">
        <f t="shared" si="375"/>
        <v>1.4822091284731782E-5</v>
      </c>
      <c r="G477">
        <f t="shared" si="376"/>
        <v>1.3096497494727273E-3</v>
      </c>
      <c r="H477">
        <f t="shared" si="377"/>
        <v>-3.1402830002505273</v>
      </c>
      <c r="J477">
        <f t="shared" si="378"/>
        <v>15</v>
      </c>
      <c r="M477">
        <f t="shared" si="379"/>
        <v>9.6746902568443428E-4</v>
      </c>
      <c r="N477">
        <f t="shared" si="380"/>
        <v>-1.5707963250000001</v>
      </c>
      <c r="O477">
        <f t="shared" si="381"/>
        <v>382.05416079489254</v>
      </c>
      <c r="P477">
        <f t="shared" si="382"/>
        <v>1.5681788938640624</v>
      </c>
      <c r="Q477">
        <f t="shared" si="383"/>
        <v>337.37133620275557</v>
      </c>
      <c r="R477">
        <f t="shared" si="384"/>
        <v>1.5678322295020768</v>
      </c>
      <c r="S477">
        <f t="shared" si="385"/>
        <v>9.7768298121465355E-2</v>
      </c>
      <c r="T477">
        <f t="shared" si="386"/>
        <v>-1.472871599543031</v>
      </c>
      <c r="U477">
        <f t="shared" si="387"/>
        <v>0.12039256144907608</v>
      </c>
      <c r="V477">
        <f t="shared" si="388"/>
        <v>-1.4501110161516355</v>
      </c>
      <c r="X477">
        <f t="shared" si="405"/>
        <v>-48.936677713779638</v>
      </c>
      <c r="Y477">
        <f t="shared" si="389"/>
        <v>-172.9581116168863</v>
      </c>
      <c r="Z477">
        <f t="shared" si="406"/>
        <v>7.0418883831137009</v>
      </c>
      <c r="AC477">
        <v>1</v>
      </c>
      <c r="AD477">
        <f t="shared" si="390"/>
        <v>382.05285207768003</v>
      </c>
      <c r="AE477">
        <f t="shared" si="391"/>
        <v>-0.47350037342351747</v>
      </c>
      <c r="AF477">
        <f t="shared" si="392"/>
        <v>5.7423601253025001E-2</v>
      </c>
      <c r="AG477">
        <f t="shared" si="367"/>
        <v>94.353157434021497</v>
      </c>
      <c r="AH477">
        <f t="shared" si="368"/>
        <v>-795.42651944510271</v>
      </c>
      <c r="AJ477">
        <f t="shared" si="393"/>
        <v>18000</v>
      </c>
      <c r="AK477">
        <f t="shared" si="394"/>
        <v>183226.73113483199</v>
      </c>
      <c r="AL477">
        <v>1</v>
      </c>
      <c r="AM477">
        <f t="shared" si="395"/>
        <v>337.36985415302399</v>
      </c>
      <c r="AN477">
        <f t="shared" si="369"/>
        <v>543.25682189859822</v>
      </c>
      <c r="AO477">
        <f t="shared" si="370"/>
        <v>-51.743636733421305</v>
      </c>
      <c r="AQ477">
        <f t="shared" si="396"/>
        <v>1.4457341517537985E-3</v>
      </c>
      <c r="AR477">
        <f t="shared" si="397"/>
        <v>-3.8022808191124899</v>
      </c>
      <c r="AT477">
        <f t="shared" si="418"/>
        <v>-3024.2985883174938</v>
      </c>
      <c r="AU477">
        <f t="shared" si="419"/>
        <v>-359.90717601845341</v>
      </c>
      <c r="AV477">
        <f t="shared" si="407"/>
        <v>-3.0231445477588075</v>
      </c>
      <c r="AW477">
        <f t="shared" si="408"/>
        <v>444.66744007210315</v>
      </c>
      <c r="AX477">
        <f t="shared" si="409"/>
        <v>-3043.3539263391181</v>
      </c>
      <c r="AY477">
        <f t="shared" si="417"/>
        <v>-1.4257119695644977</v>
      </c>
      <c r="BA477">
        <f t="shared" si="398"/>
        <v>0.99023656978144581</v>
      </c>
      <c r="BB477">
        <f t="shared" si="410"/>
        <v>-8.5220781237577647E-2</v>
      </c>
      <c r="BC477">
        <f t="shared" si="411"/>
        <v>-1.5974325781943097</v>
      </c>
      <c r="BD477">
        <f t="shared" si="399"/>
        <v>-271.52614489181968</v>
      </c>
      <c r="BF477">
        <f t="shared" si="400"/>
        <v>-52.355256385024475</v>
      </c>
      <c r="BG477">
        <f t="shared" si="401"/>
        <v>-186.68989092819857</v>
      </c>
      <c r="BH477">
        <f t="shared" si="412"/>
        <v>-6.6898909281985652</v>
      </c>
      <c r="BI477">
        <f t="shared" si="413"/>
        <v>-6.6898909281985652</v>
      </c>
      <c r="BJ477">
        <f t="shared" si="402"/>
        <v>0</v>
      </c>
      <c r="BK477">
        <f t="shared" si="414"/>
        <v>0</v>
      </c>
      <c r="BM477">
        <f t="shared" si="415"/>
        <v>-52.270035603786901</v>
      </c>
      <c r="BN477">
        <f t="shared" si="403"/>
        <v>-95.16374603637891</v>
      </c>
      <c r="BQ477" s="56">
        <f t="shared" si="416"/>
        <v>16.816740019047561</v>
      </c>
    </row>
    <row r="478" spans="1:69" x14ac:dyDescent="0.25">
      <c r="A478">
        <f t="shared" si="420"/>
        <v>1320000</v>
      </c>
      <c r="B478">
        <f t="shared" si="404"/>
        <v>1320</v>
      </c>
      <c r="C478">
        <f t="shared" si="373"/>
        <v>10.993398382873306</v>
      </c>
      <c r="D478">
        <f t="shared" si="374"/>
        <v>1.4797067300450824</v>
      </c>
      <c r="F478">
        <f t="shared" si="375"/>
        <v>1.4710013819193319E-5</v>
      </c>
      <c r="G478">
        <f t="shared" si="376"/>
        <v>1.3046888135230907E-3</v>
      </c>
      <c r="H478">
        <f t="shared" si="377"/>
        <v>-3.1402879611864769</v>
      </c>
      <c r="J478">
        <f t="shared" si="378"/>
        <v>15</v>
      </c>
      <c r="M478">
        <f t="shared" si="379"/>
        <v>9.6380437028411431E-4</v>
      </c>
      <c r="N478">
        <f t="shared" si="380"/>
        <v>-1.5707963250000001</v>
      </c>
      <c r="O478">
        <f t="shared" si="381"/>
        <v>383.50682827900727</v>
      </c>
      <c r="P478">
        <f t="shared" si="382"/>
        <v>1.5681888083377142</v>
      </c>
      <c r="Q478">
        <f t="shared" si="383"/>
        <v>338.65410569980332</v>
      </c>
      <c r="R478">
        <f t="shared" si="384"/>
        <v>1.5678434570779476</v>
      </c>
      <c r="S478">
        <f t="shared" si="385"/>
        <v>9.7401483655908699E-2</v>
      </c>
      <c r="T478">
        <f t="shared" si="386"/>
        <v>-1.4732401731370233</v>
      </c>
      <c r="U478">
        <f t="shared" si="387"/>
        <v>0.11994310195303615</v>
      </c>
      <c r="V478">
        <f t="shared" si="388"/>
        <v>-1.4505637563926901</v>
      </c>
      <c r="X478">
        <f t="shared" si="405"/>
        <v>-49.002090158927551</v>
      </c>
      <c r="Y478">
        <f t="shared" si="389"/>
        <v>-172.98450823851405</v>
      </c>
      <c r="Z478">
        <f t="shared" si="406"/>
        <v>7.0154917614859471</v>
      </c>
      <c r="AC478">
        <v>1</v>
      </c>
      <c r="AD478">
        <f t="shared" si="390"/>
        <v>383.50552451904002</v>
      </c>
      <c r="AE478">
        <f t="shared" si="391"/>
        <v>-0.47710798227711076</v>
      </c>
      <c r="AF478">
        <f t="shared" si="392"/>
        <v>5.7641941942200001E-2</v>
      </c>
      <c r="AG478">
        <f t="shared" si="367"/>
        <v>93.64997840545729</v>
      </c>
      <c r="AH478">
        <f t="shared" si="368"/>
        <v>-792.49849498702054</v>
      </c>
      <c r="AJ478">
        <f t="shared" si="393"/>
        <v>18000</v>
      </c>
      <c r="AK478">
        <f t="shared" si="394"/>
        <v>183923.41072089598</v>
      </c>
      <c r="AL478">
        <v>1</v>
      </c>
      <c r="AM478">
        <f t="shared" si="395"/>
        <v>338.65262926387197</v>
      </c>
      <c r="AN478">
        <f t="shared" si="369"/>
        <v>543.25566218793472</v>
      </c>
      <c r="AO478">
        <f t="shared" si="370"/>
        <v>-51.547641533915538</v>
      </c>
      <c r="AQ478">
        <f t="shared" si="396"/>
        <v>1.4348023653003952E-3</v>
      </c>
      <c r="AR478">
        <f t="shared" si="397"/>
        <v>-3.7878782443930437</v>
      </c>
      <c r="AT478">
        <f t="shared" si="418"/>
        <v>-3001.7534386650382</v>
      </c>
      <c r="AU478">
        <f t="shared" si="419"/>
        <v>-355.87179450501441</v>
      </c>
      <c r="AV478">
        <f t="shared" si="407"/>
        <v>-3.0235888137840972</v>
      </c>
      <c r="AW478">
        <f t="shared" si="408"/>
        <v>445.42232814443958</v>
      </c>
      <c r="AX478">
        <f t="shared" si="409"/>
        <v>-3031.9087580767659</v>
      </c>
      <c r="AY478">
        <f t="shared" si="417"/>
        <v>-1.4249282561849022</v>
      </c>
      <c r="BA478">
        <f t="shared" si="398"/>
        <v>0.98639953846113149</v>
      </c>
      <c r="BB478">
        <f t="shared" si="410"/>
        <v>-0.11894279239553585</v>
      </c>
      <c r="BC478">
        <f t="shared" si="411"/>
        <v>-1.598660557599195</v>
      </c>
      <c r="BD478">
        <f t="shared" si="399"/>
        <v>-271.59650292912897</v>
      </c>
      <c r="BF478">
        <f t="shared" si="400"/>
        <v>-52.422216669241386</v>
      </c>
      <c r="BG478">
        <f t="shared" si="401"/>
        <v>-186.74079912088732</v>
      </c>
      <c r="BH478">
        <f t="shared" si="412"/>
        <v>-6.740799120887317</v>
      </c>
      <c r="BI478">
        <f t="shared" si="413"/>
        <v>-6.740799120887317</v>
      </c>
      <c r="BJ478">
        <f t="shared" si="402"/>
        <v>0</v>
      </c>
      <c r="BK478">
        <f t="shared" si="414"/>
        <v>0</v>
      </c>
      <c r="BM478">
        <f t="shared" si="415"/>
        <v>-52.303273876845857</v>
      </c>
      <c r="BN478">
        <f t="shared" si="403"/>
        <v>-95.144296191758343</v>
      </c>
      <c r="BQ478" s="56">
        <f t="shared" si="416"/>
        <v>16.783018007889602</v>
      </c>
    </row>
    <row r="479" spans="1:69" x14ac:dyDescent="0.25">
      <c r="A479">
        <f t="shared" si="420"/>
        <v>1325000</v>
      </c>
      <c r="B479">
        <f t="shared" si="404"/>
        <v>1325</v>
      </c>
      <c r="C479">
        <f t="shared" si="373"/>
        <v>11.034696128764029</v>
      </c>
      <c r="D479">
        <f t="shared" si="374"/>
        <v>1.4800485768045244</v>
      </c>
      <c r="F479">
        <f t="shared" si="375"/>
        <v>1.459920278308662E-5</v>
      </c>
      <c r="G479">
        <f t="shared" si="376"/>
        <v>1.2997653201917176E-3</v>
      </c>
      <c r="H479">
        <f t="shared" si="377"/>
        <v>-3.1402928846798086</v>
      </c>
      <c r="J479">
        <f t="shared" si="378"/>
        <v>15</v>
      </c>
      <c r="M479">
        <f t="shared" si="379"/>
        <v>9.6016737266040085E-4</v>
      </c>
      <c r="N479">
        <f t="shared" si="380"/>
        <v>-1.5707963250000001</v>
      </c>
      <c r="O479">
        <f t="shared" si="381"/>
        <v>384.95949580053491</v>
      </c>
      <c r="P479">
        <f t="shared" si="382"/>
        <v>1.5681986479856567</v>
      </c>
      <c r="Q479">
        <f t="shared" si="383"/>
        <v>339.93687523921915</v>
      </c>
      <c r="R479">
        <f t="shared" si="384"/>
        <v>1.5678545999181328</v>
      </c>
      <c r="S479">
        <f t="shared" si="385"/>
        <v>9.7037398351522752E-2</v>
      </c>
      <c r="T479">
        <f t="shared" si="386"/>
        <v>-1.4736059913351225</v>
      </c>
      <c r="U479">
        <f t="shared" si="387"/>
        <v>0.11949696167283333</v>
      </c>
      <c r="V479">
        <f t="shared" si="388"/>
        <v>-1.4510131287007006</v>
      </c>
      <c r="X479">
        <f t="shared" si="405"/>
        <v>-49.067259110595963</v>
      </c>
      <c r="Y479">
        <f t="shared" si="389"/>
        <v>-173.01070872486196</v>
      </c>
      <c r="Z479">
        <f t="shared" si="406"/>
        <v>6.9892912751380436</v>
      </c>
      <c r="AC479">
        <v>1</v>
      </c>
      <c r="AD479">
        <f t="shared" si="390"/>
        <v>384.95819696039996</v>
      </c>
      <c r="AE479">
        <f t="shared" si="391"/>
        <v>-0.48072928224589795</v>
      </c>
      <c r="AF479">
        <f t="shared" si="392"/>
        <v>5.7860282631375E-2</v>
      </c>
      <c r="AG479">
        <f t="shared" si="367"/>
        <v>92.954593300572498</v>
      </c>
      <c r="AH479">
        <f t="shared" si="368"/>
        <v>-789.59163075484423</v>
      </c>
      <c r="AJ479">
        <f t="shared" si="393"/>
        <v>18000</v>
      </c>
      <c r="AK479">
        <f t="shared" si="394"/>
        <v>184620.09030695999</v>
      </c>
      <c r="AL479">
        <v>1</v>
      </c>
      <c r="AM479">
        <f t="shared" si="395"/>
        <v>339.93540437472001</v>
      </c>
      <c r="AN479">
        <f t="shared" si="369"/>
        <v>543.25451558113252</v>
      </c>
      <c r="AO479">
        <f t="shared" si="370"/>
        <v>-51.35312550491453</v>
      </c>
      <c r="AQ479">
        <f t="shared" si="396"/>
        <v>1.423994101246835E-3</v>
      </c>
      <c r="AR479">
        <f t="shared" si="397"/>
        <v>-3.7735843683041126</v>
      </c>
      <c r="AT479">
        <f t="shared" si="418"/>
        <v>-2979.458268367689</v>
      </c>
      <c r="AU479">
        <f t="shared" si="419"/>
        <v>-351.89637406569534</v>
      </c>
      <c r="AV479">
        <f t="shared" si="407"/>
        <v>-3.024029775832183</v>
      </c>
      <c r="AW479">
        <f t="shared" si="408"/>
        <v>446.16853032067661</v>
      </c>
      <c r="AX479">
        <f t="shared" si="409"/>
        <v>-3020.549056468285</v>
      </c>
      <c r="AY479">
        <f t="shared" si="417"/>
        <v>-1.4241456906227157</v>
      </c>
      <c r="BA479">
        <f t="shared" si="398"/>
        <v>0.98259071844962287</v>
      </c>
      <c r="BB479">
        <f t="shared" si="410"/>
        <v>-0.15254685053626069</v>
      </c>
      <c r="BC479">
        <f t="shared" si="411"/>
        <v>-1.5998840852094673</v>
      </c>
      <c r="BD479">
        <f t="shared" si="399"/>
        <v>-271.66660589739541</v>
      </c>
      <c r="BF479">
        <f t="shared" si="400"/>
        <v>-52.48893128714645</v>
      </c>
      <c r="BG479">
        <f t="shared" si="401"/>
        <v>-186.7915978079638</v>
      </c>
      <c r="BH479">
        <f t="shared" si="412"/>
        <v>-6.7915978079637966</v>
      </c>
      <c r="BI479">
        <f t="shared" si="413"/>
        <v>-6.7915978079637966</v>
      </c>
      <c r="BJ479">
        <f t="shared" si="402"/>
        <v>0</v>
      </c>
      <c r="BK479">
        <f t="shared" si="414"/>
        <v>0</v>
      </c>
      <c r="BM479">
        <f t="shared" si="415"/>
        <v>-52.336384436610189</v>
      </c>
      <c r="BN479">
        <f t="shared" si="403"/>
        <v>-95.124991910568411</v>
      </c>
      <c r="BQ479" s="56">
        <f t="shared" si="416"/>
        <v>16.749413949748877</v>
      </c>
    </row>
    <row r="480" spans="1:69" x14ac:dyDescent="0.25">
      <c r="A480">
        <f t="shared" si="420"/>
        <v>1330000</v>
      </c>
      <c r="B480">
        <f t="shared" si="404"/>
        <v>1330</v>
      </c>
      <c r="C480">
        <f t="shared" si="373"/>
        <v>11.075995154544449</v>
      </c>
      <c r="D480">
        <f t="shared" si="374"/>
        <v>1.4803878743176524</v>
      </c>
      <c r="F480">
        <f t="shared" si="375"/>
        <v>1.4489639167765544E-5</v>
      </c>
      <c r="G480">
        <f t="shared" si="376"/>
        <v>1.29487884716963E-3</v>
      </c>
      <c r="H480">
        <f t="shared" si="377"/>
        <v>-3.1402977711528304</v>
      </c>
      <c r="J480">
        <f t="shared" si="378"/>
        <v>15</v>
      </c>
      <c r="M480">
        <f t="shared" si="379"/>
        <v>9.5655772088348206E-4</v>
      </c>
      <c r="N480">
        <f t="shared" si="380"/>
        <v>-1.5707963250000001</v>
      </c>
      <c r="O480">
        <f t="shared" si="381"/>
        <v>386.41216335905369</v>
      </c>
      <c r="P480">
        <f t="shared" si="382"/>
        <v>1.5682084136517811</v>
      </c>
      <c r="Q480">
        <f t="shared" si="383"/>
        <v>341.21964482052516</v>
      </c>
      <c r="R480">
        <f t="shared" si="384"/>
        <v>1.5678656589782871</v>
      </c>
      <c r="S480">
        <f t="shared" si="385"/>
        <v>9.6676012008310136E-2</v>
      </c>
      <c r="T480">
        <f t="shared" si="386"/>
        <v>-1.4739690848237754</v>
      </c>
      <c r="U480">
        <f t="shared" si="387"/>
        <v>0.11905410424484042</v>
      </c>
      <c r="V480">
        <f t="shared" si="388"/>
        <v>-1.4514591703379844</v>
      </c>
      <c r="X480">
        <f t="shared" si="405"/>
        <v>-49.132186361005488</v>
      </c>
      <c r="Y480">
        <f t="shared" si="389"/>
        <v>-173.03671524251766</v>
      </c>
      <c r="Z480">
        <f t="shared" si="406"/>
        <v>6.9632847574823415</v>
      </c>
      <c r="AC480">
        <v>1</v>
      </c>
      <c r="AD480">
        <f t="shared" si="390"/>
        <v>386.41086940176001</v>
      </c>
      <c r="AE480">
        <f t="shared" si="391"/>
        <v>-0.48436427332987908</v>
      </c>
      <c r="AF480">
        <f t="shared" si="392"/>
        <v>5.8078623320550006E-2</v>
      </c>
      <c r="AG480">
        <f t="shared" si="367"/>
        <v>92.266887917490706</v>
      </c>
      <c r="AH480">
        <f t="shared" si="368"/>
        <v>-786.70570179300341</v>
      </c>
      <c r="AJ480">
        <f t="shared" si="393"/>
        <v>18000</v>
      </c>
      <c r="AK480">
        <f t="shared" si="394"/>
        <v>185316.769893024</v>
      </c>
      <c r="AL480">
        <v>1</v>
      </c>
      <c r="AM480">
        <f t="shared" si="395"/>
        <v>341.21817948556799</v>
      </c>
      <c r="AN480">
        <f t="shared" si="369"/>
        <v>543.25338188151511</v>
      </c>
      <c r="AO480">
        <f t="shared" si="370"/>
        <v>-51.160071964620592</v>
      </c>
      <c r="AQ480">
        <f t="shared" si="396"/>
        <v>1.4133075056097708E-3</v>
      </c>
      <c r="AR480">
        <f t="shared" si="397"/>
        <v>-3.7593979649219902</v>
      </c>
      <c r="AT480">
        <f t="shared" si="418"/>
        <v>-2957.4094128279303</v>
      </c>
      <c r="AU480">
        <f t="shared" si="419"/>
        <v>-347.97980773974996</v>
      </c>
      <c r="AV480">
        <f t="shared" si="407"/>
        <v>-3.0244674704440833</v>
      </c>
      <c r="AW480">
        <f t="shared" si="408"/>
        <v>446.90617983298557</v>
      </c>
      <c r="AX480">
        <f t="shared" si="409"/>
        <v>-3009.2738708968996</v>
      </c>
      <c r="AY480">
        <f t="shared" si="417"/>
        <v>-1.423364261492057</v>
      </c>
      <c r="BA480">
        <f t="shared" si="398"/>
        <v>0.97880979722292116</v>
      </c>
      <c r="BB480">
        <f t="shared" si="410"/>
        <v>-0.18603384609932203</v>
      </c>
      <c r="BC480">
        <f t="shared" si="411"/>
        <v>-1.6011032089520263</v>
      </c>
      <c r="BD480">
        <f t="shared" si="399"/>
        <v>-271.73645654262805</v>
      </c>
      <c r="BF480">
        <f t="shared" si="400"/>
        <v>-52.555402114006462</v>
      </c>
      <c r="BG480">
        <f t="shared" si="401"/>
        <v>-186.84228811195388</v>
      </c>
      <c r="BH480">
        <f t="shared" si="412"/>
        <v>-6.8422881119538772</v>
      </c>
      <c r="BI480">
        <f t="shared" si="413"/>
        <v>-6.8422881119538772</v>
      </c>
      <c r="BJ480">
        <f t="shared" si="402"/>
        <v>0</v>
      </c>
      <c r="BK480">
        <f t="shared" si="414"/>
        <v>0</v>
      </c>
      <c r="BM480">
        <f t="shared" si="415"/>
        <v>-52.369368267907142</v>
      </c>
      <c r="BN480">
        <f t="shared" si="403"/>
        <v>-95.105831569325844</v>
      </c>
      <c r="BQ480" s="56">
        <f t="shared" si="416"/>
        <v>16.715926954185814</v>
      </c>
    </row>
    <row r="481" spans="1:69" x14ac:dyDescent="0.25">
      <c r="A481">
        <f t="shared" si="420"/>
        <v>1335000</v>
      </c>
      <c r="B481">
        <f t="shared" si="404"/>
        <v>1335</v>
      </c>
      <c r="C481">
        <f t="shared" si="373"/>
        <v>11.117295445950791</v>
      </c>
      <c r="D481">
        <f t="shared" si="374"/>
        <v>1.4807246509169385</v>
      </c>
      <c r="F481">
        <f t="shared" si="375"/>
        <v>1.4381304319892977E-5</v>
      </c>
      <c r="G481">
        <f t="shared" si="376"/>
        <v>1.2900289784750205E-3</v>
      </c>
      <c r="H481">
        <f t="shared" si="377"/>
        <v>-3.140302621021525</v>
      </c>
      <c r="J481">
        <f t="shared" si="378"/>
        <v>15</v>
      </c>
      <c r="M481">
        <f t="shared" si="379"/>
        <v>9.5297510769665249E-4</v>
      </c>
      <c r="N481">
        <f t="shared" si="380"/>
        <v>-1.5707963250000001</v>
      </c>
      <c r="O481">
        <f t="shared" si="381"/>
        <v>387.86483095414781</v>
      </c>
      <c r="P481">
        <f t="shared" si="382"/>
        <v>1.5682181061673364</v>
      </c>
      <c r="Q481">
        <f t="shared" si="383"/>
        <v>342.50241444325064</v>
      </c>
      <c r="R481">
        <f t="shared" si="384"/>
        <v>1.5678766351997484</v>
      </c>
      <c r="S481">
        <f t="shared" si="385"/>
        <v>9.6317294868058456E-2</v>
      </c>
      <c r="T481">
        <f t="shared" si="386"/>
        <v>-1.4743294838368775</v>
      </c>
      <c r="U481">
        <f t="shared" si="387"/>
        <v>0.11861449383068141</v>
      </c>
      <c r="V481">
        <f t="shared" si="388"/>
        <v>-1.4519019180218367</v>
      </c>
      <c r="X481">
        <f t="shared" si="405"/>
        <v>-49.196873682813461</v>
      </c>
      <c r="Y481">
        <f t="shared" si="389"/>
        <v>-173.06252992644312</v>
      </c>
      <c r="Z481">
        <f t="shared" si="406"/>
        <v>6.9374700735568808</v>
      </c>
      <c r="AC481">
        <v>1</v>
      </c>
      <c r="AD481">
        <f t="shared" si="390"/>
        <v>387.86354184312</v>
      </c>
      <c r="AE481">
        <f t="shared" si="391"/>
        <v>-0.48801295552905405</v>
      </c>
      <c r="AF481">
        <f t="shared" si="392"/>
        <v>5.8296964009724991E-2</v>
      </c>
      <c r="AG481">
        <f t="shared" si="367"/>
        <v>91.586750128169953</v>
      </c>
      <c r="AH481">
        <f t="shared" si="368"/>
        <v>-783.84048626831316</v>
      </c>
      <c r="AJ481">
        <f t="shared" si="393"/>
        <v>18000</v>
      </c>
      <c r="AK481">
        <f t="shared" si="394"/>
        <v>186013.44947908798</v>
      </c>
      <c r="AL481">
        <v>1</v>
      </c>
      <c r="AM481">
        <f t="shared" si="395"/>
        <v>342.50095459641602</v>
      </c>
      <c r="AN481">
        <f t="shared" si="369"/>
        <v>543.25226089608145</v>
      </c>
      <c r="AO481">
        <f t="shared" si="370"/>
        <v>-50.968464481139847</v>
      </c>
      <c r="AQ481">
        <f t="shared" si="396"/>
        <v>1.402740759059496E-3</v>
      </c>
      <c r="AR481">
        <f t="shared" si="397"/>
        <v>-3.7453178266888543</v>
      </c>
      <c r="AT481">
        <f t="shared" si="418"/>
        <v>-2935.6032740337787</v>
      </c>
      <c r="AU481">
        <f t="shared" si="419"/>
        <v>-344.12101294222219</v>
      </c>
      <c r="AV481">
        <f t="shared" si="407"/>
        <v>-3.0249019336265999</v>
      </c>
      <c r="AW481">
        <f t="shared" si="408"/>
        <v>447.63540736064289</v>
      </c>
      <c r="AX481">
        <f t="shared" si="409"/>
        <v>-2998.0822647472355</v>
      </c>
      <c r="AY481">
        <f t="shared" si="417"/>
        <v>-1.422583957597507</v>
      </c>
      <c r="BA481">
        <f t="shared" si="398"/>
        <v>0.97505646684301761</v>
      </c>
      <c r="BB481">
        <f t="shared" si="410"/>
        <v>-0.21940465980911322</v>
      </c>
      <c r="BC481">
        <f t="shared" si="411"/>
        <v>-1.6023179760290929</v>
      </c>
      <c r="BD481">
        <f t="shared" si="399"/>
        <v>-271.80605756931493</v>
      </c>
      <c r="BF481">
        <f t="shared" si="400"/>
        <v>-52.621631003951627</v>
      </c>
      <c r="BG481">
        <f t="shared" si="401"/>
        <v>-186.89287113784857</v>
      </c>
      <c r="BH481">
        <f t="shared" si="412"/>
        <v>-6.892871137848573</v>
      </c>
      <c r="BI481">
        <f t="shared" si="413"/>
        <v>-6.892871137848573</v>
      </c>
      <c r="BJ481">
        <f t="shared" si="402"/>
        <v>0</v>
      </c>
      <c r="BK481">
        <f t="shared" si="414"/>
        <v>0</v>
      </c>
      <c r="BM481">
        <f t="shared" si="415"/>
        <v>-52.402226344142512</v>
      </c>
      <c r="BN481">
        <f t="shared" si="403"/>
        <v>-95.086813568533628</v>
      </c>
      <c r="BQ481" s="56">
        <f t="shared" si="416"/>
        <v>16.682556140476024</v>
      </c>
    </row>
    <row r="482" spans="1:69" x14ac:dyDescent="0.25">
      <c r="A482">
        <f t="shared" si="420"/>
        <v>1340000</v>
      </c>
      <c r="B482">
        <f t="shared" si="404"/>
        <v>1340</v>
      </c>
      <c r="C482">
        <f t="shared" si="373"/>
        <v>11.158596988930022</v>
      </c>
      <c r="D482">
        <f t="shared" si="374"/>
        <v>1.4810589345176921</v>
      </c>
      <c r="F482">
        <f t="shared" si="375"/>
        <v>1.4274179933500798E-5</v>
      </c>
      <c r="G482">
        <f t="shared" si="376"/>
        <v>1.2852153043351976E-3</v>
      </c>
      <c r="H482">
        <f t="shared" si="377"/>
        <v>-3.1403074346956652</v>
      </c>
      <c r="J482">
        <f t="shared" si="378"/>
        <v>15</v>
      </c>
      <c r="M482">
        <f t="shared" si="379"/>
        <v>9.4941923042912756E-4</v>
      </c>
      <c r="N482">
        <f t="shared" si="380"/>
        <v>-1.5707963250000001</v>
      </c>
      <c r="O482">
        <f t="shared" si="381"/>
        <v>389.31749858540798</v>
      </c>
      <c r="P482">
        <f t="shared" si="382"/>
        <v>1.5682277263511653</v>
      </c>
      <c r="Q482">
        <f t="shared" si="383"/>
        <v>343.78518410693209</v>
      </c>
      <c r="R482">
        <f t="shared" si="384"/>
        <v>1.5678875295098049</v>
      </c>
      <c r="S482">
        <f t="shared" si="385"/>
        <v>9.5961217606331195E-2</v>
      </c>
      <c r="T482">
        <f t="shared" si="386"/>
        <v>-1.4746872181640589</v>
      </c>
      <c r="U482">
        <f t="shared" si="387"/>
        <v>0.11817809510785592</v>
      </c>
      <c r="V482">
        <f t="shared" si="388"/>
        <v>-1.4523414079344095</v>
      </c>
      <c r="X482">
        <f t="shared" si="405"/>
        <v>-49.261322829395326</v>
      </c>
      <c r="Y482">
        <f t="shared" si="389"/>
        <v>-173.08815488054597</v>
      </c>
      <c r="Z482">
        <f t="shared" si="406"/>
        <v>6.9118451194540285</v>
      </c>
      <c r="AC482">
        <v>1</v>
      </c>
      <c r="AD482">
        <f t="shared" si="390"/>
        <v>389.31621428448</v>
      </c>
      <c r="AE482">
        <f t="shared" si="391"/>
        <v>-0.49167532884342297</v>
      </c>
      <c r="AF482">
        <f t="shared" si="392"/>
        <v>5.8515304698899991E-2</v>
      </c>
      <c r="AG482">
        <f t="shared" si="367"/>
        <v>90.914069833600436</v>
      </c>
      <c r="AH482">
        <f t="shared" si="368"/>
        <v>-780.99576541705187</v>
      </c>
      <c r="AJ482">
        <f t="shared" si="393"/>
        <v>18000</v>
      </c>
      <c r="AK482">
        <f t="shared" si="394"/>
        <v>186710.129065152</v>
      </c>
      <c r="AL482">
        <v>1</v>
      </c>
      <c r="AM482">
        <f t="shared" si="395"/>
        <v>343.783729707264</v>
      </c>
      <c r="AN482">
        <f t="shared" si="369"/>
        <v>543.25115243542507</v>
      </c>
      <c r="AO482">
        <f t="shared" si="370"/>
        <v>-50.778286867820086</v>
      </c>
      <c r="AQ482">
        <f t="shared" si="396"/>
        <v>1.3922920761455676E-3</v>
      </c>
      <c r="AR482">
        <f t="shared" si="397"/>
        <v>-3.7313427640701207</v>
      </c>
      <c r="AT482">
        <f t="shared" si="418"/>
        <v>-2914.0363191192823</v>
      </c>
      <c r="AU482">
        <f t="shared" si="419"/>
        <v>-340.31893084146401</v>
      </c>
      <c r="AV482">
        <f t="shared" si="407"/>
        <v>-3.0253332008619962</v>
      </c>
      <c r="AW482">
        <f t="shared" si="408"/>
        <v>448.35634108866441</v>
      </c>
      <c r="AX482">
        <f t="shared" si="409"/>
        <v>-2986.9733151492615</v>
      </c>
      <c r="AY482">
        <f t="shared" si="417"/>
        <v>-1.4218047679302594</v>
      </c>
      <c r="BA482">
        <f t="shared" si="398"/>
        <v>0.97133042387450463</v>
      </c>
      <c r="BB482">
        <f t="shared" si="410"/>
        <v>-0.25266016281348608</v>
      </c>
      <c r="BC482">
        <f t="shared" si="411"/>
        <v>-1.6035284329317367</v>
      </c>
      <c r="BD482">
        <f t="shared" si="399"/>
        <v>-271.87541164119818</v>
      </c>
      <c r="BF482">
        <f t="shared" si="400"/>
        <v>-52.687619790291038</v>
      </c>
      <c r="BG482">
        <f t="shared" si="401"/>
        <v>-186.94334797343879</v>
      </c>
      <c r="BH482">
        <f t="shared" si="412"/>
        <v>-6.9433479734387902</v>
      </c>
      <c r="BI482">
        <f t="shared" si="413"/>
        <v>-6.9433479734387902</v>
      </c>
      <c r="BJ482">
        <f t="shared" si="402"/>
        <v>0</v>
      </c>
      <c r="BK482">
        <f t="shared" si="414"/>
        <v>0</v>
      </c>
      <c r="BM482">
        <f t="shared" si="415"/>
        <v>-52.434959627477546</v>
      </c>
      <c r="BN482">
        <f t="shared" si="403"/>
        <v>-95.067936332240635</v>
      </c>
      <c r="BQ482" s="56">
        <f t="shared" si="416"/>
        <v>16.649300637471651</v>
      </c>
    </row>
    <row r="483" spans="1:69" x14ac:dyDescent="0.25">
      <c r="A483">
        <f t="shared" si="420"/>
        <v>1345000</v>
      </c>
      <c r="B483">
        <f t="shared" si="404"/>
        <v>1345</v>
      </c>
      <c r="C483">
        <f t="shared" si="373"/>
        <v>11.199899769635973</v>
      </c>
      <c r="D483">
        <f t="shared" si="374"/>
        <v>1.4813907526256875</v>
      </c>
      <c r="F483">
        <f t="shared" si="375"/>
        <v>1.4168248042256037E-5</v>
      </c>
      <c r="G483">
        <f t="shared" si="376"/>
        <v>1.2804374210711629E-3</v>
      </c>
      <c r="H483">
        <f t="shared" si="377"/>
        <v>-3.1403122125789289</v>
      </c>
      <c r="J483">
        <f t="shared" si="378"/>
        <v>15</v>
      </c>
      <c r="M483">
        <f t="shared" si="379"/>
        <v>9.4588979091080386E-4</v>
      </c>
      <c r="N483">
        <f t="shared" si="380"/>
        <v>-1.5707963250000001</v>
      </c>
      <c r="O483">
        <f t="shared" si="381"/>
        <v>390.77016625243073</v>
      </c>
      <c r="P483">
        <f t="shared" si="382"/>
        <v>1.5682372750099338</v>
      </c>
      <c r="Q483">
        <f t="shared" si="383"/>
        <v>345.0679538111126</v>
      </c>
      <c r="R483">
        <f t="shared" si="384"/>
        <v>1.5678983428219564</v>
      </c>
      <c r="S483">
        <f t="shared" si="385"/>
        <v>9.5607751324631549E-2</v>
      </c>
      <c r="T483">
        <f t="shared" si="386"/>
        <v>-1.4750423171587885</v>
      </c>
      <c r="U483">
        <f t="shared" si="387"/>
        <v>0.11774487326056182</v>
      </c>
      <c r="V483">
        <f t="shared" si="388"/>
        <v>-1.4527776757323796</v>
      </c>
      <c r="X483">
        <f t="shared" si="405"/>
        <v>-49.325535535121219</v>
      </c>
      <c r="Y483">
        <f t="shared" si="389"/>
        <v>-173.11359217823909</v>
      </c>
      <c r="Z483">
        <f t="shared" si="406"/>
        <v>6.8864078217609119</v>
      </c>
      <c r="AC483">
        <v>1</v>
      </c>
      <c r="AD483">
        <f t="shared" si="390"/>
        <v>390.76888672583999</v>
      </c>
      <c r="AE483">
        <f t="shared" si="391"/>
        <v>-0.49535139327298577</v>
      </c>
      <c r="AF483">
        <f t="shared" si="392"/>
        <v>5.8733645388074997E-2</v>
      </c>
      <c r="AG483">
        <f t="shared" si="367"/>
        <v>90.24873892012134</v>
      </c>
      <c r="AH483">
        <f t="shared" si="368"/>
        <v>-778.17132349308838</v>
      </c>
      <c r="AJ483">
        <f t="shared" si="393"/>
        <v>18000</v>
      </c>
      <c r="AK483">
        <f t="shared" si="394"/>
        <v>187406.80865121601</v>
      </c>
      <c r="AL483">
        <v>1</v>
      </c>
      <c r="AM483">
        <f t="shared" si="395"/>
        <v>345.06650481811198</v>
      </c>
      <c r="AN483">
        <f t="shared" si="369"/>
        <v>543.25005631365286</v>
      </c>
      <c r="AO483">
        <f t="shared" si="370"/>
        <v>-50.58952317869268</v>
      </c>
      <c r="AQ483">
        <f t="shared" si="396"/>
        <v>1.3819597045425431E-3</v>
      </c>
      <c r="AR483">
        <f t="shared" si="397"/>
        <v>-3.7174716052194405</v>
      </c>
      <c r="AT483">
        <f t="shared" si="418"/>
        <v>-2892.7050789610144</v>
      </c>
      <c r="AU483">
        <f t="shared" si="419"/>
        <v>-336.57252575471165</v>
      </c>
      <c r="AV483">
        <f t="shared" si="407"/>
        <v>-3.0257613071174676</v>
      </c>
      <c r="AW483">
        <f t="shared" si="408"/>
        <v>449.06910676486916</v>
      </c>
      <c r="AX483">
        <f t="shared" si="409"/>
        <v>-2975.9461127278032</v>
      </c>
      <c r="AY483">
        <f t="shared" si="417"/>
        <v>-1.4210266816643637</v>
      </c>
      <c r="BA483">
        <f t="shared" si="398"/>
        <v>0.96763136930298643</v>
      </c>
      <c r="BB483">
        <f t="shared" si="410"/>
        <v>-0.2858012168199881</v>
      </c>
      <c r="BC483">
        <f t="shared" si="411"/>
        <v>-1.6047346254531039</v>
      </c>
      <c r="BD483">
        <f t="shared" si="399"/>
        <v>-271.94452138203172</v>
      </c>
      <c r="BF483">
        <f t="shared" si="400"/>
        <v>-52.753370285822456</v>
      </c>
      <c r="BG483">
        <f t="shared" si="401"/>
        <v>-186.9937196896428</v>
      </c>
      <c r="BH483">
        <f t="shared" si="412"/>
        <v>-6.993719689642802</v>
      </c>
      <c r="BI483">
        <f t="shared" si="413"/>
        <v>-6.993719689642802</v>
      </c>
      <c r="BJ483">
        <f t="shared" si="402"/>
        <v>0</v>
      </c>
      <c r="BK483">
        <f t="shared" si="414"/>
        <v>0</v>
      </c>
      <c r="BM483">
        <f t="shared" si="415"/>
        <v>-52.467569069002458</v>
      </c>
      <c r="BN483">
        <f t="shared" si="403"/>
        <v>-95.049198307611078</v>
      </c>
      <c r="BQ483" s="56">
        <f t="shared" si="416"/>
        <v>16.616159583465148</v>
      </c>
    </row>
    <row r="484" spans="1:69" x14ac:dyDescent="0.25">
      <c r="A484">
        <f t="shared" si="420"/>
        <v>1350000</v>
      </c>
      <c r="B484">
        <f t="shared" si="404"/>
        <v>1350</v>
      </c>
      <c r="C484">
        <f t="shared" si="373"/>
        <v>11.241203774425562</v>
      </c>
      <c r="D484">
        <f t="shared" si="374"/>
        <v>1.4817201323446263</v>
      </c>
      <c r="F484">
        <f t="shared" si="375"/>
        <v>1.4063491011927224E-5</v>
      </c>
      <c r="G484">
        <f t="shared" si="376"/>
        <v>1.2756949309847593E-3</v>
      </c>
      <c r="H484">
        <f t="shared" si="377"/>
        <v>-3.1403169550690153</v>
      </c>
      <c r="J484">
        <f t="shared" si="378"/>
        <v>15</v>
      </c>
      <c r="M484">
        <f t="shared" si="379"/>
        <v>9.4238649538891188E-4</v>
      </c>
      <c r="N484">
        <f t="shared" si="380"/>
        <v>-1.5707963250000001</v>
      </c>
      <c r="O484">
        <f t="shared" si="381"/>
        <v>392.22283395481878</v>
      </c>
      <c r="P484">
        <f t="shared" si="382"/>
        <v>1.5682467529383581</v>
      </c>
      <c r="Q484">
        <f t="shared" si="383"/>
        <v>346.35072355534231</v>
      </c>
      <c r="R484">
        <f t="shared" si="384"/>
        <v>1.5679090760361696</v>
      </c>
      <c r="S484">
        <f t="shared" si="385"/>
        <v>9.5256867542734325E-2</v>
      </c>
      <c r="T484">
        <f t="shared" si="386"/>
        <v>-1.4753948097463032</v>
      </c>
      <c r="U484">
        <f t="shared" si="387"/>
        <v>0.11731479397071211</v>
      </c>
      <c r="V484">
        <f t="shared" si="388"/>
        <v>-1.4532107565564067</v>
      </c>
      <c r="X484">
        <f t="shared" si="405"/>
        <v>-49.389513515627513</v>
      </c>
      <c r="Y484">
        <f t="shared" si="389"/>
        <v>-173.13884386298864</v>
      </c>
      <c r="Z484">
        <f t="shared" si="406"/>
        <v>6.8611561370113634</v>
      </c>
      <c r="AC484">
        <v>1</v>
      </c>
      <c r="AD484">
        <f t="shared" si="390"/>
        <v>392.22155916720004</v>
      </c>
      <c r="AE484">
        <f t="shared" si="391"/>
        <v>-0.49904114881774247</v>
      </c>
      <c r="AF484">
        <f t="shared" si="392"/>
        <v>5.8951986077249996E-2</v>
      </c>
      <c r="AG484">
        <f t="shared" si="367"/>
        <v>89.59065121682552</v>
      </c>
      <c r="AH484">
        <f t="shared" si="368"/>
        <v>-775.36694771703185</v>
      </c>
      <c r="AJ484">
        <f t="shared" si="393"/>
        <v>18000</v>
      </c>
      <c r="AK484">
        <f t="shared" si="394"/>
        <v>188103.48823727999</v>
      </c>
      <c r="AL484">
        <v>1</v>
      </c>
      <c r="AM484">
        <f t="shared" si="395"/>
        <v>346.34927992896002</v>
      </c>
      <c r="AN484">
        <f t="shared" si="369"/>
        <v>543.24897234830803</v>
      </c>
      <c r="AO484">
        <f t="shared" si="370"/>
        <v>-50.402157704015615</v>
      </c>
      <c r="AQ484">
        <f t="shared" si="396"/>
        <v>1.3717419243152367E-3</v>
      </c>
      <c r="AR484">
        <f t="shared" si="397"/>
        <v>-3.7037031956511393</v>
      </c>
      <c r="AT484">
        <f t="shared" si="418"/>
        <v>-2871.60614680954</v>
      </c>
      <c r="AU484">
        <f t="shared" si="419"/>
        <v>-332.8807845611351</v>
      </c>
      <c r="AV484">
        <f t="shared" si="407"/>
        <v>-3.0261862868544065</v>
      </c>
      <c r="AW484">
        <f t="shared" si="408"/>
        <v>449.77382775542492</v>
      </c>
      <c r="AX484">
        <f t="shared" si="409"/>
        <v>-2964.9997613575065</v>
      </c>
      <c r="AY484">
        <f t="shared" si="417"/>
        <v>-1.4202496881530575</v>
      </c>
      <c r="BA484">
        <f t="shared" si="398"/>
        <v>0.96395900845525218</v>
      </c>
      <c r="BB484">
        <f t="shared" si="410"/>
        <v>-0.31882867422967859</v>
      </c>
      <c r="BC484">
        <f t="shared" si="411"/>
        <v>-1.605936598701349</v>
      </c>
      <c r="BD484">
        <f t="shared" si="399"/>
        <v>-272.01338937632249</v>
      </c>
      <c r="BF484">
        <f t="shared" si="400"/>
        <v>-52.818884283136242</v>
      </c>
      <c r="BG484">
        <f t="shared" si="401"/>
        <v>-187.04398734082625</v>
      </c>
      <c r="BH484">
        <f t="shared" si="412"/>
        <v>-7.0439873408262486</v>
      </c>
      <c r="BI484">
        <f t="shared" si="413"/>
        <v>-7.0439873408262486</v>
      </c>
      <c r="BJ484">
        <f t="shared" si="402"/>
        <v>0</v>
      </c>
      <c r="BK484">
        <f t="shared" si="414"/>
        <v>0</v>
      </c>
      <c r="BM484">
        <f t="shared" si="415"/>
        <v>-52.500055608906564</v>
      </c>
      <c r="BN484">
        <f t="shared" si="403"/>
        <v>-95.03059796450377</v>
      </c>
      <c r="BQ484" s="56">
        <f t="shared" si="416"/>
        <v>16.583132126055457</v>
      </c>
    </row>
    <row r="485" spans="1:69" x14ac:dyDescent="0.25">
      <c r="A485">
        <f t="shared" si="420"/>
        <v>1355000</v>
      </c>
      <c r="B485">
        <f t="shared" si="404"/>
        <v>1355</v>
      </c>
      <c r="C485">
        <f t="shared" si="373"/>
        <v>11.282508989855092</v>
      </c>
      <c r="D485">
        <f t="shared" si="374"/>
        <v>1.4820471003834383</v>
      </c>
      <c r="F485">
        <f t="shared" si="375"/>
        <v>1.3959891533044954E-5</v>
      </c>
      <c r="G485">
        <f t="shared" si="376"/>
        <v>1.2709874422483117E-3</v>
      </c>
      <c r="H485">
        <f t="shared" si="377"/>
        <v>-3.1403216625577519</v>
      </c>
      <c r="J485">
        <f t="shared" si="378"/>
        <v>15</v>
      </c>
      <c r="M485">
        <f t="shared" si="379"/>
        <v>9.3890905444651731E-4</v>
      </c>
      <c r="N485">
        <f t="shared" si="380"/>
        <v>-1.5707963250000001</v>
      </c>
      <c r="O485">
        <f t="shared" si="381"/>
        <v>393.6755016921806</v>
      </c>
      <c r="P485">
        <f t="shared" si="382"/>
        <v>1.5682561609194243</v>
      </c>
      <c r="Q485">
        <f t="shared" si="383"/>
        <v>347.63349333917773</v>
      </c>
      <c r="R485">
        <f t="shared" si="384"/>
        <v>1.5679197300391277</v>
      </c>
      <c r="S485">
        <f t="shared" si="385"/>
        <v>9.4908538191182376E-2</v>
      </c>
      <c r="T485">
        <f t="shared" si="386"/>
        <v>-1.4757447244313644</v>
      </c>
      <c r="U485">
        <f t="shared" si="387"/>
        <v>0.11688782340914003</v>
      </c>
      <c r="V485">
        <f t="shared" si="388"/>
        <v>-1.4536406850403909</v>
      </c>
      <c r="X485">
        <f t="shared" si="405"/>
        <v>-49.453258468083625</v>
      </c>
      <c r="Y485">
        <f t="shared" si="389"/>
        <v>-173.16391194884955</v>
      </c>
      <c r="Z485">
        <f t="shared" si="406"/>
        <v>6.8360880511504547</v>
      </c>
      <c r="AC485">
        <v>1</v>
      </c>
      <c r="AD485">
        <f t="shared" si="390"/>
        <v>393.67423160855998</v>
      </c>
      <c r="AE485">
        <f t="shared" si="391"/>
        <v>-0.50274459547769301</v>
      </c>
      <c r="AF485">
        <f t="shared" si="392"/>
        <v>5.9170326766424995E-2</v>
      </c>
      <c r="AG485">
        <f t="shared" si="367"/>
        <v>88.939702454021059</v>
      </c>
      <c r="AH485">
        <f t="shared" si="368"/>
        <v>-772.5824282263834</v>
      </c>
      <c r="AJ485">
        <f t="shared" si="393"/>
        <v>18000</v>
      </c>
      <c r="AK485">
        <f t="shared" si="394"/>
        <v>188800.16782334397</v>
      </c>
      <c r="AL485">
        <v>1</v>
      </c>
      <c r="AM485">
        <f t="shared" si="395"/>
        <v>347.63205503980799</v>
      </c>
      <c r="AN485">
        <f t="shared" si="369"/>
        <v>543.24790036029401</v>
      </c>
      <c r="AO485">
        <f t="shared" si="370"/>
        <v>-50.216174965915329</v>
      </c>
      <c r="AQ485">
        <f t="shared" si="396"/>
        <v>1.3616370472029184E-3</v>
      </c>
      <c r="AR485">
        <f t="shared" si="397"/>
        <v>-3.6900363979199087</v>
      </c>
      <c r="AT485">
        <f t="shared" si="418"/>
        <v>-2850.7361769548716</v>
      </c>
      <c r="AU485">
        <f t="shared" si="419"/>
        <v>-329.24271613179536</v>
      </c>
      <c r="AV485">
        <f t="shared" si="407"/>
        <v>-3.0266081740374711</v>
      </c>
      <c r="AW485">
        <f t="shared" si="408"/>
        <v>450.47062509891714</v>
      </c>
      <c r="AX485">
        <f t="shared" si="409"/>
        <v>-2954.1333779231009</v>
      </c>
      <c r="AY485">
        <f t="shared" si="417"/>
        <v>-1.4194737769251873</v>
      </c>
      <c r="BA485">
        <f t="shared" si="398"/>
        <v>0.96031305092115993</v>
      </c>
      <c r="BB485">
        <f t="shared" si="410"/>
        <v>-0.35174337826864543</v>
      </c>
      <c r="BC485">
        <f t="shared" si="411"/>
        <v>-1.6071343971122838</v>
      </c>
      <c r="BD485">
        <f t="shared" si="399"/>
        <v>-272.08201817005494</v>
      </c>
      <c r="BF485">
        <f t="shared" si="400"/>
        <v>-52.884163554913755</v>
      </c>
      <c r="BG485">
        <f t="shared" si="401"/>
        <v>-187.09415196511472</v>
      </c>
      <c r="BH485">
        <f t="shared" si="412"/>
        <v>-7.0941519651147189</v>
      </c>
      <c r="BI485">
        <f t="shared" si="413"/>
        <v>-7.0941519651147189</v>
      </c>
      <c r="BJ485">
        <f t="shared" si="402"/>
        <v>0</v>
      </c>
      <c r="BK485">
        <f t="shared" si="414"/>
        <v>0</v>
      </c>
      <c r="BM485">
        <f t="shared" si="415"/>
        <v>-52.532420176645118</v>
      </c>
      <c r="BN485">
        <f t="shared" si="403"/>
        <v>-95.012133795059782</v>
      </c>
      <c r="BQ485" s="56">
        <f t="shared" si="416"/>
        <v>16.550217422016491</v>
      </c>
    </row>
    <row r="486" spans="1:69" x14ac:dyDescent="0.25">
      <c r="A486">
        <f t="shared" si="420"/>
        <v>1360000</v>
      </c>
      <c r="B486">
        <f t="shared" si="404"/>
        <v>1360</v>
      </c>
      <c r="C486">
        <f t="shared" si="373"/>
        <v>11.323815402676617</v>
      </c>
      <c r="D486">
        <f t="shared" si="374"/>
        <v>1.4823716830634235</v>
      </c>
      <c r="F486">
        <f t="shared" si="375"/>
        <v>1.3857432613750998E-5</v>
      </c>
      <c r="G486">
        <f t="shared" si="376"/>
        <v>1.2663145687967054E-3</v>
      </c>
      <c r="H486">
        <f t="shared" si="377"/>
        <v>-3.1403263354312037</v>
      </c>
      <c r="J486">
        <f t="shared" si="378"/>
        <v>15</v>
      </c>
      <c r="M486">
        <f t="shared" si="379"/>
        <v>9.3545718292281687E-4</v>
      </c>
      <c r="N486">
        <f t="shared" si="380"/>
        <v>-1.5707963250000001</v>
      </c>
      <c r="O486">
        <f t="shared" si="381"/>
        <v>395.12816946413051</v>
      </c>
      <c r="P486">
        <f t="shared" si="382"/>
        <v>1.5682654997246037</v>
      </c>
      <c r="Q486">
        <f t="shared" si="383"/>
        <v>348.91626316218213</v>
      </c>
      <c r="R486">
        <f t="shared" si="384"/>
        <v>1.5679303057044744</v>
      </c>
      <c r="S486">
        <f t="shared" si="385"/>
        <v>9.4562735603943127E-2</v>
      </c>
      <c r="T486">
        <f t="shared" si="386"/>
        <v>-1.4760920893058469</v>
      </c>
      <c r="U486">
        <f t="shared" si="387"/>
        <v>0.11646392822698894</v>
      </c>
      <c r="V486">
        <f t="shared" si="388"/>
        <v>-1.4540674953205308</v>
      </c>
      <c r="X486">
        <f t="shared" si="405"/>
        <v>-49.516772071454113</v>
      </c>
      <c r="Y486">
        <f t="shared" si="389"/>
        <v>-173.18879842099014</v>
      </c>
      <c r="Z486">
        <f t="shared" si="406"/>
        <v>6.811201579009861</v>
      </c>
      <c r="AC486">
        <v>1</v>
      </c>
      <c r="AD486">
        <f t="shared" si="390"/>
        <v>395.12690404991997</v>
      </c>
      <c r="AE486">
        <f t="shared" si="391"/>
        <v>-0.50646173325283761</v>
      </c>
      <c r="AF486">
        <f t="shared" si="392"/>
        <v>5.9388667455599994E-2</v>
      </c>
      <c r="AG486">
        <f t="shared" si="367"/>
        <v>88.295790222720285</v>
      </c>
      <c r="AH486">
        <f t="shared" si="368"/>
        <v>-769.81755802666839</v>
      </c>
      <c r="AJ486">
        <f t="shared" si="393"/>
        <v>18000</v>
      </c>
      <c r="AK486">
        <f t="shared" si="394"/>
        <v>189496.84740940799</v>
      </c>
      <c r="AL486">
        <v>1</v>
      </c>
      <c r="AM486">
        <f t="shared" si="395"/>
        <v>348.91483015065603</v>
      </c>
      <c r="AN486">
        <f t="shared" si="369"/>
        <v>543.24684017380025</v>
      </c>
      <c r="AO486">
        <f t="shared" si="370"/>
        <v>-50.031559714124633</v>
      </c>
      <c r="AQ486">
        <f t="shared" si="396"/>
        <v>1.3516434159218998E-3</v>
      </c>
      <c r="AR486">
        <f t="shared" si="397"/>
        <v>-3.6764700913075679</v>
      </c>
      <c r="AT486">
        <f t="shared" si="418"/>
        <v>-2830.0918834249665</v>
      </c>
      <c r="AU486">
        <f t="shared" si="419"/>
        <v>-325.65735077596611</v>
      </c>
      <c r="AV486">
        <f t="shared" si="407"/>
        <v>-3.0270270021434609</v>
      </c>
      <c r="AW486">
        <f t="shared" si="408"/>
        <v>451.15961755898894</v>
      </c>
      <c r="AX486">
        <f t="shared" si="409"/>
        <v>-2943.3460920848415</v>
      </c>
      <c r="AY486">
        <f t="shared" si="417"/>
        <v>-1.4186989376817152</v>
      </c>
      <c r="BA486">
        <f t="shared" si="398"/>
        <v>0.95669321047719702</v>
      </c>
      <c r="BB486">
        <f t="shared" si="410"/>
        <v>-0.38454616311719542</v>
      </c>
      <c r="BC486">
        <f t="shared" si="411"/>
        <v>-1.6083280644617457</v>
      </c>
      <c r="BD486">
        <f t="shared" si="399"/>
        <v>-272.15041027139983</v>
      </c>
      <c r="BF486">
        <f t="shared" si="400"/>
        <v>-52.949209854220236</v>
      </c>
      <c r="BG486">
        <f t="shared" si="401"/>
        <v>-187.14421458469945</v>
      </c>
      <c r="BH486">
        <f t="shared" si="412"/>
        <v>-7.1442145846994549</v>
      </c>
      <c r="BI486">
        <f t="shared" si="413"/>
        <v>-7.1442145846994549</v>
      </c>
      <c r="BJ486">
        <f t="shared" si="402"/>
        <v>0</v>
      </c>
      <c r="BK486">
        <f t="shared" si="414"/>
        <v>0</v>
      </c>
      <c r="BM486">
        <f t="shared" si="415"/>
        <v>-52.564663691103036</v>
      </c>
      <c r="BN486">
        <f t="shared" si="403"/>
        <v>-94.993804313299634</v>
      </c>
      <c r="BQ486" s="56">
        <f t="shared" si="416"/>
        <v>16.517414637167942</v>
      </c>
    </row>
    <row r="487" spans="1:69" x14ac:dyDescent="0.25">
      <c r="A487">
        <f t="shared" si="420"/>
        <v>1365000</v>
      </c>
      <c r="B487">
        <f t="shared" si="404"/>
        <v>1365</v>
      </c>
      <c r="C487">
        <f t="shared" si="373"/>
        <v>11.365122999834419</v>
      </c>
      <c r="D487">
        <f t="shared" si="374"/>
        <v>1.48269390632524</v>
      </c>
      <c r="F487">
        <f t="shared" si="375"/>
        <v>1.3756097572830443E-5</v>
      </c>
      <c r="G487">
        <f t="shared" si="376"/>
        <v>1.2616759302218369E-3</v>
      </c>
      <c r="H487">
        <f t="shared" si="377"/>
        <v>-3.1403309740697782</v>
      </c>
      <c r="J487">
        <f t="shared" si="378"/>
        <v>15</v>
      </c>
      <c r="M487">
        <f t="shared" si="379"/>
        <v>9.3203059983518763E-4</v>
      </c>
      <c r="N487">
        <f t="shared" si="380"/>
        <v>-1.5707963250000001</v>
      </c>
      <c r="O487">
        <f t="shared" si="381"/>
        <v>396.58083727028844</v>
      </c>
      <c r="P487">
        <f t="shared" si="382"/>
        <v>1.5682747701140647</v>
      </c>
      <c r="Q487">
        <f t="shared" si="383"/>
        <v>350.19903302392515</v>
      </c>
      <c r="R487">
        <f t="shared" si="384"/>
        <v>1.5679408038930536</v>
      </c>
      <c r="S487">
        <f t="shared" si="385"/>
        <v>9.4219432511221085E-2</v>
      </c>
      <c r="T487">
        <f t="shared" si="386"/>
        <v>-1.4764369320561652</v>
      </c>
      <c r="U487">
        <f t="shared" si="387"/>
        <v>0.11604307554728192</v>
      </c>
      <c r="V487">
        <f t="shared" si="388"/>
        <v>-1.4544912210441898</v>
      </c>
      <c r="X487">
        <f t="shared" si="405"/>
        <v>-49.58005598675615</v>
      </c>
      <c r="Y487">
        <f t="shared" si="389"/>
        <v>-173.21350523620541</v>
      </c>
      <c r="Z487">
        <f t="shared" si="406"/>
        <v>6.7864947637945932</v>
      </c>
      <c r="AC487">
        <v>1</v>
      </c>
      <c r="AD487">
        <f t="shared" si="390"/>
        <v>396.57957649128002</v>
      </c>
      <c r="AE487">
        <f t="shared" si="391"/>
        <v>-0.51019256214317599</v>
      </c>
      <c r="AF487">
        <f t="shared" si="392"/>
        <v>5.9607008144774994E-2</v>
      </c>
      <c r="AG487">
        <f t="shared" si="367"/>
        <v>87.658813935127398</v>
      </c>
      <c r="AH487">
        <f t="shared" si="368"/>
        <v>-767.07213294352425</v>
      </c>
      <c r="AJ487">
        <f t="shared" si="393"/>
        <v>18000</v>
      </c>
      <c r="AK487">
        <f t="shared" si="394"/>
        <v>190193.526995472</v>
      </c>
      <c r="AL487">
        <v>1</v>
      </c>
      <c r="AM487">
        <f t="shared" si="395"/>
        <v>350.19760526150401</v>
      </c>
      <c r="AN487">
        <f t="shared" si="369"/>
        <v>543.24579161623012</v>
      </c>
      <c r="AO487">
        <f t="shared" si="370"/>
        <v>-49.848296921814303</v>
      </c>
      <c r="AQ487">
        <f t="shared" si="396"/>
        <v>1.3417594034859715E-3</v>
      </c>
      <c r="AR487">
        <f t="shared" si="397"/>
        <v>-3.663003171516702</v>
      </c>
      <c r="AT487">
        <f t="shared" si="418"/>
        <v>-2809.6700387163146</v>
      </c>
      <c r="AU487">
        <f t="shared" si="419"/>
        <v>-322.12373970329315</v>
      </c>
      <c r="AV487">
        <f t="shared" si="407"/>
        <v>-3.0274428041700006</v>
      </c>
      <c r="AW487">
        <f t="shared" si="408"/>
        <v>451.8409216755947</v>
      </c>
      <c r="AX487">
        <f t="shared" si="409"/>
        <v>-2932.6370460489848</v>
      </c>
      <c r="AY487">
        <f t="shared" si="417"/>
        <v>-1.417925160292306</v>
      </c>
      <c r="BA487">
        <f t="shared" si="398"/>
        <v>0.95309920501166734</v>
      </c>
      <c r="BB487">
        <f t="shared" si="410"/>
        <v>-0.41723785403683872</v>
      </c>
      <c r="BC487">
        <f t="shared" si="411"/>
        <v>-1.6095176438776946</v>
      </c>
      <c r="BD487">
        <f t="shared" si="399"/>
        <v>-272.21856815140723</v>
      </c>
      <c r="BF487">
        <f t="shared" si="400"/>
        <v>-53.014024914792266</v>
      </c>
      <c r="BG487">
        <f t="shared" si="401"/>
        <v>-187.19417620613604</v>
      </c>
      <c r="BH487">
        <f t="shared" si="412"/>
        <v>-7.194176206136035</v>
      </c>
      <c r="BI487">
        <f t="shared" si="413"/>
        <v>-7.194176206136035</v>
      </c>
      <c r="BJ487">
        <f t="shared" si="402"/>
        <v>0</v>
      </c>
      <c r="BK487">
        <f t="shared" si="414"/>
        <v>0</v>
      </c>
      <c r="BM487">
        <f t="shared" si="415"/>
        <v>-52.596787060755418</v>
      </c>
      <c r="BN487">
        <f t="shared" si="403"/>
        <v>-94.975608054728809</v>
      </c>
      <c r="BQ487" s="56">
        <f t="shared" si="416"/>
        <v>16.484722946248297</v>
      </c>
    </row>
    <row r="488" spans="1:69" x14ac:dyDescent="0.25">
      <c r="A488">
        <f t="shared" si="420"/>
        <v>1370000</v>
      </c>
      <c r="B488">
        <f t="shared" si="404"/>
        <v>1370</v>
      </c>
      <c r="C488">
        <f t="shared" si="373"/>
        <v>11.406431768461523</v>
      </c>
      <c r="D488">
        <f t="shared" si="374"/>
        <v>1.4830137957357421</v>
      </c>
      <c r="F488">
        <f t="shared" si="375"/>
        <v>1.3655870032921511E-5</v>
      </c>
      <c r="G488">
        <f t="shared" si="376"/>
        <v>1.2570711516693759E-3</v>
      </c>
      <c r="H488">
        <f t="shared" si="377"/>
        <v>-3.1403355788483309</v>
      </c>
      <c r="J488">
        <f t="shared" si="378"/>
        <v>15</v>
      </c>
      <c r="M488">
        <f t="shared" si="379"/>
        <v>9.2862902830294239E-4</v>
      </c>
      <c r="N488">
        <f t="shared" si="380"/>
        <v>-1.5707963250000001</v>
      </c>
      <c r="O488">
        <f t="shared" si="381"/>
        <v>398.03350511027969</v>
      </c>
      <c r="P488">
        <f t="shared" si="382"/>
        <v>1.568283972836878</v>
      </c>
      <c r="Q488">
        <f t="shared" si="383"/>
        <v>351.48180292398251</v>
      </c>
      <c r="R488">
        <f t="shared" si="384"/>
        <v>1.5679512254531414</v>
      </c>
      <c r="S488">
        <f t="shared" si="385"/>
        <v>9.3878602032423153E-2</v>
      </c>
      <c r="T488">
        <f t="shared" si="386"/>
        <v>-1.4767792799705406</v>
      </c>
      <c r="U488">
        <f t="shared" si="387"/>
        <v>0.11562523295666693</v>
      </c>
      <c r="V488">
        <f t="shared" si="388"/>
        <v>-1.4549118953785749</v>
      </c>
      <c r="X488">
        <f t="shared" si="405"/>
        <v>-49.64311185731259</v>
      </c>
      <c r="Y488">
        <f t="shared" si="389"/>
        <v>-173.23803432341975</v>
      </c>
      <c r="Z488">
        <f t="shared" si="406"/>
        <v>6.7619656765802461</v>
      </c>
      <c r="AC488">
        <v>1</v>
      </c>
      <c r="AD488">
        <f t="shared" si="390"/>
        <v>398.03224893264002</v>
      </c>
      <c r="AE488">
        <f t="shared" si="391"/>
        <v>-0.51393708214870826</v>
      </c>
      <c r="AF488">
        <f t="shared" si="392"/>
        <v>5.9825348833949993E-2</v>
      </c>
      <c r="AG488">
        <f t="shared" ref="AG488:AG551" si="421">AC488*AE488/(AE488^2+AF488^2)+AD488*AF488/(AE488^2+AF488^2)</f>
        <v>87.02867478609619</v>
      </c>
      <c r="AH488">
        <f t="shared" ref="AH488:AH551" si="422">AD488*AE488/(AE488^2+AF488^2)-AC488*AF488/(AE488^2+AF488^2)</f>
        <v>-764.34595157572392</v>
      </c>
      <c r="AJ488">
        <f t="shared" si="393"/>
        <v>18000</v>
      </c>
      <c r="AK488">
        <f t="shared" si="394"/>
        <v>190890.20658153598</v>
      </c>
      <c r="AL488">
        <v>1</v>
      </c>
      <c r="AM488">
        <f t="shared" si="395"/>
        <v>351.48038037235199</v>
      </c>
      <c r="AN488">
        <f t="shared" ref="AN488:AN551" si="423">AJ488*AL488/(AL488^2+AM488^2)+AK488*AM488/(AL488^2+AM488^2)</f>
        <v>543.24475451813055</v>
      </c>
      <c r="AO488">
        <f t="shared" ref="AO488:AO551" si="424">AK488*AL488/(AL488^2+AM488^2)-AJ488*AM488/(AL488^2+AM488^2)</f>
        <v>-49.666371781515927</v>
      </c>
      <c r="AQ488">
        <f t="shared" si="396"/>
        <v>1.3319834125441669E-3</v>
      </c>
      <c r="AR488">
        <f t="shared" si="397"/>
        <v>-3.6496345503710175</v>
      </c>
      <c r="AT488">
        <f t="shared" si="418"/>
        <v>-2789.4674725557438</v>
      </c>
      <c r="AU488">
        <f t="shared" si="419"/>
        <v>-318.64095450128383</v>
      </c>
      <c r="AV488">
        <f t="shared" si="407"/>
        <v>-3.0278556126440446</v>
      </c>
      <c r="AW488">
        <f t="shared" si="408"/>
        <v>452.51465181490687</v>
      </c>
      <c r="AX488">
        <f t="shared" si="409"/>
        <v>-2922.0053943431885</v>
      </c>
      <c r="AY488">
        <f t="shared" si="417"/>
        <v>-1.4171524347919988</v>
      </c>
      <c r="BA488">
        <f t="shared" si="398"/>
        <v>0.94953075645147089</v>
      </c>
      <c r="BB488">
        <f t="shared" si="410"/>
        <v>-0.44981926749506235</v>
      </c>
      <c r="BC488">
        <f t="shared" si="411"/>
        <v>-1.6107031778520458</v>
      </c>
      <c r="BD488">
        <f t="shared" si="399"/>
        <v>-272.28649424468455</v>
      </c>
      <c r="BF488">
        <f t="shared" si="400"/>
        <v>-53.078610451320138</v>
      </c>
      <c r="BG488">
        <f t="shared" si="401"/>
        <v>-187.24403782063666</v>
      </c>
      <c r="BH488">
        <f t="shared" si="412"/>
        <v>-7.2440378206366631</v>
      </c>
      <c r="BI488">
        <f t="shared" si="413"/>
        <v>-7.2440378206366631</v>
      </c>
      <c r="BJ488">
        <f t="shared" si="402"/>
        <v>0</v>
      </c>
      <c r="BK488">
        <f t="shared" si="414"/>
        <v>0</v>
      </c>
      <c r="BM488">
        <f t="shared" si="415"/>
        <v>-52.628791183825079</v>
      </c>
      <c r="BN488">
        <f t="shared" si="403"/>
        <v>-94.957543575952144</v>
      </c>
      <c r="BQ488" s="56">
        <f t="shared" si="416"/>
        <v>16.452141532790073</v>
      </c>
    </row>
    <row r="489" spans="1:69" x14ac:dyDescent="0.25">
      <c r="A489">
        <f t="shared" si="420"/>
        <v>1375000</v>
      </c>
      <c r="B489">
        <f t="shared" si="404"/>
        <v>1375</v>
      </c>
      <c r="C489">
        <f t="shared" si="373"/>
        <v>11.44774169587631</v>
      </c>
      <c r="D489">
        <f t="shared" si="374"/>
        <v>1.4833313764946721</v>
      </c>
      <c r="F489">
        <f t="shared" si="375"/>
        <v>1.3556733913897928E-5</v>
      </c>
      <c r="G489">
        <f t="shared" si="376"/>
        <v>1.2524998637377771E-3</v>
      </c>
      <c r="H489">
        <f t="shared" si="377"/>
        <v>-3.1403401501362622</v>
      </c>
      <c r="J489">
        <f t="shared" si="378"/>
        <v>15</v>
      </c>
      <c r="M489">
        <f t="shared" si="379"/>
        <v>9.2525219547274975E-4</v>
      </c>
      <c r="N489">
        <f t="shared" si="380"/>
        <v>-1.5707963250000001</v>
      </c>
      <c r="O489">
        <f t="shared" si="381"/>
        <v>399.48617298373534</v>
      </c>
      <c r="P489">
        <f t="shared" si="382"/>
        <v>1.5682931086312191</v>
      </c>
      <c r="Q489">
        <f t="shared" si="383"/>
        <v>352.7645728619363</v>
      </c>
      <c r="R489">
        <f t="shared" si="384"/>
        <v>1.5679615712206765</v>
      </c>
      <c r="S489">
        <f t="shared" si="385"/>
        <v>9.3540217669271966E-2</v>
      </c>
      <c r="T489">
        <f t="shared" si="386"/>
        <v>-1.4771191599461126</v>
      </c>
      <c r="U489">
        <f t="shared" si="387"/>
        <v>0.11521036849733335</v>
      </c>
      <c r="V489">
        <f t="shared" si="388"/>
        <v>-1.4553295510192312</v>
      </c>
      <c r="X489">
        <f t="shared" si="405"/>
        <v>-49.70594130900048</v>
      </c>
      <c r="Y489">
        <f t="shared" si="389"/>
        <v>-173.26238758417864</v>
      </c>
      <c r="Z489">
        <f t="shared" si="406"/>
        <v>6.7376124158213599</v>
      </c>
      <c r="AC489">
        <v>1</v>
      </c>
      <c r="AD489">
        <f t="shared" si="390"/>
        <v>399.48492137400001</v>
      </c>
      <c r="AE489">
        <f t="shared" si="391"/>
        <v>-0.51769529326943453</v>
      </c>
      <c r="AF489">
        <f t="shared" si="392"/>
        <v>6.0043689523124999E-2</v>
      </c>
      <c r="AG489">
        <f t="shared" si="421"/>
        <v>86.405275715532184</v>
      </c>
      <c r="AH489">
        <f t="shared" si="422"/>
        <v>-761.63881524911756</v>
      </c>
      <c r="AJ489">
        <f t="shared" si="393"/>
        <v>18000</v>
      </c>
      <c r="AK489">
        <f t="shared" si="394"/>
        <v>191586.88616759999</v>
      </c>
      <c r="AL489">
        <v>1</v>
      </c>
      <c r="AM489">
        <f t="shared" si="395"/>
        <v>352.76315548320002</v>
      </c>
      <c r="AN489">
        <f t="shared" si="423"/>
        <v>543.24372871312391</v>
      </c>
      <c r="AO489">
        <f t="shared" si="424"/>
        <v>-49.485769701133748</v>
      </c>
      <c r="AQ489">
        <f t="shared" si="396"/>
        <v>1.3223138747353554E-3</v>
      </c>
      <c r="AR489">
        <f t="shared" si="397"/>
        <v>-3.6363631555222273</v>
      </c>
      <c r="AT489">
        <f t="shared" si="418"/>
        <v>-2769.4810706925632</v>
      </c>
      <c r="AU489">
        <f t="shared" si="419"/>
        <v>-315.20808662764159</v>
      </c>
      <c r="AV489">
        <f t="shared" si="407"/>
        <v>-3.0282654596301972</v>
      </c>
      <c r="AW489">
        <f t="shared" si="408"/>
        <v>453.18092021792125</v>
      </c>
      <c r="AX489">
        <f t="shared" si="409"/>
        <v>-2911.4503035967032</v>
      </c>
      <c r="AY489">
        <f t="shared" si="417"/>
        <v>-1.4163807513779534</v>
      </c>
      <c r="BA489">
        <f t="shared" si="398"/>
        <v>0.94598759069043459</v>
      </c>
      <c r="BB489">
        <f t="shared" si="410"/>
        <v>-0.48229121128795605</v>
      </c>
      <c r="BC489">
        <f t="shared" si="411"/>
        <v>-1.6118847082522438</v>
      </c>
      <c r="BD489">
        <f t="shared" si="399"/>
        <v>-272.35419095005966</v>
      </c>
      <c r="BF489">
        <f t="shared" si="400"/>
        <v>-53.142968159724973</v>
      </c>
      <c r="BG489">
        <f t="shared" si="401"/>
        <v>-187.29380040435544</v>
      </c>
      <c r="BH489">
        <f t="shared" si="412"/>
        <v>-7.2938004043554372</v>
      </c>
      <c r="BI489">
        <f t="shared" si="413"/>
        <v>-7.2938004043554372</v>
      </c>
      <c r="BJ489">
        <f t="shared" si="402"/>
        <v>0</v>
      </c>
      <c r="BK489">
        <f t="shared" si="414"/>
        <v>0</v>
      </c>
      <c r="BM489">
        <f t="shared" si="415"/>
        <v>-52.660676948437015</v>
      </c>
      <c r="BN489">
        <f t="shared" si="403"/>
        <v>-94.939609454295805</v>
      </c>
      <c r="BQ489" s="56">
        <f t="shared" si="416"/>
        <v>16.419669588997181</v>
      </c>
    </row>
    <row r="490" spans="1:69" x14ac:dyDescent="0.25">
      <c r="A490">
        <f t="shared" si="420"/>
        <v>1380000</v>
      </c>
      <c r="B490">
        <f t="shared" si="404"/>
        <v>1380</v>
      </c>
      <c r="C490">
        <f t="shared" si="373"/>
        <v>11.489052769579203</v>
      </c>
      <c r="D490">
        <f t="shared" si="374"/>
        <v>1.4836466734412082</v>
      </c>
      <c r="F490">
        <f t="shared" si="375"/>
        <v>1.345867342641883E-5</v>
      </c>
      <c r="G490">
        <f t="shared" si="376"/>
        <v>1.2479617023794932E-3</v>
      </c>
      <c r="H490">
        <f t="shared" si="377"/>
        <v>-3.1403446882976209</v>
      </c>
      <c r="J490">
        <f t="shared" si="378"/>
        <v>15</v>
      </c>
      <c r="M490">
        <f t="shared" si="379"/>
        <v>9.2189983244567479E-4</v>
      </c>
      <c r="N490">
        <f t="shared" si="380"/>
        <v>-1.5707963250000001</v>
      </c>
      <c r="O490">
        <f t="shared" si="381"/>
        <v>400.9388408902916</v>
      </c>
      <c r="P490">
        <f t="shared" si="382"/>
        <v>1.568302178224565</v>
      </c>
      <c r="Q490">
        <f t="shared" si="383"/>
        <v>354.04734283737463</v>
      </c>
      <c r="R490">
        <f t="shared" si="384"/>
        <v>1.5679718420194817</v>
      </c>
      <c r="S490">
        <f t="shared" si="385"/>
        <v>9.3204253299064871E-2</v>
      </c>
      <c r="T490">
        <f t="shared" si="386"/>
        <v>-1.4774565984958987</v>
      </c>
      <c r="U490">
        <f t="shared" si="387"/>
        <v>0.11479845065909565</v>
      </c>
      <c r="V490">
        <f t="shared" si="388"/>
        <v>-1.4557442201983584</v>
      </c>
      <c r="X490">
        <f t="shared" si="405"/>
        <v>-49.768545950495373</v>
      </c>
      <c r="Y490">
        <f t="shared" si="389"/>
        <v>-173.2865668931305</v>
      </c>
      <c r="Z490">
        <f t="shared" si="406"/>
        <v>6.7134331068695019</v>
      </c>
      <c r="AC490">
        <v>1</v>
      </c>
      <c r="AD490">
        <f t="shared" si="390"/>
        <v>400.93759381536</v>
      </c>
      <c r="AE490">
        <f t="shared" si="391"/>
        <v>-0.52146719550535447</v>
      </c>
      <c r="AF490">
        <f t="shared" si="392"/>
        <v>6.0262030212299998E-2</v>
      </c>
      <c r="AG490">
        <f t="shared" si="421"/>
        <v>85.788521371711624</v>
      </c>
      <c r="AH490">
        <f t="shared" si="422"/>
        <v>-758.95052797146775</v>
      </c>
      <c r="AJ490">
        <f t="shared" si="393"/>
        <v>18000</v>
      </c>
      <c r="AK490">
        <f t="shared" si="394"/>
        <v>192283.56575366401</v>
      </c>
      <c r="AL490">
        <v>1</v>
      </c>
      <c r="AM490">
        <f t="shared" si="395"/>
        <v>354.045930594048</v>
      </c>
      <c r="AN490">
        <f t="shared" si="423"/>
        <v>543.24271403784189</v>
      </c>
      <c r="AO490">
        <f t="shared" si="424"/>
        <v>-49.306476300043173</v>
      </c>
      <c r="AQ490">
        <f t="shared" si="396"/>
        <v>1.3127492500591721E-3</v>
      </c>
      <c r="AR490">
        <f t="shared" si="397"/>
        <v>-3.6231879301633154</v>
      </c>
      <c r="AT490">
        <f t="shared" si="418"/>
        <v>-2749.7077737202035</v>
      </c>
      <c r="AU490">
        <f t="shared" si="419"/>
        <v>-311.82424691696974</v>
      </c>
      <c r="AV490">
        <f t="shared" si="407"/>
        <v>-3.0286723767388612</v>
      </c>
      <c r="AW490">
        <f t="shared" si="408"/>
        <v>453.83983704779337</v>
      </c>
      <c r="AX490">
        <f t="shared" si="409"/>
        <v>-2900.9709523252468</v>
      </c>
      <c r="AY490">
        <f t="shared" si="417"/>
        <v>-1.4156101004062744</v>
      </c>
      <c r="BA490">
        <f t="shared" si="398"/>
        <v>0.94246943751915446</v>
      </c>
      <c r="BB490">
        <f t="shared" si="410"/>
        <v>-0.51465448466074992</v>
      </c>
      <c r="BC490">
        <f t="shared" si="411"/>
        <v>-1.6130622763325868</v>
      </c>
      <c r="BD490">
        <f t="shared" si="399"/>
        <v>-272.42166063122971</v>
      </c>
      <c r="BF490">
        <f t="shared" si="400"/>
        <v>-53.207099717430815</v>
      </c>
      <c r="BG490">
        <f t="shared" si="401"/>
        <v>-187.34346491866788</v>
      </c>
      <c r="BH490">
        <f t="shared" si="412"/>
        <v>-7.3434649186678769</v>
      </c>
      <c r="BI490">
        <f t="shared" si="413"/>
        <v>-7.3434649186678769</v>
      </c>
      <c r="BJ490">
        <f t="shared" si="402"/>
        <v>0</v>
      </c>
      <c r="BK490">
        <f t="shared" si="414"/>
        <v>0</v>
      </c>
      <c r="BM490">
        <f t="shared" si="415"/>
        <v>-52.692445232770069</v>
      </c>
      <c r="BN490">
        <f t="shared" si="403"/>
        <v>-94.921804287438192</v>
      </c>
      <c r="BQ490" s="56">
        <f t="shared" si="416"/>
        <v>16.387306315624386</v>
      </c>
    </row>
    <row r="491" spans="1:69" x14ac:dyDescent="0.25">
      <c r="A491">
        <f t="shared" si="420"/>
        <v>1385000</v>
      </c>
      <c r="B491">
        <f t="shared" si="404"/>
        <v>1385</v>
      </c>
      <c r="C491">
        <f t="shared" si="373"/>
        <v>11.53036497724942</v>
      </c>
      <c r="D491">
        <f t="shared" si="374"/>
        <v>1.4839597110603735</v>
      </c>
      <c r="F491">
        <f t="shared" si="375"/>
        <v>1.3361673065641358E-5</v>
      </c>
      <c r="G491">
        <f t="shared" si="376"/>
        <v>1.2434563088043235E-3</v>
      </c>
      <c r="H491">
        <f t="shared" si="377"/>
        <v>-3.140349193691196</v>
      </c>
      <c r="J491">
        <f t="shared" si="378"/>
        <v>15</v>
      </c>
      <c r="M491">
        <f t="shared" si="379"/>
        <v>9.1857167420579858E-4</v>
      </c>
      <c r="N491">
        <f t="shared" si="380"/>
        <v>-1.5707963250000001</v>
      </c>
      <c r="O491">
        <f t="shared" si="381"/>
        <v>402.39150882959001</v>
      </c>
      <c r="P491">
        <f t="shared" si="382"/>
        <v>1.5683111823338884</v>
      </c>
      <c r="Q491">
        <f t="shared" si="383"/>
        <v>355.33011284989152</v>
      </c>
      <c r="R491">
        <f t="shared" si="384"/>
        <v>1.5679820386614842</v>
      </c>
      <c r="S491">
        <f t="shared" si="385"/>
        <v>9.28706831680738E-2</v>
      </c>
      <c r="T491">
        <f t="shared" si="386"/>
        <v>-1.4777916217556071</v>
      </c>
      <c r="U491">
        <f t="shared" si="387"/>
        <v>0.11438944837164045</v>
      </c>
      <c r="V491">
        <f t="shared" si="388"/>
        <v>-1.4561559346929516</v>
      </c>
      <c r="X491">
        <f t="shared" si="405"/>
        <v>-49.830927373511351</v>
      </c>
      <c r="Y491">
        <f t="shared" si="389"/>
        <v>-173.31057409849794</v>
      </c>
      <c r="Z491">
        <f t="shared" si="406"/>
        <v>6.6894259015020623</v>
      </c>
      <c r="AC491">
        <v>1</v>
      </c>
      <c r="AD491">
        <f t="shared" si="390"/>
        <v>402.39026625672005</v>
      </c>
      <c r="AE491">
        <f t="shared" si="391"/>
        <v>-0.52525278885646842</v>
      </c>
      <c r="AF491">
        <f t="shared" si="392"/>
        <v>6.0480370901474997E-2</v>
      </c>
      <c r="AG491">
        <f t="shared" si="421"/>
        <v>85.178318075492655</v>
      </c>
      <c r="AH491">
        <f t="shared" si="422"/>
        <v>-756.28089638815914</v>
      </c>
      <c r="AJ491">
        <f t="shared" si="393"/>
        <v>18000</v>
      </c>
      <c r="AK491">
        <f t="shared" si="394"/>
        <v>192980.24533972799</v>
      </c>
      <c r="AL491">
        <v>1</v>
      </c>
      <c r="AM491">
        <f t="shared" si="395"/>
        <v>355.32870570489598</v>
      </c>
      <c r="AN491">
        <f t="shared" si="423"/>
        <v>543.24171033185837</v>
      </c>
      <c r="AO491">
        <f t="shared" si="424"/>
        <v>-49.128477405273728</v>
      </c>
      <c r="AQ491">
        <f t="shared" si="396"/>
        <v>1.3032880262628178E-3</v>
      </c>
      <c r="AR491">
        <f t="shared" si="397"/>
        <v>-3.610107832748005</v>
      </c>
      <c r="AT491">
        <f t="shared" si="418"/>
        <v>-2730.1445759265303</v>
      </c>
      <c r="AU491">
        <f t="shared" si="419"/>
        <v>-308.48856510139103</v>
      </c>
      <c r="AV491">
        <f t="shared" si="407"/>
        <v>-3.0290763951342146</v>
      </c>
      <c r="AW491">
        <f t="shared" si="408"/>
        <v>454.49151043594674</v>
      </c>
      <c r="AX491">
        <f t="shared" si="409"/>
        <v>-2890.5665307204208</v>
      </c>
      <c r="AY491">
        <f t="shared" si="417"/>
        <v>-1.414840472388911</v>
      </c>
      <c r="BA491">
        <f t="shared" si="398"/>
        <v>0.93897603055631895</v>
      </c>
      <c r="BB491">
        <f t="shared" si="410"/>
        <v>-0.54690987842624605</v>
      </c>
      <c r="BC491">
        <f t="shared" si="411"/>
        <v>-1.6142359227453036</v>
      </c>
      <c r="BD491">
        <f t="shared" si="399"/>
        <v>-272.48890561739591</v>
      </c>
      <c r="BF491">
        <f t="shared" si="400"/>
        <v>-53.271006783631904</v>
      </c>
      <c r="BG491">
        <f t="shared" si="401"/>
        <v>-187.39303231044377</v>
      </c>
      <c r="BH491">
        <f t="shared" si="412"/>
        <v>-7.3930323104437718</v>
      </c>
      <c r="BI491">
        <f t="shared" si="413"/>
        <v>-7.3930323104437718</v>
      </c>
      <c r="BJ491">
        <f t="shared" si="402"/>
        <v>0</v>
      </c>
      <c r="BK491">
        <f t="shared" si="414"/>
        <v>0</v>
      </c>
      <c r="BM491">
        <f t="shared" si="415"/>
        <v>-52.724096905205656</v>
      </c>
      <c r="BN491">
        <f t="shared" si="403"/>
        <v>-94.904126693047886</v>
      </c>
      <c r="BQ491" s="56">
        <f t="shared" si="416"/>
        <v>16.35505092185889</v>
      </c>
    </row>
    <row r="492" spans="1:69" x14ac:dyDescent="0.25">
      <c r="A492">
        <f t="shared" si="420"/>
        <v>1390000</v>
      </c>
      <c r="B492">
        <f t="shared" si="404"/>
        <v>1390</v>
      </c>
      <c r="C492">
        <f t="shared" si="373"/>
        <v>11.571678306741779</v>
      </c>
      <c r="D492">
        <f t="shared" si="374"/>
        <v>1.4842705134893113</v>
      </c>
      <c r="F492">
        <f t="shared" si="375"/>
        <v>1.32657176050913E-5</v>
      </c>
      <c r="G492">
        <f t="shared" si="376"/>
        <v>1.2389833293848485E-3</v>
      </c>
      <c r="H492">
        <f t="shared" si="377"/>
        <v>-3.1403536666706153</v>
      </c>
      <c r="J492">
        <f t="shared" si="378"/>
        <v>15</v>
      </c>
      <c r="M492">
        <f t="shared" si="379"/>
        <v>9.15267459550382E-4</v>
      </c>
      <c r="N492">
        <f t="shared" si="380"/>
        <v>-1.5707963250000001</v>
      </c>
      <c r="O492">
        <f t="shared" si="381"/>
        <v>403.84417680127711</v>
      </c>
      <c r="P492">
        <f t="shared" si="382"/>
        <v>1.5683201216658456</v>
      </c>
      <c r="Q492">
        <f t="shared" si="383"/>
        <v>356.6128828990868</v>
      </c>
      <c r="R492">
        <f t="shared" si="384"/>
        <v>1.5679921619469293</v>
      </c>
      <c r="S492">
        <f t="shared" si="385"/>
        <v>9.2539481885083583E-2</v>
      </c>
      <c r="T492">
        <f t="shared" si="386"/>
        <v>-1.4781242554903051</v>
      </c>
      <c r="U492">
        <f t="shared" si="387"/>
        <v>0.11398333099693282</v>
      </c>
      <c r="V492">
        <f t="shared" si="388"/>
        <v>-1.456564725832773</v>
      </c>
      <c r="X492">
        <f t="shared" si="405"/>
        <v>-49.893087153036973</v>
      </c>
      <c r="Y492">
        <f t="shared" si="389"/>
        <v>-173.33441102253957</v>
      </c>
      <c r="Z492">
        <f t="shared" si="406"/>
        <v>6.6655889774604304</v>
      </c>
      <c r="AC492">
        <v>1</v>
      </c>
      <c r="AD492">
        <f t="shared" si="390"/>
        <v>403.84293869808005</v>
      </c>
      <c r="AE492">
        <f t="shared" si="391"/>
        <v>-0.52905207332277637</v>
      </c>
      <c r="AF492">
        <f t="shared" si="392"/>
        <v>6.0698711590649997E-2</v>
      </c>
      <c r="AG492">
        <f t="shared" si="421"/>
        <v>84.574573785394165</v>
      </c>
      <c r="AH492">
        <f t="shared" si="422"/>
        <v>-753.62972973876686</v>
      </c>
      <c r="AJ492">
        <f t="shared" si="393"/>
        <v>18000</v>
      </c>
      <c r="AK492">
        <f t="shared" si="394"/>
        <v>193676.92492579197</v>
      </c>
      <c r="AL492">
        <v>1</v>
      </c>
      <c r="AM492">
        <f t="shared" si="395"/>
        <v>356.61148081574402</v>
      </c>
      <c r="AN492">
        <f t="shared" si="423"/>
        <v>543.24071743762818</v>
      </c>
      <c r="AO492">
        <f t="shared" si="424"/>
        <v>-48.951759047774537</v>
      </c>
      <c r="AQ492">
        <f t="shared" si="396"/>
        <v>1.2939287182432693E-3</v>
      </c>
      <c r="AR492">
        <f t="shared" si="397"/>
        <v>-3.5971218367162883</v>
      </c>
      <c r="AT492">
        <f t="shared" si="418"/>
        <v>-2710.7885241720587</v>
      </c>
      <c r="AU492">
        <f t="shared" si="419"/>
        <v>-305.2001893446452</v>
      </c>
      <c r="AV492">
        <f t="shared" si="407"/>
        <v>-3.0294775455420195</v>
      </c>
      <c r="AW492">
        <f t="shared" si="408"/>
        <v>455.13604652699166</v>
      </c>
      <c r="AX492">
        <f t="shared" si="409"/>
        <v>-2880.2362404436026</v>
      </c>
      <c r="AY492">
        <f t="shared" si="417"/>
        <v>-1.4140718579906253</v>
      </c>
      <c r="BA492">
        <f t="shared" si="398"/>
        <v>0.93550710718146768</v>
      </c>
      <c r="BB492">
        <f t="shared" si="410"/>
        <v>-0.57905817508127355</v>
      </c>
      <c r="BC492">
        <f t="shared" si="411"/>
        <v>-1.6154056875513942</v>
      </c>
      <c r="BD492">
        <f t="shared" si="399"/>
        <v>-272.55592820388438</v>
      </c>
      <c r="BF492">
        <f t="shared" si="400"/>
        <v>-53.334690999555036</v>
      </c>
      <c r="BG492">
        <f t="shared" si="401"/>
        <v>-187.44250351231426</v>
      </c>
      <c r="BH492">
        <f t="shared" si="412"/>
        <v>-7.4425035123142607</v>
      </c>
      <c r="BI492">
        <f t="shared" si="413"/>
        <v>-7.4425035123142607</v>
      </c>
      <c r="BJ492">
        <f t="shared" si="402"/>
        <v>0</v>
      </c>
      <c r="BK492">
        <f t="shared" si="414"/>
        <v>0</v>
      </c>
      <c r="BM492">
        <f t="shared" si="415"/>
        <v>-52.755632824473757</v>
      </c>
      <c r="BN492">
        <f t="shared" si="403"/>
        <v>-94.886575308429855</v>
      </c>
      <c r="BQ492" s="56">
        <f t="shared" si="416"/>
        <v>16.322902625203863</v>
      </c>
    </row>
    <row r="493" spans="1:69" x14ac:dyDescent="0.25">
      <c r="A493">
        <f t="shared" si="420"/>
        <v>1395000</v>
      </c>
      <c r="B493">
        <f t="shared" si="404"/>
        <v>1395</v>
      </c>
      <c r="C493">
        <f t="shared" si="373"/>
        <v>11.6129927460836</v>
      </c>
      <c r="D493">
        <f t="shared" si="374"/>
        <v>1.4845791045234231</v>
      </c>
      <c r="F493">
        <f t="shared" si="375"/>
        <v>1.317079209068728E-5</v>
      </c>
      <c r="G493">
        <f t="shared" si="376"/>
        <v>1.2345424155639022E-3</v>
      </c>
      <c r="H493">
        <f t="shared" si="377"/>
        <v>-3.1403581075844365</v>
      </c>
      <c r="J493">
        <f t="shared" si="378"/>
        <v>15</v>
      </c>
      <c r="M493">
        <f t="shared" si="379"/>
        <v>9.1198693102152761E-4</v>
      </c>
      <c r="N493">
        <f t="shared" si="380"/>
        <v>-1.5707963250000001</v>
      </c>
      <c r="O493">
        <f t="shared" si="381"/>
        <v>405.29684480500481</v>
      </c>
      <c r="P493">
        <f t="shared" si="382"/>
        <v>1.5683289969169616</v>
      </c>
      <c r="Q493">
        <f t="shared" si="383"/>
        <v>357.89565298456614</v>
      </c>
      <c r="R493">
        <f t="shared" si="384"/>
        <v>1.5680022126645881</v>
      </c>
      <c r="S493">
        <f t="shared" si="385"/>
        <v>9.221062441506471E-2</v>
      </c>
      <c r="T493">
        <f t="shared" si="386"/>
        <v>-1.4784545251009475</v>
      </c>
      <c r="U493">
        <f t="shared" si="387"/>
        <v>0.11358006832177821</v>
      </c>
      <c r="V493">
        <f t="shared" si="388"/>
        <v>-1.4569706245081577</v>
      </c>
      <c r="X493">
        <f t="shared" si="405"/>
        <v>-49.955026847567026</v>
      </c>
      <c r="Y493">
        <f t="shared" si="389"/>
        <v>-173.35807946200228</v>
      </c>
      <c r="Z493">
        <f t="shared" si="406"/>
        <v>6.64192053799772</v>
      </c>
      <c r="AC493">
        <v>1</v>
      </c>
      <c r="AD493">
        <f t="shared" si="390"/>
        <v>405.29561113944004</v>
      </c>
      <c r="AE493">
        <f t="shared" si="391"/>
        <v>-0.53286504890427822</v>
      </c>
      <c r="AF493">
        <f t="shared" si="392"/>
        <v>6.0917052279824996E-2</v>
      </c>
      <c r="AG493">
        <f t="shared" si="421"/>
        <v>83.977198063518259</v>
      </c>
      <c r="AH493">
        <f t="shared" si="422"/>
        <v>-750.99683981446151</v>
      </c>
      <c r="AJ493">
        <f t="shared" si="393"/>
        <v>18000</v>
      </c>
      <c r="AK493">
        <f t="shared" si="394"/>
        <v>194373.60451185599</v>
      </c>
      <c r="AL493">
        <v>1</v>
      </c>
      <c r="AM493">
        <f t="shared" si="395"/>
        <v>357.894255926592</v>
      </c>
      <c r="AN493">
        <f t="shared" si="423"/>
        <v>543.23973520042432</v>
      </c>
      <c r="AO493">
        <f t="shared" si="424"/>
        <v>-48.776307458759966</v>
      </c>
      <c r="AQ493">
        <f t="shared" si="396"/>
        <v>1.2846698674644638E-3</v>
      </c>
      <c r="AR493">
        <f t="shared" si="397"/>
        <v>-3.5842289302258541</v>
      </c>
      <c r="AT493">
        <f t="shared" si="418"/>
        <v>-2691.6367167952781</v>
      </c>
      <c r="AU493">
        <f t="shared" si="419"/>
        <v>-301.95828578923937</v>
      </c>
      <c r="AV493">
        <f t="shared" si="407"/>
        <v>-3.0298758582572698</v>
      </c>
      <c r="AW493">
        <f t="shared" si="408"/>
        <v>455.77354952248493</v>
      </c>
      <c r="AX493">
        <f t="shared" si="409"/>
        <v>-2869.9792944241535</v>
      </c>
      <c r="AY493">
        <f t="shared" si="417"/>
        <v>-1.4133042480260347</v>
      </c>
      <c r="BA493">
        <f t="shared" si="398"/>
        <v>0.93206240846915778</v>
      </c>
      <c r="BB493">
        <f t="shared" si="410"/>
        <v>-0.61110014892114528</v>
      </c>
      <c r="BC493">
        <f t="shared" si="411"/>
        <v>-1.6165716102312351</v>
      </c>
      <c r="BD493">
        <f t="shared" si="399"/>
        <v>-272.62273065275417</v>
      </c>
      <c r="BF493">
        <f t="shared" si="400"/>
        <v>-53.398153988717318</v>
      </c>
      <c r="BG493">
        <f t="shared" si="401"/>
        <v>-187.49187944293308</v>
      </c>
      <c r="BH493">
        <f t="shared" si="412"/>
        <v>-7.4918794429330831</v>
      </c>
      <c r="BI493">
        <f t="shared" si="413"/>
        <v>-7.4918794429330831</v>
      </c>
      <c r="BJ493">
        <f t="shared" si="402"/>
        <v>0</v>
      </c>
      <c r="BK493">
        <f t="shared" si="414"/>
        <v>0</v>
      </c>
      <c r="BM493">
        <f t="shared" si="415"/>
        <v>-52.787053839796165</v>
      </c>
      <c r="BN493">
        <f t="shared" si="403"/>
        <v>-94.869148790178883</v>
      </c>
      <c r="BQ493" s="56">
        <f t="shared" si="416"/>
        <v>16.290860651363992</v>
      </c>
    </row>
    <row r="494" spans="1:69" x14ac:dyDescent="0.25">
      <c r="A494">
        <f t="shared" si="420"/>
        <v>1400000</v>
      </c>
      <c r="B494">
        <f t="shared" si="404"/>
        <v>1400</v>
      </c>
      <c r="C494">
        <f t="shared" si="373"/>
        <v>11.654308283471664</v>
      </c>
      <c r="D494">
        <f t="shared" si="374"/>
        <v>1.4848855076223828</v>
      </c>
      <c r="F494">
        <f t="shared" si="375"/>
        <v>1.3076881834913993E-5</v>
      </c>
      <c r="G494">
        <f t="shared" si="376"/>
        <v>1.2301332237640234E-3</v>
      </c>
      <c r="H494">
        <f t="shared" si="377"/>
        <v>-3.1403625167762361</v>
      </c>
      <c r="J494">
        <f t="shared" si="378"/>
        <v>15</v>
      </c>
      <c r="M494">
        <f t="shared" si="379"/>
        <v>9.0872983483930797E-4</v>
      </c>
      <c r="N494">
        <f t="shared" si="380"/>
        <v>-1.5707963250000001</v>
      </c>
      <c r="O494">
        <f t="shared" si="381"/>
        <v>406.7495128404297</v>
      </c>
      <c r="P494">
        <f t="shared" si="382"/>
        <v>1.5683378087738113</v>
      </c>
      <c r="Q494">
        <f t="shared" si="383"/>
        <v>359.17842310594074</v>
      </c>
      <c r="R494">
        <f t="shared" si="384"/>
        <v>1.5680121915919651</v>
      </c>
      <c r="S494">
        <f t="shared" si="385"/>
        <v>9.1884086072977586E-2</v>
      </c>
      <c r="T494">
        <f t="shared" si="386"/>
        <v>-1.4787824556307669</v>
      </c>
      <c r="U494">
        <f t="shared" si="387"/>
        <v>0.11317963055053629</v>
      </c>
      <c r="V494">
        <f t="shared" si="388"/>
        <v>-1.4573736611776555</v>
      </c>
      <c r="X494">
        <f t="shared" si="405"/>
        <v>-50.016747999330526</v>
      </c>
      <c r="Y494">
        <f t="shared" si="389"/>
        <v>-173.38158118856364</v>
      </c>
      <c r="Z494">
        <f t="shared" si="406"/>
        <v>6.6184188114363565</v>
      </c>
      <c r="AC494">
        <v>1</v>
      </c>
      <c r="AD494">
        <f t="shared" si="390"/>
        <v>406.74828358079998</v>
      </c>
      <c r="AE494">
        <f t="shared" si="391"/>
        <v>-0.53669171560097395</v>
      </c>
      <c r="AF494">
        <f t="shared" si="392"/>
        <v>6.1135392968999995E-2</v>
      </c>
      <c r="AG494">
        <f t="shared" si="421"/>
        <v>83.386102042293032</v>
      </c>
      <c r="AH494">
        <f t="shared" si="422"/>
        <v>-748.38204091623277</v>
      </c>
      <c r="AJ494">
        <f t="shared" si="393"/>
        <v>18000</v>
      </c>
      <c r="AK494">
        <f t="shared" si="394"/>
        <v>195070.28409792</v>
      </c>
      <c r="AL494">
        <v>1</v>
      </c>
      <c r="AM494">
        <f t="shared" si="395"/>
        <v>359.17703103744003</v>
      </c>
      <c r="AN494">
        <f t="shared" si="423"/>
        <v>543.23876346827774</v>
      </c>
      <c r="AO494">
        <f t="shared" si="424"/>
        <v>-48.602109066133622</v>
      </c>
      <c r="AQ494">
        <f t="shared" si="396"/>
        <v>1.2755100413890253E-3</v>
      </c>
      <c r="AR494">
        <f t="shared" si="397"/>
        <v>-3.5714281158892711</v>
      </c>
      <c r="AT494">
        <f t="shared" si="418"/>
        <v>-2672.6863025443613</v>
      </c>
      <c r="AU494">
        <f t="shared" si="419"/>
        <v>-298.762038116241</v>
      </c>
      <c r="AV494">
        <f t="shared" si="407"/>
        <v>-3.0302713631516793</v>
      </c>
      <c r="AW494">
        <f t="shared" si="408"/>
        <v>456.40412172356758</v>
      </c>
      <c r="AX494">
        <f t="shared" si="409"/>
        <v>-2859.7949166618755</v>
      </c>
      <c r="AY494">
        <f t="shared" si="417"/>
        <v>-1.4125376334567206</v>
      </c>
      <c r="BA494">
        <f t="shared" si="398"/>
        <v>0.92864167912450202</v>
      </c>
      <c r="BB494">
        <f t="shared" si="410"/>
        <v>-0.64303656615217097</v>
      </c>
      <c r="BC494">
        <f t="shared" si="411"/>
        <v>-1.6177337296949588</v>
      </c>
      <c r="BD494">
        <f t="shared" si="399"/>
        <v>-272.68931519339168</v>
      </c>
      <c r="BF494">
        <f t="shared" si="400"/>
        <v>-53.461397357179266</v>
      </c>
      <c r="BG494">
        <f t="shared" si="401"/>
        <v>-187.54116100723184</v>
      </c>
      <c r="BH494">
        <f t="shared" si="412"/>
        <v>-7.5411610072318354</v>
      </c>
      <c r="BI494">
        <f t="shared" si="413"/>
        <v>-7.5411610072318354</v>
      </c>
      <c r="BJ494">
        <f t="shared" si="402"/>
        <v>0</v>
      </c>
      <c r="BK494">
        <f t="shared" si="414"/>
        <v>0</v>
      </c>
      <c r="BM494">
        <f t="shared" si="415"/>
        <v>-52.818360791027096</v>
      </c>
      <c r="BN494">
        <f t="shared" si="403"/>
        <v>-94.851845813840171</v>
      </c>
      <c r="BQ494" s="56">
        <f t="shared" si="416"/>
        <v>16.258924234132966</v>
      </c>
    </row>
    <row r="495" spans="1:69" x14ac:dyDescent="0.25">
      <c r="A495">
        <f t="shared" si="420"/>
        <v>1405000</v>
      </c>
      <c r="B495">
        <f t="shared" si="404"/>
        <v>1405</v>
      </c>
      <c r="C495">
        <f t="shared" si="373"/>
        <v>11.695624907269213</v>
      </c>
      <c r="D495">
        <f t="shared" si="374"/>
        <v>1.4851897459160204</v>
      </c>
      <c r="F495">
        <f t="shared" si="375"/>
        <v>1.2983972411140443E-5</v>
      </c>
      <c r="G495">
        <f t="shared" si="376"/>
        <v>1.2257554152988435E-3</v>
      </c>
      <c r="H495">
        <f t="shared" si="377"/>
        <v>-3.1403668945847012</v>
      </c>
      <c r="J495">
        <f t="shared" si="378"/>
        <v>15</v>
      </c>
      <c r="M495">
        <f t="shared" si="379"/>
        <v>9.0549592083632102E-4</v>
      </c>
      <c r="N495">
        <f t="shared" si="380"/>
        <v>-1.5707963250000001</v>
      </c>
      <c r="O495">
        <f t="shared" si="381"/>
        <v>408.2021809072134</v>
      </c>
      <c r="P495">
        <f t="shared" si="382"/>
        <v>1.5683465579131965</v>
      </c>
      <c r="Q495">
        <f t="shared" si="383"/>
        <v>360.46119326282741</v>
      </c>
      <c r="R495">
        <f t="shared" si="384"/>
        <v>1.5680220994954968</v>
      </c>
      <c r="S495">
        <f t="shared" si="385"/>
        <v>9.1559842517705214E-2</v>
      </c>
      <c r="T495">
        <f t="shared" si="386"/>
        <v>-1.4791080717715304</v>
      </c>
      <c r="U495">
        <f t="shared" si="387"/>
        <v>0.11278198829798304</v>
      </c>
      <c r="V495">
        <f t="shared" si="388"/>
        <v>-1.4577738658755164</v>
      </c>
      <c r="X495">
        <f t="shared" si="405"/>
        <v>-50.07825213451455</v>
      </c>
      <c r="Y495">
        <f t="shared" si="389"/>
        <v>-173.40491794926567</v>
      </c>
      <c r="Z495">
        <f t="shared" si="406"/>
        <v>6.5950820507343337</v>
      </c>
      <c r="AC495">
        <v>1</v>
      </c>
      <c r="AD495">
        <f t="shared" si="390"/>
        <v>408.20095602215997</v>
      </c>
      <c r="AE495">
        <f t="shared" si="391"/>
        <v>-0.54053207341286358</v>
      </c>
      <c r="AF495">
        <f t="shared" si="392"/>
        <v>6.1353733658175001E-2</v>
      </c>
      <c r="AG495">
        <f t="shared" si="421"/>
        <v>82.801198392013802</v>
      </c>
      <c r="AH495">
        <f t="shared" si="422"/>
        <v>-745.78514981391515</v>
      </c>
      <c r="AJ495">
        <f t="shared" si="393"/>
        <v>18000</v>
      </c>
      <c r="AK495">
        <f t="shared" si="394"/>
        <v>195766.96368398398</v>
      </c>
      <c r="AL495">
        <v>1</v>
      </c>
      <c r="AM495">
        <f t="shared" si="395"/>
        <v>360.45980614828801</v>
      </c>
      <c r="AN495">
        <f t="shared" si="423"/>
        <v>543.23780209191841</v>
      </c>
      <c r="AO495">
        <f t="shared" si="424"/>
        <v>-48.429150490988775</v>
      </c>
      <c r="AQ495">
        <f t="shared" si="396"/>
        <v>1.2664478329241229E-3</v>
      </c>
      <c r="AR495">
        <f t="shared" si="397"/>
        <v>-3.5587184105167853</v>
      </c>
      <c r="AT495">
        <f t="shared" si="418"/>
        <v>-2653.9344795345314</v>
      </c>
      <c r="AU495">
        <f t="shared" si="419"/>
        <v>-295.61064711732115</v>
      </c>
      <c r="AV495">
        <f t="shared" si="407"/>
        <v>-3.0306640896810153</v>
      </c>
      <c r="AW495">
        <f t="shared" si="408"/>
        <v>457.02786357251193</v>
      </c>
      <c r="AX495">
        <f t="shared" si="409"/>
        <v>-2849.68234203359</v>
      </c>
      <c r="AY495">
        <f t="shared" si="417"/>
        <v>-1.4117720053884033</v>
      </c>
      <c r="BA495">
        <f t="shared" si="398"/>
        <v>0.92524466742004541</v>
      </c>
      <c r="BB495">
        <f t="shared" si="410"/>
        <v>-0.67486818500226731</v>
      </c>
      <c r="BC495">
        <f t="shared" si="411"/>
        <v>-1.618892084292612</v>
      </c>
      <c r="BD495">
        <f t="shared" si="399"/>
        <v>-272.75568402309261</v>
      </c>
      <c r="BF495">
        <f t="shared" si="400"/>
        <v>-53.524422693793397</v>
      </c>
      <c r="BG495">
        <f t="shared" si="401"/>
        <v>-187.59034909667</v>
      </c>
      <c r="BH495">
        <f t="shared" si="412"/>
        <v>-7.5903490966699962</v>
      </c>
      <c r="BI495">
        <f t="shared" si="413"/>
        <v>-7.5903490966699962</v>
      </c>
      <c r="BJ495">
        <f t="shared" si="402"/>
        <v>0</v>
      </c>
      <c r="BK495">
        <f t="shared" si="414"/>
        <v>0</v>
      </c>
      <c r="BM495">
        <f t="shared" si="415"/>
        <v>-52.849554508791137</v>
      </c>
      <c r="BN495">
        <f t="shared" si="403"/>
        <v>-94.834665073577412</v>
      </c>
      <c r="BQ495" s="56">
        <f t="shared" si="416"/>
        <v>16.227092615282871</v>
      </c>
    </row>
    <row r="496" spans="1:69" x14ac:dyDescent="0.25">
      <c r="A496">
        <f t="shared" si="420"/>
        <v>1410000</v>
      </c>
      <c r="B496">
        <f t="shared" si="404"/>
        <v>1410</v>
      </c>
      <c r="C496">
        <f t="shared" si="373"/>
        <v>11.736942606003046</v>
      </c>
      <c r="D496">
        <f t="shared" si="374"/>
        <v>1.4854918422100849</v>
      </c>
      <c r="F496">
        <f t="shared" si="375"/>
        <v>1.2892049648078888E-5</v>
      </c>
      <c r="G496">
        <f t="shared" si="376"/>
        <v>1.2214086562863562E-3</v>
      </c>
      <c r="H496">
        <f t="shared" si="377"/>
        <v>-3.1403712413437139</v>
      </c>
      <c r="J496">
        <f t="shared" si="378"/>
        <v>15</v>
      </c>
      <c r="M496">
        <f t="shared" si="379"/>
        <v>9.0228494239363898E-4</v>
      </c>
      <c r="N496">
        <f t="shared" si="380"/>
        <v>-1.5707963250000001</v>
      </c>
      <c r="O496">
        <f t="shared" si="381"/>
        <v>409.65484900502236</v>
      </c>
      <c r="P496">
        <f t="shared" si="382"/>
        <v>1.5683552450023188</v>
      </c>
      <c r="Q496">
        <f t="shared" si="383"/>
        <v>361.74396345484831</v>
      </c>
      <c r="R496">
        <f t="shared" si="384"/>
        <v>1.5680319371307476</v>
      </c>
      <c r="S496">
        <f t="shared" si="385"/>
        <v>9.1237869746110783E-2</v>
      </c>
      <c r="T496">
        <f t="shared" si="386"/>
        <v>-1.4794313978696674</v>
      </c>
      <c r="U496">
        <f t="shared" si="387"/>
        <v>0.11238711258231802</v>
      </c>
      <c r="V496">
        <f t="shared" si="388"/>
        <v>-1.4581712682190204</v>
      </c>
      <c r="X496">
        <f t="shared" si="405"/>
        <v>-50.139540763484511</v>
      </c>
      <c r="Y496">
        <f t="shared" si="389"/>
        <v>-173.42809146693958</v>
      </c>
      <c r="Z496">
        <f t="shared" si="406"/>
        <v>6.571908533060423</v>
      </c>
      <c r="AC496">
        <v>1</v>
      </c>
      <c r="AD496">
        <f t="shared" si="390"/>
        <v>409.65362846351996</v>
      </c>
      <c r="AE496">
        <f t="shared" si="391"/>
        <v>-0.5443861223399471</v>
      </c>
      <c r="AF496">
        <f t="shared" si="392"/>
        <v>6.157207434735E-2</v>
      </c>
      <c r="AG496">
        <f t="shared" si="421"/>
        <v>82.222401289160644</v>
      </c>
      <c r="AH496">
        <f t="shared" si="422"/>
        <v>-743.20598570599759</v>
      </c>
      <c r="AJ496">
        <f t="shared" si="393"/>
        <v>18000</v>
      </c>
      <c r="AK496">
        <f t="shared" si="394"/>
        <v>196463.64327004799</v>
      </c>
      <c r="AL496">
        <v>1</v>
      </c>
      <c r="AM496">
        <f t="shared" si="395"/>
        <v>361.74258125913599</v>
      </c>
      <c r="AN496">
        <f t="shared" si="423"/>
        <v>543.23685092471862</v>
      </c>
      <c r="AO496">
        <f t="shared" si="424"/>
        <v>-48.257418544183075</v>
      </c>
      <c r="AQ496">
        <f t="shared" si="396"/>
        <v>1.2574818598810598E-3</v>
      </c>
      <c r="AR496">
        <f t="shared" si="397"/>
        <v>-3.5460988448645887</v>
      </c>
      <c r="AT496">
        <f t="shared" si="418"/>
        <v>-2635.3784942303892</v>
      </c>
      <c r="AU496">
        <f t="shared" si="419"/>
        <v>-292.50333027866554</v>
      </c>
      <c r="AV496">
        <f t="shared" si="407"/>
        <v>-3.0310540668922807</v>
      </c>
      <c r="AW496">
        <f t="shared" si="408"/>
        <v>457.64487369321233</v>
      </c>
      <c r="AX496">
        <f t="shared" si="409"/>
        <v>-2839.6408161037511</v>
      </c>
      <c r="AY496">
        <f t="shared" si="417"/>
        <v>-1.4110073550681819</v>
      </c>
      <c r="BA496">
        <f t="shared" si="398"/>
        <v>0.92187112513394787</v>
      </c>
      <c r="BB496">
        <f t="shared" si="410"/>
        <v>-0.70659575582970702</v>
      </c>
      <c r="BC496">
        <f t="shared" si="411"/>
        <v>-1.6200467118240989</v>
      </c>
      <c r="BD496">
        <f t="shared" si="399"/>
        <v>-272.82183930763199</v>
      </c>
      <c r="BF496">
        <f t="shared" si="400"/>
        <v>-53.587231570448481</v>
      </c>
      <c r="BG496">
        <f t="shared" si="401"/>
        <v>-187.63944458947947</v>
      </c>
      <c r="BH496">
        <f t="shared" si="412"/>
        <v>-7.6394445894794671</v>
      </c>
      <c r="BI496">
        <f t="shared" si="413"/>
        <v>-7.6394445894794671</v>
      </c>
      <c r="BJ496">
        <f t="shared" si="402"/>
        <v>0</v>
      </c>
      <c r="BK496">
        <f t="shared" si="414"/>
        <v>0</v>
      </c>
      <c r="BM496">
        <f t="shared" si="415"/>
        <v>-52.88063581461877</v>
      </c>
      <c r="BN496">
        <f t="shared" si="403"/>
        <v>-94.817605281847477</v>
      </c>
      <c r="BQ496" s="56">
        <f t="shared" si="416"/>
        <v>16.195365044455428</v>
      </c>
    </row>
    <row r="497" spans="1:69" x14ac:dyDescent="0.25">
      <c r="A497">
        <f t="shared" si="420"/>
        <v>1415000</v>
      </c>
      <c r="B497">
        <f t="shared" si="404"/>
        <v>1415</v>
      </c>
      <c r="C497">
        <f t="shared" si="373"/>
        <v>11.778261368360653</v>
      </c>
      <c r="D497">
        <f t="shared" si="374"/>
        <v>1.4857918189918871</v>
      </c>
      <c r="F497">
        <f t="shared" si="375"/>
        <v>1.2801099624380644E-5</v>
      </c>
      <c r="G497">
        <f t="shared" si="376"/>
        <v>1.2170926175640309E-3</v>
      </c>
      <c r="H497">
        <f t="shared" si="377"/>
        <v>-3.1403755573824363</v>
      </c>
      <c r="J497">
        <f t="shared" si="378"/>
        <v>15</v>
      </c>
      <c r="M497">
        <f t="shared" si="379"/>
        <v>8.990966563781137E-4</v>
      </c>
      <c r="N497">
        <f t="shared" si="380"/>
        <v>-1.5707963250000001</v>
      </c>
      <c r="O497">
        <f t="shared" si="381"/>
        <v>411.10751713352761</v>
      </c>
      <c r="P497">
        <f t="shared" si="382"/>
        <v>1.5683638706989496</v>
      </c>
      <c r="Q497">
        <f t="shared" si="383"/>
        <v>363.02673368163107</v>
      </c>
      <c r="R497">
        <f t="shared" si="384"/>
        <v>1.5680417052426041</v>
      </c>
      <c r="S497">
        <f t="shared" si="385"/>
        <v>9.0918144087217836E-2</v>
      </c>
      <c r="T497">
        <f t="shared" si="386"/>
        <v>-1.4797524579322676</v>
      </c>
      <c r="U497">
        <f t="shared" si="387"/>
        <v>0.11199497481831248</v>
      </c>
      <c r="V497">
        <f t="shared" si="388"/>
        <v>-1.4585658974156575</v>
      </c>
      <c r="X497">
        <f t="shared" si="405"/>
        <v>-50.200615381000524</v>
      </c>
      <c r="Y497">
        <f t="shared" si="389"/>
        <v>-173.4511034406213</v>
      </c>
      <c r="Z497">
        <f t="shared" si="406"/>
        <v>6.5488965593787043</v>
      </c>
      <c r="AC497">
        <v>1</v>
      </c>
      <c r="AD497">
        <f t="shared" si="390"/>
        <v>411.10630090487996</v>
      </c>
      <c r="AE497">
        <f t="shared" si="391"/>
        <v>-0.54825386238222451</v>
      </c>
      <c r="AF497">
        <f t="shared" si="392"/>
        <v>6.1790415036525E-2</v>
      </c>
      <c r="AG497">
        <f t="shared" si="421"/>
        <v>81.649626385471237</v>
      </c>
      <c r="AH497">
        <f t="shared" si="422"/>
        <v>-740.64437018019976</v>
      </c>
      <c r="AJ497">
        <f t="shared" si="393"/>
        <v>18000</v>
      </c>
      <c r="AK497">
        <f t="shared" si="394"/>
        <v>197160.322856112</v>
      </c>
      <c r="AL497">
        <v>1</v>
      </c>
      <c r="AM497">
        <f t="shared" si="395"/>
        <v>363.02535636998402</v>
      </c>
      <c r="AN497">
        <f t="shared" si="423"/>
        <v>543.23590982263624</v>
      </c>
      <c r="AO497">
        <f t="shared" si="424"/>
        <v>-48.086900222986024</v>
      </c>
      <c r="AQ497">
        <f t="shared" si="396"/>
        <v>1.2486107644482057E-3</v>
      </c>
      <c r="AR497">
        <f t="shared" si="397"/>
        <v>-3.5335684633884226</v>
      </c>
      <c r="AT497">
        <f t="shared" si="418"/>
        <v>-2617.0156404525164</v>
      </c>
      <c r="AU497">
        <f t="shared" si="419"/>
        <v>-289.43932137638336</v>
      </c>
      <c r="AV497">
        <f t="shared" si="407"/>
        <v>-3.0314413234307485</v>
      </c>
      <c r="AW497">
        <f t="shared" si="408"/>
        <v>458.25524893064625</v>
      </c>
      <c r="AX497">
        <f t="shared" si="409"/>
        <v>-2829.6695949389923</v>
      </c>
      <c r="AY497">
        <f t="shared" si="417"/>
        <v>-1.4102436738818387</v>
      </c>
      <c r="BA497">
        <f t="shared" si="398"/>
        <v>0.91852080748944032</v>
      </c>
      <c r="BB497">
        <f t="shared" si="410"/>
        <v>-0.73822002123005626</v>
      </c>
      <c r="BC497">
        <f t="shared" si="411"/>
        <v>-1.6211976495489098</v>
      </c>
      <c r="BD497">
        <f t="shared" si="399"/>
        <v>-272.88778318182142</v>
      </c>
      <c r="BF497">
        <f t="shared" si="400"/>
        <v>-53.649825542309351</v>
      </c>
      <c r="BG497">
        <f t="shared" si="401"/>
        <v>-187.68844835090334</v>
      </c>
      <c r="BH497">
        <f t="shared" si="412"/>
        <v>-7.688448350903343</v>
      </c>
      <c r="BI497">
        <f t="shared" si="413"/>
        <v>-7.688448350903343</v>
      </c>
      <c r="BJ497">
        <f t="shared" si="402"/>
        <v>0</v>
      </c>
      <c r="BK497">
        <f t="shared" si="414"/>
        <v>0</v>
      </c>
      <c r="BM497">
        <f t="shared" si="415"/>
        <v>-52.911605521079295</v>
      </c>
      <c r="BN497">
        <f t="shared" si="403"/>
        <v>-94.800665169081952</v>
      </c>
      <c r="BQ497" s="56">
        <f t="shared" si="416"/>
        <v>16.163740779055079</v>
      </c>
    </row>
    <row r="498" spans="1:69" x14ac:dyDescent="0.25">
      <c r="A498">
        <f t="shared" si="420"/>
        <v>1420000</v>
      </c>
      <c r="B498">
        <f t="shared" si="404"/>
        <v>1420</v>
      </c>
      <c r="C498">
        <f t="shared" si="373"/>
        <v>11.819581183187426</v>
      </c>
      <c r="D498">
        <f t="shared" si="374"/>
        <v>1.4860896984358234</v>
      </c>
      <c r="F498">
        <f t="shared" si="375"/>
        <v>1.2711108663364848E-5</v>
      </c>
      <c r="G498">
        <f t="shared" si="376"/>
        <v>1.2128069746057152E-3</v>
      </c>
      <c r="H498">
        <f t="shared" si="377"/>
        <v>-3.1403798430253946</v>
      </c>
      <c r="J498">
        <f t="shared" si="378"/>
        <v>15</v>
      </c>
      <c r="M498">
        <f t="shared" si="379"/>
        <v>8.9593082308100783E-4</v>
      </c>
      <c r="N498">
        <f t="shared" si="380"/>
        <v>-1.5707963250000001</v>
      </c>
      <c r="O498">
        <f t="shared" si="381"/>
        <v>412.56018529240498</v>
      </c>
      <c r="P498">
        <f t="shared" si="382"/>
        <v>1.568372435651596</v>
      </c>
      <c r="Q498">
        <f t="shared" si="383"/>
        <v>364.30950394280853</v>
      </c>
      <c r="R498">
        <f t="shared" si="384"/>
        <v>1.5680514045654605</v>
      </c>
      <c r="S498">
        <f t="shared" si="385"/>
        <v>9.0600642196509359E-2</v>
      </c>
      <c r="T498">
        <f t="shared" si="386"/>
        <v>-1.4800712756329575</v>
      </c>
      <c r="U498">
        <f t="shared" si="387"/>
        <v>0.11160554681059615</v>
      </c>
      <c r="V498">
        <f t="shared" si="388"/>
        <v>-1.4589577822701598</v>
      </c>
      <c r="X498">
        <f t="shared" si="405"/>
        <v>-50.261477466430193</v>
      </c>
      <c r="Y498">
        <f t="shared" si="389"/>
        <v>-173.47395554595968</v>
      </c>
      <c r="Z498">
        <f t="shared" si="406"/>
        <v>6.5260444540403171</v>
      </c>
      <c r="AC498">
        <v>1</v>
      </c>
      <c r="AD498">
        <f t="shared" si="390"/>
        <v>412.55897334624001</v>
      </c>
      <c r="AE498">
        <f t="shared" si="391"/>
        <v>-0.55213529353969582</v>
      </c>
      <c r="AF498">
        <f t="shared" si="392"/>
        <v>6.2008755725699999E-2</v>
      </c>
      <c r="AG498">
        <f t="shared" si="421"/>
        <v>81.082790777749068</v>
      </c>
      <c r="AH498">
        <f t="shared" si="422"/>
        <v>-738.10012717479901</v>
      </c>
      <c r="AJ498">
        <f t="shared" si="393"/>
        <v>18000</v>
      </c>
      <c r="AK498">
        <f t="shared" si="394"/>
        <v>197857.00244217599</v>
      </c>
      <c r="AL498">
        <v>1</v>
      </c>
      <c r="AM498">
        <f t="shared" si="395"/>
        <v>364.308131480832</v>
      </c>
      <c r="AN498">
        <f t="shared" si="423"/>
        <v>543.23497864416049</v>
      </c>
      <c r="AO498">
        <f t="shared" si="424"/>
        <v>-47.917582707797244</v>
      </c>
      <c r="AQ498">
        <f t="shared" si="396"/>
        <v>1.2398332126768979E-3</v>
      </c>
      <c r="AR498">
        <f t="shared" si="397"/>
        <v>-3.52112632400239</v>
      </c>
      <c r="AT498">
        <f t="shared" si="418"/>
        <v>-2598.8432584077136</v>
      </c>
      <c r="AU498">
        <f t="shared" si="419"/>
        <v>-286.41787008306284</v>
      </c>
      <c r="AV498">
        <f t="shared" si="407"/>
        <v>-3.0318258875468524</v>
      </c>
      <c r="AW498">
        <f t="shared" si="408"/>
        <v>458.85908438933865</v>
      </c>
      <c r="AX498">
        <f t="shared" si="409"/>
        <v>-2819.7679449265079</v>
      </c>
      <c r="AY498">
        <f t="shared" si="417"/>
        <v>-1.4094809533512027</v>
      </c>
      <c r="BA498">
        <f t="shared" si="398"/>
        <v>0.9151934730955299</v>
      </c>
      <c r="BB498">
        <f t="shared" si="410"/>
        <v>-0.76974171614127895</v>
      </c>
      <c r="BC498">
        <f t="shared" si="411"/>
        <v>-1.6223449341956497</v>
      </c>
      <c r="BD498">
        <f t="shared" si="399"/>
        <v>-272.95351775005486</v>
      </c>
      <c r="BF498">
        <f t="shared" si="400"/>
        <v>-53.71220614805263</v>
      </c>
      <c r="BG498">
        <f t="shared" si="401"/>
        <v>-187.73736123343033</v>
      </c>
      <c r="BH498">
        <f t="shared" si="412"/>
        <v>-7.7373612334303346</v>
      </c>
      <c r="BI498">
        <f t="shared" si="413"/>
        <v>-7.7373612334303346</v>
      </c>
      <c r="BJ498">
        <f t="shared" si="402"/>
        <v>0</v>
      </c>
      <c r="BK498">
        <f t="shared" si="414"/>
        <v>0</v>
      </c>
      <c r="BM498">
        <f t="shared" si="415"/>
        <v>-52.942464431911347</v>
      </c>
      <c r="BN498">
        <f t="shared" si="403"/>
        <v>-94.783843483375477</v>
      </c>
      <c r="BQ498" s="56">
        <f t="shared" si="416"/>
        <v>16.132219084143856</v>
      </c>
    </row>
    <row r="499" spans="1:69" x14ac:dyDescent="0.25">
      <c r="A499">
        <f t="shared" si="420"/>
        <v>1425000</v>
      </c>
      <c r="B499">
        <f t="shared" si="404"/>
        <v>1425</v>
      </c>
      <c r="C499">
        <f t="shared" si="373"/>
        <v>11.860902039483898</v>
      </c>
      <c r="D499">
        <f t="shared" si="374"/>
        <v>1.486385502408788</v>
      </c>
      <c r="F499">
        <f t="shared" si="375"/>
        <v>1.2622063327876485E-5</v>
      </c>
      <c r="G499">
        <f t="shared" si="376"/>
        <v>1.20855140744029E-3</v>
      </c>
      <c r="H499">
        <f t="shared" si="377"/>
        <v>-3.14038409859256</v>
      </c>
      <c r="J499">
        <f t="shared" si="378"/>
        <v>15</v>
      </c>
      <c r="M499">
        <f t="shared" si="379"/>
        <v>8.9278720615791651E-4</v>
      </c>
      <c r="N499">
        <f t="shared" si="380"/>
        <v>-1.5707963250000001</v>
      </c>
      <c r="O499">
        <f t="shared" si="381"/>
        <v>414.01285348133473</v>
      </c>
      <c r="P499">
        <f t="shared" si="382"/>
        <v>1.5683809404996636</v>
      </c>
      <c r="Q499">
        <f t="shared" si="383"/>
        <v>365.59227423801849</v>
      </c>
      <c r="R499">
        <f t="shared" si="384"/>
        <v>1.5680610358234044</v>
      </c>
      <c r="S499">
        <f t="shared" si="385"/>
        <v>9.0285341050343706E-2</v>
      </c>
      <c r="T499">
        <f t="shared" si="386"/>
        <v>-1.4803878743176524</v>
      </c>
      <c r="U499">
        <f t="shared" si="387"/>
        <v>0.11121880074707885</v>
      </c>
      <c r="V499">
        <f t="shared" si="388"/>
        <v>-1.4593469511913906</v>
      </c>
      <c r="X499">
        <f t="shared" si="405"/>
        <v>-50.322128483957783</v>
      </c>
      <c r="Y499">
        <f t="shared" si="389"/>
        <v>-173.49664943561487</v>
      </c>
      <c r="Z499">
        <f t="shared" si="406"/>
        <v>6.5033505643851299</v>
      </c>
      <c r="AC499">
        <v>1</v>
      </c>
      <c r="AD499">
        <f t="shared" si="390"/>
        <v>414.0116457876</v>
      </c>
      <c r="AE499">
        <f t="shared" si="391"/>
        <v>-0.55603041581236112</v>
      </c>
      <c r="AF499">
        <f t="shared" si="392"/>
        <v>6.2227096414874998E-2</v>
      </c>
      <c r="AG499">
        <f t="shared" si="421"/>
        <v>80.521812978386265</v>
      </c>
      <c r="AH499">
        <f t="shared" si="422"/>
        <v>-735.57308294069219</v>
      </c>
      <c r="AJ499">
        <f t="shared" si="393"/>
        <v>18000</v>
      </c>
      <c r="AK499">
        <f t="shared" si="394"/>
        <v>198553.68202823997</v>
      </c>
      <c r="AL499">
        <v>1</v>
      </c>
      <c r="AM499">
        <f t="shared" si="395"/>
        <v>365.59090659167998</v>
      </c>
      <c r="AN499">
        <f t="shared" si="423"/>
        <v>543.2340572502593</v>
      </c>
      <c r="AO499">
        <f t="shared" si="424"/>
        <v>-47.749453358933792</v>
      </c>
      <c r="AQ499">
        <f t="shared" si="396"/>
        <v>1.2311478939799453E-3</v>
      </c>
      <c r="AR499">
        <f t="shared" si="397"/>
        <v>-3.5087714978428441</v>
      </c>
      <c r="AT499">
        <f t="shared" si="418"/>
        <v>-2580.8587337422232</v>
      </c>
      <c r="AU499">
        <f t="shared" si="419"/>
        <v>-283.4382415851245</v>
      </c>
      <c r="AV499">
        <f t="shared" si="407"/>
        <v>-3.0322077871029371</v>
      </c>
      <c r="AW499">
        <f t="shared" si="408"/>
        <v>459.45647347085838</v>
      </c>
      <c r="AX499">
        <f t="shared" si="409"/>
        <v>-2809.9351425961877</v>
      </c>
      <c r="AY499">
        <f t="shared" si="417"/>
        <v>-1.4087191851315737</v>
      </c>
      <c r="BA499">
        <f t="shared" si="398"/>
        <v>0.9118888838889152</v>
      </c>
      <c r="BB499">
        <f t="shared" si="410"/>
        <v>-0.80116156794713189</v>
      </c>
      <c r="BC499">
        <f t="shared" si="411"/>
        <v>-1.6234886019713635</v>
      </c>
      <c r="BD499">
        <f t="shared" si="399"/>
        <v>-273.01904508684328</v>
      </c>
      <c r="BF499">
        <f t="shared" si="400"/>
        <v>-53.774374910098246</v>
      </c>
      <c r="BG499">
        <f t="shared" si="401"/>
        <v>-187.78618407702359</v>
      </c>
      <c r="BH499">
        <f t="shared" si="412"/>
        <v>-7.7861840770235915</v>
      </c>
      <c r="BI499">
        <f t="shared" si="413"/>
        <v>-7.7861840770235915</v>
      </c>
      <c r="BJ499">
        <f t="shared" si="402"/>
        <v>0</v>
      </c>
      <c r="BK499">
        <f t="shared" si="414"/>
        <v>0</v>
      </c>
      <c r="BM499">
        <f t="shared" si="415"/>
        <v>-52.973213342151112</v>
      </c>
      <c r="BN499">
        <f t="shared" si="403"/>
        <v>-94.767138990180342</v>
      </c>
      <c r="BQ499" s="56">
        <f t="shared" si="416"/>
        <v>16.100799232338005</v>
      </c>
    </row>
    <row r="500" spans="1:69" x14ac:dyDescent="0.25">
      <c r="A500">
        <f t="shared" si="420"/>
        <v>1430000</v>
      </c>
      <c r="B500">
        <f t="shared" si="404"/>
        <v>1430</v>
      </c>
      <c r="C500">
        <f t="shared" si="373"/>
        <v>11.902223926403089</v>
      </c>
      <c r="D500">
        <f t="shared" si="374"/>
        <v>1.4866792524754711</v>
      </c>
      <c r="F500">
        <f t="shared" si="375"/>
        <v>1.2533950415270014E-5</v>
      </c>
      <c r="G500">
        <f t="shared" si="376"/>
        <v>1.2043256005720301E-3</v>
      </c>
      <c r="H500">
        <f t="shared" si="377"/>
        <v>-3.1403883243994284</v>
      </c>
      <c r="J500">
        <f t="shared" si="378"/>
        <v>15</v>
      </c>
      <c r="M500">
        <f t="shared" si="379"/>
        <v>8.8966557256995172E-4</v>
      </c>
      <c r="N500">
        <f t="shared" si="380"/>
        <v>-1.5707963250000001</v>
      </c>
      <c r="O500">
        <f t="shared" si="381"/>
        <v>415.46552170000166</v>
      </c>
      <c r="P500">
        <f t="shared" si="382"/>
        <v>1.5683893858736149</v>
      </c>
      <c r="Q500">
        <f t="shared" si="383"/>
        <v>366.87504456690414</v>
      </c>
      <c r="R500">
        <f t="shared" si="384"/>
        <v>1.5680705997303963</v>
      </c>
      <c r="S500">
        <f t="shared" si="385"/>
        <v>8.9972217940484114E-2</v>
      </c>
      <c r="T500">
        <f t="shared" si="386"/>
        <v>-1.4807022770101925</v>
      </c>
      <c r="U500">
        <f t="shared" si="387"/>
        <v>0.11083470919250377</v>
      </c>
      <c r="V500">
        <f t="shared" si="388"/>
        <v>-1.4597334321990914</v>
      </c>
      <c r="X500">
        <f t="shared" si="405"/>
        <v>-50.382569882789852</v>
      </c>
      <c r="Y500">
        <f t="shared" si="389"/>
        <v>-173.51918673964983</v>
      </c>
      <c r="Z500">
        <f t="shared" si="406"/>
        <v>6.4808132603501747</v>
      </c>
      <c r="AC500">
        <v>1</v>
      </c>
      <c r="AD500">
        <f t="shared" si="390"/>
        <v>415.46431822896</v>
      </c>
      <c r="AE500">
        <f t="shared" si="391"/>
        <v>-0.55993922920022021</v>
      </c>
      <c r="AF500">
        <f t="shared" si="392"/>
        <v>6.2445437104049997E-2</v>
      </c>
      <c r="AG500">
        <f t="shared" si="421"/>
        <v>79.966612886582965</v>
      </c>
      <c r="AH500">
        <f t="shared" si="422"/>
        <v>-733.06306600417327</v>
      </c>
      <c r="AJ500">
        <f t="shared" si="393"/>
        <v>18000</v>
      </c>
      <c r="AK500">
        <f t="shared" si="394"/>
        <v>199250.36161430398</v>
      </c>
      <c r="AL500">
        <v>1</v>
      </c>
      <c r="AM500">
        <f t="shared" si="395"/>
        <v>366.87368170252802</v>
      </c>
      <c r="AN500">
        <f t="shared" si="423"/>
        <v>543.23314550432679</v>
      </c>
      <c r="AO500">
        <f t="shared" si="424"/>
        <v>-47.582499713484857</v>
      </c>
      <c r="AQ500">
        <f t="shared" si="396"/>
        <v>1.2225535206423883E-3</v>
      </c>
      <c r="AR500">
        <f t="shared" si="397"/>
        <v>-3.4965030690372307</v>
      </c>
      <c r="AT500">
        <f t="shared" si="418"/>
        <v>-2563.0594966173153</v>
      </c>
      <c r="AU500">
        <f t="shared" si="419"/>
        <v>-280.49971621064577</v>
      </c>
      <c r="AV500">
        <f t="shared" si="407"/>
        <v>-3.0325870495798681</v>
      </c>
      <c r="AW500">
        <f t="shared" si="408"/>
        <v>460.04750791037242</v>
      </c>
      <c r="AX500">
        <f t="shared" si="409"/>
        <v>-2800.1704744464009</v>
      </c>
      <c r="AY500">
        <f t="shared" si="417"/>
        <v>-1.4079583610092048</v>
      </c>
      <c r="BA500">
        <f t="shared" si="398"/>
        <v>0.90860680507708935</v>
      </c>
      <c r="BB500">
        <f t="shared" si="410"/>
        <v>-0.83248029657882483</v>
      </c>
      <c r="BC500">
        <f t="shared" si="411"/>
        <v>-1.6246286885706633</v>
      </c>
      <c r="BD500">
        <f t="shared" si="399"/>
        <v>-273.08436723733723</v>
      </c>
      <c r="BF500">
        <f t="shared" si="400"/>
        <v>-53.836333334836894</v>
      </c>
      <c r="BG500">
        <f t="shared" si="401"/>
        <v>-187.83491770934455</v>
      </c>
      <c r="BH500">
        <f t="shared" si="412"/>
        <v>-7.8349177093445519</v>
      </c>
      <c r="BI500">
        <f t="shared" si="413"/>
        <v>-7.8349177093445519</v>
      </c>
      <c r="BJ500">
        <f t="shared" si="402"/>
        <v>0</v>
      </c>
      <c r="BK500">
        <f t="shared" si="414"/>
        <v>0</v>
      </c>
      <c r="BM500">
        <f t="shared" si="415"/>
        <v>-53.003853038258065</v>
      </c>
      <c r="BN500">
        <f t="shared" si="403"/>
        <v>-94.750550472007347</v>
      </c>
      <c r="BQ500" s="56">
        <f t="shared" si="416"/>
        <v>16.069480503706313</v>
      </c>
    </row>
    <row r="501" spans="1:69" x14ac:dyDescent="0.25">
      <c r="A501">
        <f t="shared" si="420"/>
        <v>1435000</v>
      </c>
      <c r="B501">
        <f t="shared" si="404"/>
        <v>1435</v>
      </c>
      <c r="C501">
        <f t="shared" si="373"/>
        <v>11.943546833247858</v>
      </c>
      <c r="D501">
        <f t="shared" si="374"/>
        <v>1.4869709699035496</v>
      </c>
      <c r="F501">
        <f t="shared" si="375"/>
        <v>1.2446756952515172E-5</v>
      </c>
      <c r="G501">
        <f t="shared" si="376"/>
        <v>1.2001292429026302E-3</v>
      </c>
      <c r="H501">
        <f t="shared" si="377"/>
        <v>-3.1403925207570977</v>
      </c>
      <c r="J501">
        <f t="shared" si="378"/>
        <v>15</v>
      </c>
      <c r="M501">
        <f t="shared" si="379"/>
        <v>8.8656569252615412E-4</v>
      </c>
      <c r="N501">
        <f t="shared" si="380"/>
        <v>-1.5707963250000001</v>
      </c>
      <c r="O501">
        <f t="shared" si="381"/>
        <v>416.91818994809483</v>
      </c>
      <c r="P501">
        <f t="shared" si="382"/>
        <v>1.5683977723951257</v>
      </c>
      <c r="Q501">
        <f t="shared" si="383"/>
        <v>368.15781492911327</v>
      </c>
      <c r="R501">
        <f t="shared" si="384"/>
        <v>1.5680800969904463</v>
      </c>
      <c r="S501">
        <f t="shared" si="385"/>
        <v>8.9661250468739045E-2</v>
      </c>
      <c r="T501">
        <f t="shared" si="386"/>
        <v>-1.481014506417863</v>
      </c>
      <c r="U501">
        <f t="shared" si="387"/>
        <v>0.11045324508212957</v>
      </c>
      <c r="V501">
        <f t="shared" si="388"/>
        <v>-1.4601172529304953</v>
      </c>
      <c r="X501">
        <f t="shared" si="405"/>
        <v>-50.442803097357512</v>
      </c>
      <c r="Y501">
        <f t="shared" si="389"/>
        <v>-173.54156906591317</v>
      </c>
      <c r="Z501">
        <f t="shared" si="406"/>
        <v>6.4584309340868344</v>
      </c>
      <c r="AC501">
        <v>1</v>
      </c>
      <c r="AD501">
        <f t="shared" si="390"/>
        <v>416.91699067031999</v>
      </c>
      <c r="AE501">
        <f t="shared" si="391"/>
        <v>-0.56386173370327319</v>
      </c>
      <c r="AF501">
        <f t="shared" si="392"/>
        <v>6.2663777793225003E-2</v>
      </c>
      <c r="AG501">
        <f t="shared" si="421"/>
        <v>79.417111760243486</v>
      </c>
      <c r="AH501">
        <f t="shared" si="422"/>
        <v>-730.56990713041728</v>
      </c>
      <c r="AJ501">
        <f t="shared" si="393"/>
        <v>18000</v>
      </c>
      <c r="AK501">
        <f t="shared" si="394"/>
        <v>199947.041200368</v>
      </c>
      <c r="AL501">
        <v>1</v>
      </c>
      <c r="AM501">
        <f t="shared" si="395"/>
        <v>368.156456813376</v>
      </c>
      <c r="AN501">
        <f t="shared" si="423"/>
        <v>543.23224327213256</v>
      </c>
      <c r="AO501">
        <f t="shared" si="424"/>
        <v>-47.416709482232342</v>
      </c>
      <c r="AQ501">
        <f t="shared" si="396"/>
        <v>1.2140488273441675E-3</v>
      </c>
      <c r="AR501">
        <f t="shared" si="397"/>
        <v>-3.4843201344777603</v>
      </c>
      <c r="AT501">
        <f t="shared" si="418"/>
        <v>-2545.4430208066565</v>
      </c>
      <c r="AU501">
        <f t="shared" si="419"/>
        <v>-277.60158906733153</v>
      </c>
      <c r="AV501">
        <f t="shared" si="407"/>
        <v>-3.0329637020835141</v>
      </c>
      <c r="AW501">
        <f t="shared" si="408"/>
        <v>460.63227781228528</v>
      </c>
      <c r="AX501">
        <f t="shared" si="409"/>
        <v>-2790.47323677335</v>
      </c>
      <c r="AY501">
        <f t="shared" si="417"/>
        <v>-1.4071984728988411</v>
      </c>
      <c r="BA501">
        <f t="shared" si="398"/>
        <v>0.90534700508260468</v>
      </c>
      <c r="BB501">
        <f t="shared" si="410"/>
        <v>-0.86369861461496078</v>
      </c>
      <c r="BC501">
        <f t="shared" si="411"/>
        <v>-1.6257652291846729</v>
      </c>
      <c r="BD501">
        <f t="shared" si="399"/>
        <v>-273.14948621783958</v>
      </c>
      <c r="BF501">
        <f t="shared" si="400"/>
        <v>-53.898082912853589</v>
      </c>
      <c r="BG501">
        <f t="shared" si="401"/>
        <v>-187.88356294597253</v>
      </c>
      <c r="BH501">
        <f t="shared" si="412"/>
        <v>-7.8835629459725283</v>
      </c>
      <c r="BI501">
        <f t="shared" si="413"/>
        <v>-7.8835629459725283</v>
      </c>
      <c r="BJ501">
        <f t="shared" si="402"/>
        <v>0</v>
      </c>
      <c r="BK501">
        <f t="shared" si="414"/>
        <v>0</v>
      </c>
      <c r="BM501">
        <f t="shared" si="415"/>
        <v>-53.034384298238628</v>
      </c>
      <c r="BN501">
        <f t="shared" si="403"/>
        <v>-94.73407672813299</v>
      </c>
      <c r="BQ501" s="56">
        <f t="shared" si="416"/>
        <v>16.038262185670177</v>
      </c>
    </row>
    <row r="502" spans="1:69" x14ac:dyDescent="0.25">
      <c r="A502">
        <f t="shared" si="420"/>
        <v>1440000</v>
      </c>
      <c r="B502">
        <f t="shared" si="404"/>
        <v>1440</v>
      </c>
      <c r="C502">
        <f t="shared" si="373"/>
        <v>11.984870749468328</v>
      </c>
      <c r="D502">
        <f t="shared" si="374"/>
        <v>1.4872606756687703</v>
      </c>
      <c r="F502">
        <f t="shared" si="375"/>
        <v>1.2360470191421507E-5</v>
      </c>
      <c r="G502">
        <f t="shared" si="376"/>
        <v>1.1959620276548535E-3</v>
      </c>
      <c r="H502">
        <f t="shared" si="377"/>
        <v>-3.1403966879723453</v>
      </c>
      <c r="J502">
        <f t="shared" si="378"/>
        <v>15</v>
      </c>
      <c r="M502">
        <f t="shared" si="379"/>
        <v>8.8348733942710488E-4</v>
      </c>
      <c r="N502">
        <f t="shared" si="380"/>
        <v>-1.5707963250000001</v>
      </c>
      <c r="O502">
        <f t="shared" si="381"/>
        <v>418.37085822530781</v>
      </c>
      <c r="P502">
        <f t="shared" si="382"/>
        <v>1.5684061006772378</v>
      </c>
      <c r="Q502">
        <f t="shared" si="383"/>
        <v>369.44058532429892</v>
      </c>
      <c r="R502">
        <f t="shared" si="384"/>
        <v>1.5680895282977863</v>
      </c>
      <c r="S502">
        <f t="shared" si="385"/>
        <v>8.9352416541711402E-2</v>
      </c>
      <c r="T502">
        <f t="shared" si="386"/>
        <v>-1.4813245849368009</v>
      </c>
      <c r="U502">
        <f t="shared" si="387"/>
        <v>0.11007438171553838</v>
      </c>
      <c r="V502">
        <f t="shared" si="388"/>
        <v>-1.4604984406468027</v>
      </c>
      <c r="X502">
        <f t="shared" si="405"/>
        <v>-50.50282954751524</v>
      </c>
      <c r="Y502">
        <f t="shared" si="389"/>
        <v>-173.56379800041475</v>
      </c>
      <c r="Z502">
        <f t="shared" si="406"/>
        <v>6.4362019995852506</v>
      </c>
      <c r="AC502">
        <v>1</v>
      </c>
      <c r="AD502">
        <f t="shared" si="390"/>
        <v>418.36966311168004</v>
      </c>
      <c r="AE502">
        <f t="shared" si="391"/>
        <v>-0.56779792932152029</v>
      </c>
      <c r="AF502">
        <f t="shared" si="392"/>
        <v>6.2882118482399996E-2</v>
      </c>
      <c r="AG502">
        <f t="shared" si="421"/>
        <v>78.873232188532143</v>
      </c>
      <c r="AH502">
        <f t="shared" si="422"/>
        <v>-728.09343928764872</v>
      </c>
      <c r="AJ502">
        <f t="shared" si="393"/>
        <v>18000</v>
      </c>
      <c r="AK502">
        <f t="shared" si="394"/>
        <v>200643.72078643198</v>
      </c>
      <c r="AL502">
        <v>1</v>
      </c>
      <c r="AM502">
        <f t="shared" si="395"/>
        <v>369.43923192422403</v>
      </c>
      <c r="AN502">
        <f t="shared" si="423"/>
        <v>543.2313504217725</v>
      </c>
      <c r="AO502">
        <f t="shared" si="424"/>
        <v>-47.252070546635395</v>
      </c>
      <c r="AQ502">
        <f t="shared" si="396"/>
        <v>1.2056325706943755E-3</v>
      </c>
      <c r="AR502">
        <f t="shared" si="397"/>
        <v>-3.472221803599802</v>
      </c>
      <c r="AT502">
        <f t="shared" si="418"/>
        <v>-2528.0068228148602</v>
      </c>
      <c r="AU502">
        <f t="shared" si="419"/>
        <v>-274.74316969032509</v>
      </c>
      <c r="AV502">
        <f t="shared" si="407"/>
        <v>-3.0333377713510901</v>
      </c>
      <c r="AW502">
        <f t="shared" si="408"/>
        <v>461.21087168499162</v>
      </c>
      <c r="AX502">
        <f t="shared" si="409"/>
        <v>-2780.8427355039157</v>
      </c>
      <c r="AY502">
        <f t="shared" si="417"/>
        <v>-1.4064395128413136</v>
      </c>
      <c r="BA502">
        <f t="shared" si="398"/>
        <v>0.9021092554884621</v>
      </c>
      <c r="BB502">
        <f t="shared" si="410"/>
        <v>-0.89481722737988156</v>
      </c>
      <c r="BC502">
        <f t="shared" si="411"/>
        <v>-1.6268982585097764</v>
      </c>
      <c r="BD502">
        <f t="shared" si="399"/>
        <v>-273.21440401630673</v>
      </c>
      <c r="BF502">
        <f t="shared" si="400"/>
        <v>-53.959625119147283</v>
      </c>
      <c r="BG502">
        <f t="shared" si="401"/>
        <v>-187.93212059061929</v>
      </c>
      <c r="BH502">
        <f t="shared" si="412"/>
        <v>-7.9321205906192915</v>
      </c>
      <c r="BI502">
        <f t="shared" si="413"/>
        <v>-7.9321205906192915</v>
      </c>
      <c r="BJ502">
        <f t="shared" si="402"/>
        <v>0</v>
      </c>
      <c r="BK502">
        <f t="shared" si="414"/>
        <v>0</v>
      </c>
      <c r="BM502">
        <f t="shared" si="415"/>
        <v>-53.064807891767394</v>
      </c>
      <c r="BN502">
        <f t="shared" si="403"/>
        <v>-94.717716574312547</v>
      </c>
      <c r="BQ502" s="56">
        <f t="shared" si="416"/>
        <v>16.007143572905257</v>
      </c>
    </row>
    <row r="503" spans="1:69" x14ac:dyDescent="0.25">
      <c r="A503">
        <f t="shared" si="420"/>
        <v>1445000</v>
      </c>
      <c r="B503">
        <f t="shared" si="404"/>
        <v>1445</v>
      </c>
      <c r="C503">
        <f t="shared" si="373"/>
        <v>12.026195664659372</v>
      </c>
      <c r="D503">
        <f t="shared" si="374"/>
        <v>1.4875483904599309</v>
      </c>
      <c r="F503">
        <f t="shared" si="375"/>
        <v>1.2275077603978397E-5</v>
      </c>
      <c r="G503">
        <f t="shared" si="376"/>
        <v>1.1918236522977703E-3</v>
      </c>
      <c r="H503">
        <f t="shared" si="377"/>
        <v>-3.1404008263477023</v>
      </c>
      <c r="J503">
        <f t="shared" si="378"/>
        <v>15</v>
      </c>
      <c r="M503">
        <f t="shared" si="379"/>
        <v>8.8043028980971006E-4</v>
      </c>
      <c r="N503">
        <f t="shared" si="380"/>
        <v>-1.5707963250000001</v>
      </c>
      <c r="O503">
        <f t="shared" si="381"/>
        <v>419.8235265313383</v>
      </c>
      <c r="P503">
        <f t="shared" si="382"/>
        <v>1.5684143713245078</v>
      </c>
      <c r="Q503">
        <f t="shared" si="383"/>
        <v>370.72335575211878</v>
      </c>
      <c r="R503">
        <f t="shared" si="384"/>
        <v>1.56809889433704</v>
      </c>
      <c r="S503">
        <f t="shared" si="385"/>
        <v>8.9045694365653197E-2</v>
      </c>
      <c r="T503">
        <f t="shared" si="386"/>
        <v>-1.4816325346572909</v>
      </c>
      <c r="U503">
        <f t="shared" si="387"/>
        <v>0.10969809275056658</v>
      </c>
      <c r="V503">
        <f t="shared" si="388"/>
        <v>-1.46087702223953</v>
      </c>
      <c r="X503">
        <f t="shared" si="405"/>
        <v>-50.562650638736372</v>
      </c>
      <c r="Y503">
        <f t="shared" si="389"/>
        <v>-173.58587510769354</v>
      </c>
      <c r="Z503">
        <f t="shared" si="406"/>
        <v>6.4141248923064609</v>
      </c>
      <c r="AC503">
        <v>1</v>
      </c>
      <c r="AD503">
        <f t="shared" si="390"/>
        <v>419.82233555304003</v>
      </c>
      <c r="AE503">
        <f t="shared" si="391"/>
        <v>-0.57174781605496106</v>
      </c>
      <c r="AF503">
        <f t="shared" si="392"/>
        <v>6.3100459171575002E-2</v>
      </c>
      <c r="AG503">
        <f t="shared" si="421"/>
        <v>78.33489806507086</v>
      </c>
      <c r="AH503">
        <f t="shared" si="422"/>
        <v>-725.6334976119856</v>
      </c>
      <c r="AJ503">
        <f t="shared" si="393"/>
        <v>18000</v>
      </c>
      <c r="AK503">
        <f t="shared" si="394"/>
        <v>201340.40037249599</v>
      </c>
      <c r="AL503">
        <v>1</v>
      </c>
      <c r="AM503">
        <f t="shared" si="395"/>
        <v>370.72200703507201</v>
      </c>
      <c r="AN503">
        <f t="shared" si="423"/>
        <v>543.2304668236211</v>
      </c>
      <c r="AO503">
        <f t="shared" si="424"/>
        <v>-47.088570955877699</v>
      </c>
      <c r="AQ503">
        <f t="shared" si="396"/>
        <v>1.1973035287767713E-3</v>
      </c>
      <c r="AR503">
        <f t="shared" si="397"/>
        <v>-3.460207198164869</v>
      </c>
      <c r="AT503">
        <f t="shared" si="418"/>
        <v>-2510.748461016663</v>
      </c>
      <c r="AU503">
        <f t="shared" si="419"/>
        <v>-271.92378169955896</v>
      </c>
      <c r="AV503">
        <f t="shared" si="407"/>
        <v>-3.0337092837573794</v>
      </c>
      <c r="AW503">
        <f t="shared" si="408"/>
        <v>461.78337647476729</v>
      </c>
      <c r="AX503">
        <f t="shared" si="409"/>
        <v>-2771.278286031898</v>
      </c>
      <c r="AY503">
        <f t="shared" si="417"/>
        <v>-1.4056814730011862</v>
      </c>
      <c r="BA503">
        <f t="shared" si="398"/>
        <v>0.89889333098460944</v>
      </c>
      <c r="BB503">
        <f t="shared" si="410"/>
        <v>-0.92583683304034703</v>
      </c>
      <c r="BC503">
        <f t="shared" si="411"/>
        <v>-1.6280278107561932</v>
      </c>
      <c r="BD503">
        <f t="shared" si="399"/>
        <v>-273.27912259283988</v>
      </c>
      <c r="BF503">
        <f t="shared" si="400"/>
        <v>-54.020961413346711</v>
      </c>
      <c r="BG503">
        <f t="shared" si="401"/>
        <v>-187.98059143533888</v>
      </c>
      <c r="BH503">
        <f t="shared" si="412"/>
        <v>-7.98059143533888</v>
      </c>
      <c r="BI503">
        <f t="shared" si="413"/>
        <v>-7.98059143533888</v>
      </c>
      <c r="BJ503">
        <f t="shared" si="402"/>
        <v>0</v>
      </c>
      <c r="BK503">
        <f t="shared" si="414"/>
        <v>0</v>
      </c>
      <c r="BM503">
        <f t="shared" si="415"/>
        <v>-53.095124580306376</v>
      </c>
      <c r="BN503">
        <f t="shared" si="403"/>
        <v>-94.701468842498997</v>
      </c>
      <c r="BQ503" s="56">
        <f t="shared" si="416"/>
        <v>15.976123967244789</v>
      </c>
    </row>
    <row r="504" spans="1:69" x14ac:dyDescent="0.25">
      <c r="A504">
        <f t="shared" si="420"/>
        <v>1450000</v>
      </c>
      <c r="B504">
        <f t="shared" si="404"/>
        <v>1450</v>
      </c>
      <c r="C504">
        <f t="shared" si="373"/>
        <v>12.067521568558149</v>
      </c>
      <c r="D504">
        <f t="shared" si="374"/>
        <v>1.4878341346837578</v>
      </c>
      <c r="F504">
        <f t="shared" si="375"/>
        <v>1.2190566877807347E-5</v>
      </c>
      <c r="G504">
        <f t="shared" si="376"/>
        <v>1.187713818473538E-3</v>
      </c>
      <c r="H504">
        <f t="shared" si="377"/>
        <v>-3.1404049361815267</v>
      </c>
      <c r="J504">
        <f t="shared" si="378"/>
        <v>15</v>
      </c>
      <c r="M504">
        <f t="shared" si="379"/>
        <v>8.7739432329312478E-4</v>
      </c>
      <c r="N504">
        <f t="shared" si="380"/>
        <v>-1.5707963250000001</v>
      </c>
      <c r="O504">
        <f t="shared" si="381"/>
        <v>421.2761948658881</v>
      </c>
      <c r="P504">
        <f t="shared" si="382"/>
        <v>1.5684225849331535</v>
      </c>
      <c r="Q504">
        <f t="shared" si="383"/>
        <v>372.00612621223513</v>
      </c>
      <c r="R504">
        <f t="shared" si="384"/>
        <v>1.5681081957833878</v>
      </c>
      <c r="S504">
        <f t="shared" si="385"/>
        <v>8.8741062441423976E-2</v>
      </c>
      <c r="T504">
        <f t="shared" si="386"/>
        <v>-1.4819383773689558</v>
      </c>
      <c r="U504">
        <f t="shared" si="387"/>
        <v>0.10932435219735571</v>
      </c>
      <c r="V504">
        <f t="shared" si="388"/>
        <v>-1.4612530242367274</v>
      </c>
      <c r="X504">
        <f t="shared" si="405"/>
        <v>-50.622267762305412</v>
      </c>
      <c r="Y504">
        <f t="shared" si="389"/>
        <v>-173.60780193117779</v>
      </c>
      <c r="Z504">
        <f t="shared" si="406"/>
        <v>6.3921980688222106</v>
      </c>
      <c r="AC504">
        <v>1</v>
      </c>
      <c r="AD504">
        <f t="shared" si="390"/>
        <v>421.27500799440003</v>
      </c>
      <c r="AE504">
        <f t="shared" si="391"/>
        <v>-0.57571139390359582</v>
      </c>
      <c r="AF504">
        <f t="shared" si="392"/>
        <v>6.3318799860750008E-2</v>
      </c>
      <c r="AG504">
        <f t="shared" si="421"/>
        <v>77.802034561761005</v>
      </c>
      <c r="AH504">
        <f t="shared" si="422"/>
        <v>-723.18991937294061</v>
      </c>
      <c r="AJ504">
        <f t="shared" si="393"/>
        <v>18000</v>
      </c>
      <c r="AK504">
        <f t="shared" si="394"/>
        <v>202037.07995856</v>
      </c>
      <c r="AL504">
        <v>1</v>
      </c>
      <c r="AM504">
        <f t="shared" si="395"/>
        <v>372.00478214591999</v>
      </c>
      <c r="AN504">
        <f t="shared" si="423"/>
        <v>543.22959235028304</v>
      </c>
      <c r="AO504">
        <f t="shared" si="424"/>
        <v>-46.926198923975782</v>
      </c>
      <c r="AQ504">
        <f t="shared" si="396"/>
        <v>1.1890605007062426E-3</v>
      </c>
      <c r="AR504">
        <f t="shared" si="397"/>
        <v>-3.4482754520481032</v>
      </c>
      <c r="AT504">
        <f t="shared" si="418"/>
        <v>-2493.6655348161862</v>
      </c>
      <c r="AU504">
        <f t="shared" si="419"/>
        <v>-269.14276246635387</v>
      </c>
      <c r="AV504">
        <f t="shared" si="407"/>
        <v>-3.0340782653208276</v>
      </c>
      <c r="AW504">
        <f t="shared" si="408"/>
        <v>462.3498775988179</v>
      </c>
      <c r="AX504">
        <f t="shared" si="409"/>
        <v>-2761.779213057579</v>
      </c>
      <c r="AY504">
        <f t="shared" si="417"/>
        <v>-1.4049243456644562</v>
      </c>
      <c r="BA504">
        <f t="shared" si="398"/>
        <v>0.89569900931551882</v>
      </c>
      <c r="BB504">
        <f t="shared" si="410"/>
        <v>-0.95675812270062044</v>
      </c>
      <c r="BC504">
        <f t="shared" si="411"/>
        <v>-1.6291539196563714</v>
      </c>
      <c r="BD504">
        <f t="shared" si="399"/>
        <v>-273.34364388016593</v>
      </c>
      <c r="BF504">
        <f t="shared" si="400"/>
        <v>-54.082093239922521</v>
      </c>
      <c r="BG504">
        <f t="shared" si="401"/>
        <v>-188.02897626073363</v>
      </c>
      <c r="BH504">
        <f t="shared" si="412"/>
        <v>-8.0289762607336286</v>
      </c>
      <c r="BI504">
        <f t="shared" si="413"/>
        <v>-8.0289762607336286</v>
      </c>
      <c r="BJ504">
        <f t="shared" si="402"/>
        <v>0</v>
      </c>
      <c r="BK504">
        <f t="shared" si="414"/>
        <v>0</v>
      </c>
      <c r="BM504">
        <f t="shared" si="415"/>
        <v>-53.125335117221901</v>
      </c>
      <c r="BN504">
        <f t="shared" si="403"/>
        <v>-94.685332380567672</v>
      </c>
      <c r="BQ504" s="56">
        <f t="shared" si="416"/>
        <v>15.945202677584515</v>
      </c>
    </row>
    <row r="505" spans="1:69" x14ac:dyDescent="0.25">
      <c r="A505">
        <f t="shared" si="420"/>
        <v>1455000</v>
      </c>
      <c r="B505">
        <f t="shared" si="404"/>
        <v>1455</v>
      </c>
      <c r="C505">
        <f t="shared" si="373"/>
        <v>12.108848451041668</v>
      </c>
      <c r="D505">
        <f t="shared" si="374"/>
        <v>1.4881179284696857</v>
      </c>
      <c r="F505">
        <f t="shared" si="375"/>
        <v>1.2106925911723516E-5</v>
      </c>
      <c r="G505">
        <f t="shared" si="376"/>
        <v>1.1836322319256957E-3</v>
      </c>
      <c r="H505">
        <f t="shared" si="377"/>
        <v>-3.1404090177680746</v>
      </c>
      <c r="J505">
        <f t="shared" si="378"/>
        <v>15</v>
      </c>
      <c r="M505">
        <f t="shared" si="379"/>
        <v>8.7437922252579456E-4</v>
      </c>
      <c r="N505">
        <f t="shared" si="380"/>
        <v>-1.5707963250000001</v>
      </c>
      <c r="O505">
        <f t="shared" si="381"/>
        <v>422.72886322866339</v>
      </c>
      <c r="P505">
        <f t="shared" si="382"/>
        <v>1.5684307420911976</v>
      </c>
      <c r="Q505">
        <f t="shared" si="383"/>
        <v>373.28889670431516</v>
      </c>
      <c r="R505">
        <f t="shared" si="384"/>
        <v>1.5681174333027297</v>
      </c>
      <c r="S505">
        <f t="shared" si="385"/>
        <v>8.8438499559550049E-2</v>
      </c>
      <c r="T505">
        <f t="shared" si="386"/>
        <v>-1.4822421345658405</v>
      </c>
      <c r="U505">
        <f t="shared" si="387"/>
        <v>0.10895313441252071</v>
      </c>
      <c r="V505">
        <f t="shared" si="388"/>
        <v>-1.4616264728090749</v>
      </c>
      <c r="X505">
        <f t="shared" si="405"/>
        <v>-50.681682295507144</v>
      </c>
      <c r="Y505">
        <f t="shared" si="389"/>
        <v>-173.62957999353856</v>
      </c>
      <c r="Z505">
        <f t="shared" si="406"/>
        <v>6.370420006461444</v>
      </c>
      <c r="AC505">
        <v>1</v>
      </c>
      <c r="AD505">
        <f t="shared" si="390"/>
        <v>422.72768043576002</v>
      </c>
      <c r="AE505">
        <f t="shared" si="391"/>
        <v>-0.57968866286742449</v>
      </c>
      <c r="AF505">
        <f t="shared" si="392"/>
        <v>6.3537140549925E-2</v>
      </c>
      <c r="AG505">
        <f t="shared" si="421"/>
        <v>77.274568103213937</v>
      </c>
      <c r="AH505">
        <f t="shared" si="422"/>
        <v>-720.76254393956776</v>
      </c>
      <c r="AJ505">
        <f t="shared" si="393"/>
        <v>18000</v>
      </c>
      <c r="AK505">
        <f t="shared" si="394"/>
        <v>202733.75954462402</v>
      </c>
      <c r="AL505">
        <v>1</v>
      </c>
      <c r="AM505">
        <f t="shared" si="395"/>
        <v>373.28755725676803</v>
      </c>
      <c r="AN505">
        <f t="shared" si="423"/>
        <v>543.22872687654888</v>
      </c>
      <c r="AO505">
        <f t="shared" si="424"/>
        <v>-46.764942826946978</v>
      </c>
      <c r="AQ505">
        <f t="shared" si="396"/>
        <v>1.1809023061959227E-3</v>
      </c>
      <c r="AR505">
        <f t="shared" si="397"/>
        <v>-3.4364257110301355</v>
      </c>
      <c r="AT505">
        <f t="shared" si="418"/>
        <v>-2476.7556838257351</v>
      </c>
      <c r="AU505">
        <f t="shared" si="419"/>
        <v>-266.39946278899146</v>
      </c>
      <c r="AV505">
        <f t="shared" si="407"/>
        <v>-3.0344447417095135</v>
      </c>
      <c r="AW505">
        <f t="shared" si="408"/>
        <v>462.91045897751718</v>
      </c>
      <c r="AX505">
        <f t="shared" si="409"/>
        <v>-2752.3448504305356</v>
      </c>
      <c r="AY505">
        <f t="shared" si="417"/>
        <v>-1.4041681232363048</v>
      </c>
      <c r="BA505">
        <f t="shared" si="398"/>
        <v>0.89252607122881167</v>
      </c>
      <c r="BB505">
        <f t="shared" si="410"/>
        <v>-0.98758178049604828</v>
      </c>
      <c r="BC505">
        <f t="shared" si="411"/>
        <v>-1.6302766184732087</v>
      </c>
      <c r="BD505">
        <f t="shared" si="399"/>
        <v>-273.40796978410856</v>
      </c>
      <c r="BF505">
        <f t="shared" si="400"/>
        <v>-54.143022028395713</v>
      </c>
      <c r="BG505">
        <f t="shared" si="401"/>
        <v>-188.07727583615511</v>
      </c>
      <c r="BH505">
        <f t="shared" si="412"/>
        <v>-8.0772758361551098</v>
      </c>
      <c r="BI505">
        <f t="shared" si="413"/>
        <v>-8.0772758361551098</v>
      </c>
      <c r="BJ505">
        <f t="shared" si="402"/>
        <v>0</v>
      </c>
      <c r="BK505">
        <f t="shared" si="414"/>
        <v>0</v>
      </c>
      <c r="BM505">
        <f t="shared" si="415"/>
        <v>-53.155440247899662</v>
      </c>
      <c r="BN505">
        <f t="shared" si="403"/>
        <v>-94.669306052046551</v>
      </c>
      <c r="BQ505" s="56">
        <f t="shared" si="416"/>
        <v>15.914379019789088</v>
      </c>
    </row>
    <row r="506" spans="1:69" x14ac:dyDescent="0.25">
      <c r="A506">
        <f t="shared" si="420"/>
        <v>1460000</v>
      </c>
      <c r="B506">
        <f t="shared" si="404"/>
        <v>1460</v>
      </c>
      <c r="C506">
        <f t="shared" si="373"/>
        <v>12.150176302124429</v>
      </c>
      <c r="D506">
        <f t="shared" si="374"/>
        <v>1.4883997916745422</v>
      </c>
      <c r="F506">
        <f t="shared" si="375"/>
        <v>1.2024142811403435E-5</v>
      </c>
      <c r="G506">
        <f t="shared" si="376"/>
        <v>1.179578602428927E-3</v>
      </c>
      <c r="H506">
        <f t="shared" si="377"/>
        <v>-3.1404130713975711</v>
      </c>
      <c r="J506">
        <f t="shared" si="378"/>
        <v>15</v>
      </c>
      <c r="M506">
        <f t="shared" si="379"/>
        <v>8.7138477313358298E-4</v>
      </c>
      <c r="N506">
        <f t="shared" si="380"/>
        <v>-1.5707963250000001</v>
      </c>
      <c r="O506">
        <f t="shared" si="381"/>
        <v>424.18153161937403</v>
      </c>
      <c r="P506">
        <f t="shared" si="382"/>
        <v>1.5684388433786078</v>
      </c>
      <c r="Q506">
        <f t="shared" si="383"/>
        <v>374.57166722803044</v>
      </c>
      <c r="R506">
        <f t="shared" si="384"/>
        <v>1.5681266075518436</v>
      </c>
      <c r="S506">
        <f t="shared" si="385"/>
        <v>8.8137984795382485E-2</v>
      </c>
      <c r="T506">
        <f t="shared" si="386"/>
        <v>-1.4825438274513927</v>
      </c>
      <c r="U506">
        <f t="shared" si="387"/>
        <v>0.10858441409343281</v>
      </c>
      <c r="V506">
        <f t="shared" si="388"/>
        <v>-1.4619973937758555</v>
      </c>
      <c r="X506">
        <f t="shared" si="405"/>
        <v>-50.740895601812596</v>
      </c>
      <c r="Y506">
        <f t="shared" si="389"/>
        <v>-173.65121079703587</v>
      </c>
      <c r="Z506">
        <f t="shared" si="406"/>
        <v>6.3487892029641273</v>
      </c>
      <c r="AC506">
        <v>1</v>
      </c>
      <c r="AD506">
        <f t="shared" si="390"/>
        <v>424.18035287711996</v>
      </c>
      <c r="AE506">
        <f t="shared" si="391"/>
        <v>-0.58367962294644704</v>
      </c>
      <c r="AF506">
        <f t="shared" si="392"/>
        <v>6.3755481239100006E-2</v>
      </c>
      <c r="AG506">
        <f t="shared" si="421"/>
        <v>76.752426341773585</v>
      </c>
      <c r="AH506">
        <f t="shared" si="422"/>
        <v>-718.35121274723929</v>
      </c>
      <c r="AJ506">
        <f t="shared" si="393"/>
        <v>18000</v>
      </c>
      <c r="AK506">
        <f t="shared" si="394"/>
        <v>203430.439130688</v>
      </c>
      <c r="AL506">
        <v>1</v>
      </c>
      <c r="AM506">
        <f t="shared" si="395"/>
        <v>374.570332367616</v>
      </c>
      <c r="AN506">
        <f t="shared" si="423"/>
        <v>543.2278702793493</v>
      </c>
      <c r="AO506">
        <f t="shared" si="424"/>
        <v>-46.604791200035521</v>
      </c>
      <c r="AQ506">
        <f t="shared" si="396"/>
        <v>1.1728277851346658E-3</v>
      </c>
      <c r="AR506">
        <f t="shared" si="397"/>
        <v>-3.4246571325932242</v>
      </c>
      <c r="AT506">
        <f t="shared" si="418"/>
        <v>-2460.0165870636356</v>
      </c>
      <c r="AU506">
        <f t="shared" si="419"/>
        <v>-263.6932465769861</v>
      </c>
      <c r="AV506">
        <f t="shared" si="407"/>
        <v>-3.0348087382470044</v>
      </c>
      <c r="AW506">
        <f t="shared" si="408"/>
        <v>463.46520306585137</v>
      </c>
      <c r="AX506">
        <f t="shared" si="409"/>
        <v>-2742.9745409956099</v>
      </c>
      <c r="AY506">
        <f t="shared" si="417"/>
        <v>-1.4034127982388971</v>
      </c>
      <c r="BA506">
        <f t="shared" si="398"/>
        <v>0.88937430042491983</v>
      </c>
      <c r="BB506">
        <f t="shared" si="410"/>
        <v>-1.018308483685042</v>
      </c>
      <c r="BC506">
        <f t="shared" si="411"/>
        <v>-1.6313959400081073</v>
      </c>
      <c r="BD506">
        <f t="shared" si="399"/>
        <v>-273.47210218404962</v>
      </c>
      <c r="BF506">
        <f t="shared" si="400"/>
        <v>-54.203749193542585</v>
      </c>
      <c r="BG506">
        <f t="shared" si="401"/>
        <v>-188.12549091990155</v>
      </c>
      <c r="BH506">
        <f t="shared" si="412"/>
        <v>-8.1254909199015515</v>
      </c>
      <c r="BI506">
        <f t="shared" si="413"/>
        <v>-8.1254909199015515</v>
      </c>
      <c r="BJ506">
        <f t="shared" si="402"/>
        <v>0</v>
      </c>
      <c r="BK506">
        <f t="shared" si="414"/>
        <v>0</v>
      </c>
      <c r="BM506">
        <f t="shared" si="415"/>
        <v>-53.185440709857545</v>
      </c>
      <c r="BN506">
        <f t="shared" si="403"/>
        <v>-94.653388735851934</v>
      </c>
      <c r="BQ506" s="56">
        <f t="shared" si="416"/>
        <v>15.883652316600095</v>
      </c>
    </row>
    <row r="507" spans="1:69" x14ac:dyDescent="0.25">
      <c r="A507">
        <f t="shared" si="420"/>
        <v>1465000</v>
      </c>
      <c r="B507">
        <f t="shared" si="404"/>
        <v>1465</v>
      </c>
      <c r="C507">
        <f t="shared" si="373"/>
        <v>12.191505111956104</v>
      </c>
      <c r="D507">
        <f t="shared" si="374"/>
        <v>1.4886797438871344</v>
      </c>
      <c r="F507">
        <f t="shared" si="375"/>
        <v>1.194220588515609E-5</v>
      </c>
      <c r="G507">
        <f t="shared" si="376"/>
        <v>1.1755526437202686E-3</v>
      </c>
      <c r="H507">
        <f t="shared" si="377"/>
        <v>-3.1404170973562797</v>
      </c>
      <c r="J507">
        <f t="shared" si="378"/>
        <v>15</v>
      </c>
      <c r="M507">
        <f t="shared" si="379"/>
        <v>8.6841076366896315E-4</v>
      </c>
      <c r="N507">
        <f t="shared" si="380"/>
        <v>-1.5707963250000001</v>
      </c>
      <c r="O507">
        <f t="shared" si="381"/>
        <v>425.63420003773405</v>
      </c>
      <c r="P507">
        <f t="shared" si="382"/>
        <v>1.5684468893674344</v>
      </c>
      <c r="Q507">
        <f t="shared" si="383"/>
        <v>375.85443778305694</v>
      </c>
      <c r="R507">
        <f t="shared" si="384"/>
        <v>1.5681357191785414</v>
      </c>
      <c r="S507">
        <f t="shared" si="385"/>
        <v>8.7839497504351549E-2</v>
      </c>
      <c r="T507">
        <f t="shared" si="386"/>
        <v>-1.4828434769433456</v>
      </c>
      <c r="U507">
        <f t="shared" si="387"/>
        <v>0.10821816627261467</v>
      </c>
      <c r="V507">
        <f t="shared" si="388"/>
        <v>-1.4623658126108077</v>
      </c>
      <c r="X507">
        <f t="shared" si="405"/>
        <v>-50.799909031061915</v>
      </c>
      <c r="Y507">
        <f t="shared" si="389"/>
        <v>-173.67269582385799</v>
      </c>
      <c r="Z507">
        <f t="shared" si="406"/>
        <v>6.3273041761420075</v>
      </c>
      <c r="AC507">
        <v>1</v>
      </c>
      <c r="AD507">
        <f t="shared" si="390"/>
        <v>425.63302531847995</v>
      </c>
      <c r="AE507">
        <f t="shared" si="391"/>
        <v>-0.58768427414066349</v>
      </c>
      <c r="AF507">
        <f t="shared" si="392"/>
        <v>6.3973821928274999E-2</v>
      </c>
      <c r="AG507">
        <f t="shared" si="421"/>
        <v>76.235538133115497</v>
      </c>
      <c r="AH507">
        <f t="shared" si="422"/>
        <v>-715.95576926504066</v>
      </c>
      <c r="AJ507">
        <f t="shared" si="393"/>
        <v>18000</v>
      </c>
      <c r="AK507">
        <f t="shared" si="394"/>
        <v>204127.11871675198</v>
      </c>
      <c r="AL507">
        <v>1</v>
      </c>
      <c r="AM507">
        <f t="shared" si="395"/>
        <v>375.85310747846404</v>
      </c>
      <c r="AN507">
        <f t="shared" si="423"/>
        <v>543.22702243771107</v>
      </c>
      <c r="AO507">
        <f t="shared" si="424"/>
        <v>-46.445732734995531</v>
      </c>
      <c r="AQ507">
        <f t="shared" si="396"/>
        <v>1.1648357971745975E-3</v>
      </c>
      <c r="AR507">
        <f t="shared" si="397"/>
        <v>-3.412968885721571</v>
      </c>
      <c r="AT507">
        <f t="shared" si="418"/>
        <v>-2443.4459621706014</v>
      </c>
      <c r="AU507">
        <f t="shared" si="419"/>
        <v>-261.0234905437971</v>
      </c>
      <c r="AV507">
        <f t="shared" si="407"/>
        <v>-3.0351702799180909</v>
      </c>
      <c r="AW507">
        <f t="shared" si="408"/>
        <v>464.01419088409278</v>
      </c>
      <c r="AX507">
        <f t="shared" si="409"/>
        <v>-2733.66763644198</v>
      </c>
      <c r="AY507">
        <f t="shared" si="417"/>
        <v>-1.4026583633092309</v>
      </c>
      <c r="BA507">
        <f t="shared" si="398"/>
        <v>0.88624348350774651</v>
      </c>
      <c r="BB507">
        <f t="shared" si="410"/>
        <v>-1.0489389027396108</v>
      </c>
      <c r="BC507">
        <f t="shared" si="411"/>
        <v>-1.63251191660886</v>
      </c>
      <c r="BD507">
        <f t="shared" si="399"/>
        <v>-273.53604293338117</v>
      </c>
      <c r="BF507">
        <f t="shared" si="400"/>
        <v>-54.26427613559612</v>
      </c>
      <c r="BG507">
        <f t="shared" si="401"/>
        <v>-188.17362225941065</v>
      </c>
      <c r="BH507">
        <f t="shared" si="412"/>
        <v>-8.1736222594106493</v>
      </c>
      <c r="BI507">
        <f t="shared" si="413"/>
        <v>-8.1736222594106493</v>
      </c>
      <c r="BJ507">
        <f t="shared" si="402"/>
        <v>0</v>
      </c>
      <c r="BK507">
        <f t="shared" si="414"/>
        <v>0</v>
      </c>
      <c r="BM507">
        <f t="shared" si="415"/>
        <v>-53.215337232856506</v>
      </c>
      <c r="BN507">
        <f t="shared" si="403"/>
        <v>-94.637579326029467</v>
      </c>
      <c r="BQ507" s="56">
        <f t="shared" si="416"/>
        <v>15.853021897545528</v>
      </c>
    </row>
    <row r="508" spans="1:69" x14ac:dyDescent="0.25">
      <c r="A508">
        <f t="shared" si="420"/>
        <v>1470000</v>
      </c>
      <c r="B508">
        <f t="shared" si="404"/>
        <v>1470</v>
      </c>
      <c r="C508">
        <f t="shared" si="373"/>
        <v>12.232834870819248</v>
      </c>
      <c r="D508">
        <f t="shared" si="374"/>
        <v>1.4889578044327467</v>
      </c>
      <c r="F508">
        <f t="shared" si="375"/>
        <v>1.186110363979448E-5</v>
      </c>
      <c r="G508">
        <f t="shared" si="376"/>
        <v>1.1715540734317147E-3</v>
      </c>
      <c r="H508">
        <f t="shared" si="377"/>
        <v>-3.1404210959265684</v>
      </c>
      <c r="J508">
        <f t="shared" si="378"/>
        <v>15</v>
      </c>
      <c r="M508">
        <f t="shared" si="379"/>
        <v>8.6545698556124559E-4</v>
      </c>
      <c r="N508">
        <f t="shared" si="380"/>
        <v>-1.5707963250000001</v>
      </c>
      <c r="O508">
        <f t="shared" si="381"/>
        <v>427.08686848346127</v>
      </c>
      <c r="P508">
        <f t="shared" si="382"/>
        <v>1.5684548806219438</v>
      </c>
      <c r="Q508">
        <f t="shared" si="383"/>
        <v>377.13720836907538</v>
      </c>
      <c r="R508">
        <f t="shared" si="384"/>
        <v>1.5681447688218217</v>
      </c>
      <c r="S508">
        <f t="shared" si="385"/>
        <v>8.7543017317315147E-2</v>
      </c>
      <c r="T508">
        <f t="shared" si="386"/>
        <v>-1.4831411036785018</v>
      </c>
      <c r="U508">
        <f t="shared" si="387"/>
        <v>0.1078543663122447</v>
      </c>
      <c r="V508">
        <f t="shared" si="388"/>
        <v>-1.4627317544478657</v>
      </c>
      <c r="X508">
        <f t="shared" si="405"/>
        <v>-50.858723919644369</v>
      </c>
      <c r="Y508">
        <f t="shared" si="389"/>
        <v>-173.69403653645426</v>
      </c>
      <c r="Z508">
        <f t="shared" si="406"/>
        <v>6.3059634635457371</v>
      </c>
      <c r="AC508">
        <v>1</v>
      </c>
      <c r="AD508">
        <f t="shared" si="390"/>
        <v>427.08569775984</v>
      </c>
      <c r="AE508">
        <f t="shared" si="391"/>
        <v>-0.59170261645007383</v>
      </c>
      <c r="AF508">
        <f t="shared" si="392"/>
        <v>6.4192162617450005E-2</v>
      </c>
      <c r="AG508">
        <f t="shared" si="421"/>
        <v>75.723833512407694</v>
      </c>
      <c r="AH508">
        <f t="shared" si="422"/>
        <v>-713.57605896376992</v>
      </c>
      <c r="AJ508">
        <f t="shared" si="393"/>
        <v>18000</v>
      </c>
      <c r="AK508">
        <f t="shared" si="394"/>
        <v>204823.79830281599</v>
      </c>
      <c r="AL508">
        <v>1</v>
      </c>
      <c r="AM508">
        <f t="shared" si="395"/>
        <v>377.13588258931202</v>
      </c>
      <c r="AN508">
        <f t="shared" si="423"/>
        <v>543.22618323271524</v>
      </c>
      <c r="AO508">
        <f t="shared" si="424"/>
        <v>-46.287756277429345</v>
      </c>
      <c r="AQ508">
        <f t="shared" si="396"/>
        <v>1.1569252213284719E-3</v>
      </c>
      <c r="AR508">
        <f t="shared" si="397"/>
        <v>-3.401360150705707</v>
      </c>
      <c r="AT508">
        <f t="shared" si="418"/>
        <v>-2427.0415646441465</v>
      </c>
      <c r="AU508">
        <f t="shared" si="419"/>
        <v>-258.38958390772825</v>
      </c>
      <c r="AV508">
        <f t="shared" si="407"/>
        <v>-3.0355293913744101</v>
      </c>
      <c r="AW508">
        <f t="shared" si="408"/>
        <v>464.55750204772835</v>
      </c>
      <c r="AX508">
        <f t="shared" si="409"/>
        <v>-2724.4234971552514</v>
      </c>
      <c r="AY508">
        <f t="shared" si="417"/>
        <v>-1.4019048111970323</v>
      </c>
      <c r="BA508">
        <f t="shared" si="398"/>
        <v>0.88313340993631195</v>
      </c>
      <c r="BB508">
        <f t="shared" si="410"/>
        <v>-1.0794737014343929</v>
      </c>
      <c r="BC508">
        <f t="shared" si="411"/>
        <v>-1.6336245801773779</v>
      </c>
      <c r="BD508">
        <f t="shared" si="399"/>
        <v>-273.59979385994808</v>
      </c>
      <c r="BF508">
        <f t="shared" si="400"/>
        <v>-54.324604240443961</v>
      </c>
      <c r="BG508">
        <f t="shared" si="401"/>
        <v>-188.22167059144851</v>
      </c>
      <c r="BH508">
        <f t="shared" si="412"/>
        <v>-8.2216705914485146</v>
      </c>
      <c r="BI508">
        <f t="shared" si="413"/>
        <v>-8.2216705914485146</v>
      </c>
      <c r="BJ508">
        <f t="shared" si="402"/>
        <v>0</v>
      </c>
      <c r="BK508">
        <f t="shared" si="414"/>
        <v>0</v>
      </c>
      <c r="BM508">
        <f t="shared" si="415"/>
        <v>-53.245130539009573</v>
      </c>
      <c r="BN508">
        <f t="shared" si="403"/>
        <v>-94.621876731500464</v>
      </c>
      <c r="BQ508" s="56">
        <f t="shared" si="416"/>
        <v>15.822487098850743</v>
      </c>
    </row>
    <row r="509" spans="1:69" x14ac:dyDescent="0.25">
      <c r="A509">
        <f t="shared" si="420"/>
        <v>1475000</v>
      </c>
      <c r="B509">
        <f t="shared" si="404"/>
        <v>1475</v>
      </c>
      <c r="C509">
        <f t="shared" si="373"/>
        <v>12.274165569127081</v>
      </c>
      <c r="D509">
        <f t="shared" si="374"/>
        <v>1.4892339923775473</v>
      </c>
      <c r="F509">
        <f t="shared" si="375"/>
        <v>1.1780824776605036E-5</v>
      </c>
      <c r="G509">
        <f t="shared" si="376"/>
        <v>1.1675826130241984E-3</v>
      </c>
      <c r="H509">
        <f t="shared" si="377"/>
        <v>-3.140425067386976</v>
      </c>
      <c r="J509">
        <f t="shared" si="378"/>
        <v>15</v>
      </c>
      <c r="M509">
        <f t="shared" si="379"/>
        <v>8.6252323306781767E-4</v>
      </c>
      <c r="N509">
        <f t="shared" si="380"/>
        <v>-1.5707963250000001</v>
      </c>
      <c r="O509">
        <f t="shared" si="381"/>
        <v>428.53953695627752</v>
      </c>
      <c r="P509">
        <f t="shared" si="382"/>
        <v>1.568462817698753</v>
      </c>
      <c r="Q509">
        <f t="shared" si="383"/>
        <v>378.4199789857704</v>
      </c>
      <c r="R509">
        <f t="shared" si="384"/>
        <v>1.5681537571120179</v>
      </c>
      <c r="S509">
        <f t="shared" si="385"/>
        <v>8.724852413599947E-2</v>
      </c>
      <c r="T509">
        <f t="shared" si="386"/>
        <v>-1.4834367280174201</v>
      </c>
      <c r="U509">
        <f t="shared" si="387"/>
        <v>0.10749298989876881</v>
      </c>
      <c r="V509">
        <f t="shared" si="388"/>
        <v>-1.4630952440867828</v>
      </c>
      <c r="X509">
        <f t="shared" si="405"/>
        <v>-50.917341590675285</v>
      </c>
      <c r="Y509">
        <f t="shared" si="389"/>
        <v>-173.71523437786081</v>
      </c>
      <c r="Z509">
        <f t="shared" si="406"/>
        <v>6.2847656221391901</v>
      </c>
      <c r="AC509">
        <v>1</v>
      </c>
      <c r="AD509">
        <f t="shared" si="390"/>
        <v>428.5383702012</v>
      </c>
      <c r="AE509">
        <f t="shared" si="391"/>
        <v>-0.59573464987467806</v>
      </c>
      <c r="AF509">
        <f t="shared" si="392"/>
        <v>6.4410503306624997E-2</v>
      </c>
      <c r="AG509">
        <f t="shared" si="421"/>
        <v>75.217243671017982</v>
      </c>
      <c r="AH509">
        <f t="shared" si="422"/>
        <v>-711.21192928452808</v>
      </c>
      <c r="AJ509">
        <f t="shared" si="393"/>
        <v>18000</v>
      </c>
      <c r="AK509">
        <f t="shared" si="394"/>
        <v>205520.47788888001</v>
      </c>
      <c r="AL509">
        <v>1</v>
      </c>
      <c r="AM509">
        <f t="shared" si="395"/>
        <v>378.41865770016</v>
      </c>
      <c r="AN509">
        <f t="shared" si="423"/>
        <v>543.22535254745515</v>
      </c>
      <c r="AO509">
        <f t="shared" si="424"/>
        <v>-46.130850824180072</v>
      </c>
      <c r="AQ509">
        <f t="shared" si="396"/>
        <v>1.1490949555765637E-3</v>
      </c>
      <c r="AR509">
        <f t="shared" si="397"/>
        <v>-3.3898301189508624</v>
      </c>
      <c r="AT509">
        <f t="shared" si="418"/>
        <v>-2410.8011870905698</v>
      </c>
      <c r="AU509">
        <f t="shared" si="419"/>
        <v>-255.79092810076961</v>
      </c>
      <c r="AV509">
        <f t="shared" si="407"/>
        <v>-3.0358860969399597</v>
      </c>
      <c r="AW509">
        <f t="shared" si="408"/>
        <v>465.09521479665921</v>
      </c>
      <c r="AX509">
        <f t="shared" si="409"/>
        <v>-2715.2414920724987</v>
      </c>
      <c r="AY509">
        <f t="shared" si="417"/>
        <v>-1.4011521347626974</v>
      </c>
      <c r="BA509">
        <f t="shared" si="398"/>
        <v>0.88004387197735512</v>
      </c>
      <c r="BB509">
        <f t="shared" si="410"/>
        <v>-1.1099135369342796</v>
      </c>
      <c r="BC509">
        <f t="shared" si="411"/>
        <v>-1.6347339621772623</v>
      </c>
      <c r="BD509">
        <f t="shared" si="399"/>
        <v>-273.66335676648185</v>
      </c>
      <c r="BF509">
        <f t="shared" si="400"/>
        <v>-54.384734879823064</v>
      </c>
      <c r="BG509">
        <f t="shared" si="401"/>
        <v>-188.26963664229487</v>
      </c>
      <c r="BH509">
        <f t="shared" si="412"/>
        <v>-8.2696366422948699</v>
      </c>
      <c r="BI509">
        <f t="shared" si="413"/>
        <v>-8.2696366422948699</v>
      </c>
      <c r="BJ509">
        <f t="shared" si="402"/>
        <v>0</v>
      </c>
      <c r="BK509">
        <f t="shared" si="414"/>
        <v>0</v>
      </c>
      <c r="BM509">
        <f t="shared" si="415"/>
        <v>-53.274821342888785</v>
      </c>
      <c r="BN509">
        <f t="shared" si="403"/>
        <v>-94.60627987581303</v>
      </c>
      <c r="BQ509" s="56">
        <f t="shared" si="416"/>
        <v>15.792047263350856</v>
      </c>
    </row>
    <row r="510" spans="1:69" x14ac:dyDescent="0.25">
      <c r="A510">
        <f t="shared" si="420"/>
        <v>1480000</v>
      </c>
      <c r="B510">
        <f t="shared" si="404"/>
        <v>1480</v>
      </c>
      <c r="C510">
        <f t="shared" si="373"/>
        <v>12.315497197421305</v>
      </c>
      <c r="D510">
        <f t="shared" si="374"/>
        <v>1.4895083265329063</v>
      </c>
      <c r="F510">
        <f t="shared" si="375"/>
        <v>1.1701358187412136E-5</v>
      </c>
      <c r="G510">
        <f t="shared" si="376"/>
        <v>1.1636379877229082E-3</v>
      </c>
      <c r="H510">
        <f t="shared" si="377"/>
        <v>-3.1404290120122771</v>
      </c>
      <c r="J510">
        <f t="shared" si="378"/>
        <v>15</v>
      </c>
      <c r="M510">
        <f t="shared" si="379"/>
        <v>8.5960930322637229E-4</v>
      </c>
      <c r="N510">
        <f t="shared" si="380"/>
        <v>-1.5707963250000001</v>
      </c>
      <c r="O510">
        <f t="shared" si="381"/>
        <v>429.99220545590805</v>
      </c>
      <c r="P510">
        <f t="shared" si="382"/>
        <v>1.5684707011469556</v>
      </c>
      <c r="Q510">
        <f t="shared" si="383"/>
        <v>379.70274963283117</v>
      </c>
      <c r="R510">
        <f t="shared" si="384"/>
        <v>1.5681626846709464</v>
      </c>
      <c r="S510">
        <f t="shared" si="385"/>
        <v>8.6955998128529333E-2</v>
      </c>
      <c r="T510">
        <f t="shared" si="386"/>
        <v>-1.4837303700490119</v>
      </c>
      <c r="U510">
        <f t="shared" si="387"/>
        <v>0.10713401303761652</v>
      </c>
      <c r="V510">
        <f t="shared" si="388"/>
        <v>-1.463456305998645</v>
      </c>
      <c r="X510">
        <f t="shared" si="405"/>
        <v>-50.975763354170155</v>
      </c>
      <c r="Y510">
        <f t="shared" si="389"/>
        <v>-173.73629077202054</v>
      </c>
      <c r="Z510">
        <f t="shared" si="406"/>
        <v>6.2637092279794615</v>
      </c>
      <c r="AC510">
        <v>1</v>
      </c>
      <c r="AD510">
        <f t="shared" si="390"/>
        <v>429.99104264255999</v>
      </c>
      <c r="AE510">
        <f t="shared" si="391"/>
        <v>-0.59978037441447618</v>
      </c>
      <c r="AF510">
        <f t="shared" si="392"/>
        <v>6.4628843995799989E-2</v>
      </c>
      <c r="AG510">
        <f t="shared" si="421"/>
        <v>74.715700933754547</v>
      </c>
      <c r="AH510">
        <f t="shared" si="422"/>
        <v>-708.86322960789084</v>
      </c>
      <c r="AJ510">
        <f t="shared" si="393"/>
        <v>18000</v>
      </c>
      <c r="AK510">
        <f t="shared" si="394"/>
        <v>206217.15747494399</v>
      </c>
      <c r="AL510">
        <v>1</v>
      </c>
      <c r="AM510">
        <f t="shared" si="395"/>
        <v>379.70143281100803</v>
      </c>
      <c r="AN510">
        <f t="shared" si="423"/>
        <v>543.22453026699498</v>
      </c>
      <c r="AO510">
        <f t="shared" si="424"/>
        <v>-45.975005520776932</v>
      </c>
      <c r="AQ510">
        <f t="shared" si="396"/>
        <v>1.1413439164828438E-3</v>
      </c>
      <c r="AR510">
        <f t="shared" si="397"/>
        <v>-3.3783779927892175</v>
      </c>
      <c r="AT510">
        <f t="shared" si="418"/>
        <v>-2394.7226584940622</v>
      </c>
      <c r="AU510">
        <f t="shared" si="419"/>
        <v>-253.22693648514849</v>
      </c>
      <c r="AV510">
        <f t="shared" si="407"/>
        <v>-3.0362404206164975</v>
      </c>
      <c r="AW510">
        <f t="shared" si="408"/>
        <v>465.62740602369155</v>
      </c>
      <c r="AX510">
        <f t="shared" si="409"/>
        <v>-2706.120998540187</v>
      </c>
      <c r="AY510">
        <f t="shared" si="417"/>
        <v>-1.4004003269752785</v>
      </c>
      <c r="BA510">
        <f t="shared" si="398"/>
        <v>0.87697466465887641</v>
      </c>
      <c r="BB510">
        <f t="shared" si="410"/>
        <v>-1.1402590598805815</v>
      </c>
      <c r="BC510">
        <f t="shared" si="411"/>
        <v>-1.635840093641219</v>
      </c>
      <c r="BD510">
        <f t="shared" si="399"/>
        <v>-273.72673343102565</v>
      </c>
      <c r="BF510">
        <f t="shared" si="400"/>
        <v>-54.444669411510979</v>
      </c>
      <c r="BG510">
        <f t="shared" si="401"/>
        <v>-188.3175211279241</v>
      </c>
      <c r="BH510">
        <f t="shared" si="412"/>
        <v>-8.3175211279240955</v>
      </c>
      <c r="BI510">
        <f t="shared" si="413"/>
        <v>-8.3175211279240955</v>
      </c>
      <c r="BJ510">
        <f t="shared" si="402"/>
        <v>0</v>
      </c>
      <c r="BK510">
        <f t="shared" si="414"/>
        <v>0</v>
      </c>
      <c r="BM510">
        <f t="shared" si="415"/>
        <v>-53.304410351630395</v>
      </c>
      <c r="BN510">
        <f t="shared" si="403"/>
        <v>-94.590787696898488</v>
      </c>
      <c r="BQ510" s="56">
        <f t="shared" si="416"/>
        <v>15.761701740404554</v>
      </c>
    </row>
    <row r="511" spans="1:69" x14ac:dyDescent="0.25">
      <c r="A511">
        <f t="shared" si="420"/>
        <v>1485000</v>
      </c>
      <c r="B511">
        <f t="shared" si="404"/>
        <v>1485</v>
      </c>
      <c r="C511">
        <f t="shared" si="373"/>
        <v>12.356829746369941</v>
      </c>
      <c r="D511">
        <f t="shared" si="374"/>
        <v>1.4897808254596292</v>
      </c>
      <c r="F511">
        <f t="shared" si="375"/>
        <v>1.162269295073525E-5</v>
      </c>
      <c r="G511">
        <f t="shared" si="376"/>
        <v>1.1597199264539143E-3</v>
      </c>
      <c r="H511">
        <f t="shared" si="377"/>
        <v>-3.1404329300735463</v>
      </c>
      <c r="J511">
        <f t="shared" si="378"/>
        <v>15</v>
      </c>
      <c r="M511">
        <f t="shared" si="379"/>
        <v>8.5671499580810173E-4</v>
      </c>
      <c r="N511">
        <f t="shared" si="380"/>
        <v>-1.5707963250000001</v>
      </c>
      <c r="O511">
        <f t="shared" si="381"/>
        <v>431.44487398208213</v>
      </c>
      <c r="P511">
        <f t="shared" si="382"/>
        <v>1.568478531508251</v>
      </c>
      <c r="Q511">
        <f t="shared" si="383"/>
        <v>380.98552030995097</v>
      </c>
      <c r="R511">
        <f t="shared" si="384"/>
        <v>1.5681715521120485</v>
      </c>
      <c r="S511">
        <f t="shared" si="385"/>
        <v>8.6665419725046641E-2</v>
      </c>
      <c r="T511">
        <f t="shared" si="386"/>
        <v>-1.4840220495950438</v>
      </c>
      <c r="U511">
        <f t="shared" si="387"/>
        <v>0.10677741204801962</v>
      </c>
      <c r="V511">
        <f t="shared" si="388"/>
        <v>-1.4638149643312759</v>
      </c>
      <c r="X511">
        <f t="shared" si="405"/>
        <v>-51.033990507215904</v>
      </c>
      <c r="Y511">
        <f t="shared" si="389"/>
        <v>-173.75720712409634</v>
      </c>
      <c r="Z511">
        <f t="shared" si="406"/>
        <v>6.2427928759036604</v>
      </c>
      <c r="AC511">
        <v>1</v>
      </c>
      <c r="AD511">
        <f t="shared" si="390"/>
        <v>431.44371508391998</v>
      </c>
      <c r="AE511">
        <f t="shared" si="391"/>
        <v>-0.60383979006946842</v>
      </c>
      <c r="AF511">
        <f t="shared" si="392"/>
        <v>6.4847184684974996E-2</v>
      </c>
      <c r="AG511">
        <f t="shared" si="421"/>
        <v>74.219138736624615</v>
      </c>
      <c r="AH511">
        <f t="shared" si="422"/>
        <v>-706.52981122364395</v>
      </c>
      <c r="AJ511">
        <f t="shared" si="393"/>
        <v>18000</v>
      </c>
      <c r="AK511">
        <f t="shared" si="394"/>
        <v>206913.83706100797</v>
      </c>
      <c r="AL511">
        <v>1</v>
      </c>
      <c r="AM511">
        <f t="shared" si="395"/>
        <v>380.98420792185601</v>
      </c>
      <c r="AN511">
        <f t="shared" si="423"/>
        <v>543.22371627833081</v>
      </c>
      <c r="AO511">
        <f t="shared" si="424"/>
        <v>-45.820209658932235</v>
      </c>
      <c r="AQ511">
        <f t="shared" si="396"/>
        <v>1.133671038820184E-3</v>
      </c>
      <c r="AR511">
        <f t="shared" si="397"/>
        <v>-3.3670029852959464</v>
      </c>
      <c r="AT511">
        <f t="shared" si="418"/>
        <v>-2378.8038435024787</v>
      </c>
      <c r="AU511">
        <f t="shared" si="419"/>
        <v>-250.69703407735645</v>
      </c>
      <c r="AV511">
        <f t="shared" si="407"/>
        <v>-3.0365923860888411</v>
      </c>
      <c r="AW511">
        <f t="shared" si="408"/>
        <v>466.154151302343</v>
      </c>
      <c r="AX511">
        <f t="shared" si="409"/>
        <v>-2697.0614021749152</v>
      </c>
      <c r="AY511">
        <f t="shared" si="417"/>
        <v>-1.3996493809105139</v>
      </c>
      <c r="BA511">
        <f t="shared" si="398"/>
        <v>0.873925585724593</v>
      </c>
      <c r="BB511">
        <f t="shared" si="410"/>
        <v>-1.1705109144758403</v>
      </c>
      <c r="BC511">
        <f t="shared" si="411"/>
        <v>-1.6369430051783271</v>
      </c>
      <c r="BD511">
        <f t="shared" si="399"/>
        <v>-273.78992560735043</v>
      </c>
      <c r="BF511">
        <f t="shared" si="400"/>
        <v>-54.504409179514042</v>
      </c>
      <c r="BG511">
        <f t="shared" si="401"/>
        <v>-188.36532475418284</v>
      </c>
      <c r="BH511">
        <f t="shared" si="412"/>
        <v>-8.3653247541828364</v>
      </c>
      <c r="BI511">
        <f t="shared" si="413"/>
        <v>-8.3653247541828364</v>
      </c>
      <c r="BJ511">
        <f t="shared" si="402"/>
        <v>0</v>
      </c>
      <c r="BK511">
        <f t="shared" si="414"/>
        <v>0</v>
      </c>
      <c r="BM511">
        <f t="shared" si="415"/>
        <v>-53.333898265038194</v>
      </c>
      <c r="BN511">
        <f t="shared" si="403"/>
        <v>-94.575399146832439</v>
      </c>
      <c r="BQ511" s="56">
        <f t="shared" si="416"/>
        <v>15.731449885809297</v>
      </c>
    </row>
    <row r="512" spans="1:69" x14ac:dyDescent="0.25">
      <c r="A512">
        <f t="shared" si="420"/>
        <v>1490000</v>
      </c>
      <c r="B512">
        <f t="shared" si="404"/>
        <v>1490</v>
      </c>
      <c r="C512">
        <f t="shared" si="373"/>
        <v>12.398163206765263</v>
      </c>
      <c r="D512">
        <f t="shared" si="374"/>
        <v>1.4900515074721041</v>
      </c>
      <c r="F512">
        <f t="shared" si="375"/>
        <v>1.1544818328036217E-5</v>
      </c>
      <c r="G512">
        <f t="shared" si="376"/>
        <v>1.1558281617820665E-3</v>
      </c>
      <c r="H512">
        <f t="shared" si="377"/>
        <v>-3.1404368218382182</v>
      </c>
      <c r="J512">
        <f t="shared" si="378"/>
        <v>15</v>
      </c>
      <c r="M512">
        <f t="shared" si="379"/>
        <v>8.538401132718328E-4</v>
      </c>
      <c r="N512">
        <f t="shared" si="380"/>
        <v>-1.5707963250000001</v>
      </c>
      <c r="O512">
        <f t="shared" si="381"/>
        <v>432.89754253453248</v>
      </c>
      <c r="P512">
        <f t="shared" si="382"/>
        <v>1.5684863093170676</v>
      </c>
      <c r="Q512">
        <f t="shared" si="383"/>
        <v>382.26829101682711</v>
      </c>
      <c r="R512">
        <f t="shared" si="384"/>
        <v>1.5681803600405317</v>
      </c>
      <c r="S512">
        <f t="shared" si="385"/>
        <v>8.6376769613414381E-2</v>
      </c>
      <c r="T512">
        <f t="shared" si="386"/>
        <v>-1.484311786214553</v>
      </c>
      <c r="U512">
        <f t="shared" si="387"/>
        <v>0.10642316355793062</v>
      </c>
      <c r="V512">
        <f t="shared" si="388"/>
        <v>-1.4641712429145377</v>
      </c>
      <c r="X512">
        <f t="shared" si="405"/>
        <v>-51.092024334139403</v>
      </c>
      <c r="Y512">
        <f t="shared" si="389"/>
        <v>-173.77798482077839</v>
      </c>
      <c r="Z512">
        <f t="shared" si="406"/>
        <v>6.2220151792216143</v>
      </c>
      <c r="AC512">
        <v>1</v>
      </c>
      <c r="AD512">
        <f t="shared" si="390"/>
        <v>432.89638752528003</v>
      </c>
      <c r="AE512">
        <f t="shared" si="391"/>
        <v>-0.60791289683965433</v>
      </c>
      <c r="AF512">
        <f t="shared" si="392"/>
        <v>6.5065525374149988E-2</v>
      </c>
      <c r="AG512">
        <f t="shared" si="421"/>
        <v>73.727491605099345</v>
      </c>
      <c r="AH512">
        <f t="shared" si="422"/>
        <v>-704.2115273010786</v>
      </c>
      <c r="AJ512">
        <f t="shared" si="393"/>
        <v>18000</v>
      </c>
      <c r="AK512">
        <f t="shared" si="394"/>
        <v>207610.51664707201</v>
      </c>
      <c r="AL512">
        <v>1</v>
      </c>
      <c r="AM512">
        <f t="shared" si="395"/>
        <v>382.26698303270399</v>
      </c>
      <c r="AN512">
        <f t="shared" si="423"/>
        <v>543.22291047035185</v>
      </c>
      <c r="AO512">
        <f t="shared" si="424"/>
        <v>-45.666452674088703</v>
      </c>
      <c r="AQ512">
        <f t="shared" si="396"/>
        <v>1.1260752752043517E-3</v>
      </c>
      <c r="AR512">
        <f t="shared" si="397"/>
        <v>-3.355704320108968</v>
      </c>
      <c r="AT512">
        <f t="shared" si="418"/>
        <v>-2363.0426417293647</v>
      </c>
      <c r="AU512">
        <f t="shared" si="419"/>
        <v>-248.20065727943717</v>
      </c>
      <c r="AV512">
        <f t="shared" si="407"/>
        <v>-3.0369420167300603</v>
      </c>
      <c r="AW512">
        <f t="shared" si="408"/>
        <v>466.67552491397902</v>
      </c>
      <c r="AX512">
        <f t="shared" si="409"/>
        <v>-2688.0620967269106</v>
      </c>
      <c r="AY512">
        <f t="shared" si="417"/>
        <v>-1.3988992897489008</v>
      </c>
      <c r="BA512">
        <f t="shared" si="398"/>
        <v>0.87089643558929164</v>
      </c>
      <c r="BB512">
        <f t="shared" si="410"/>
        <v>-1.2006697385672533</v>
      </c>
      <c r="BC512">
        <f t="shared" si="411"/>
        <v>-1.6380427269811595</v>
      </c>
      <c r="BD512">
        <f t="shared" si="399"/>
        <v>-273.85293502536325</v>
      </c>
      <c r="BF512">
        <f t="shared" si="400"/>
        <v>-54.563955514252257</v>
      </c>
      <c r="BG512">
        <f t="shared" si="401"/>
        <v>-188.41304821696383</v>
      </c>
      <c r="BH512">
        <f t="shared" si="412"/>
        <v>-8.4130482169638299</v>
      </c>
      <c r="BI512">
        <f t="shared" si="413"/>
        <v>-8.4130482169638299</v>
      </c>
      <c r="BJ512">
        <f t="shared" si="402"/>
        <v>0</v>
      </c>
      <c r="BK512">
        <f t="shared" si="414"/>
        <v>0</v>
      </c>
      <c r="BM512">
        <f t="shared" si="415"/>
        <v>-53.363285775685007</v>
      </c>
      <c r="BN512">
        <f t="shared" si="403"/>
        <v>-94.560113191600621</v>
      </c>
      <c r="BQ512" s="56">
        <f t="shared" si="416"/>
        <v>15.701291061717884</v>
      </c>
    </row>
    <row r="513" spans="1:69" x14ac:dyDescent="0.25">
      <c r="A513">
        <f t="shared" si="420"/>
        <v>1495000</v>
      </c>
      <c r="B513">
        <f t="shared" si="404"/>
        <v>1495</v>
      </c>
      <c r="C513">
        <f t="shared" si="373"/>
        <v>12.439497569521714</v>
      </c>
      <c r="D513">
        <f t="shared" si="374"/>
        <v>1.490320390642371</v>
      </c>
      <c r="F513">
        <f t="shared" si="375"/>
        <v>1.1467723760054215E-5</v>
      </c>
      <c r="G513">
        <f t="shared" si="376"/>
        <v>1.1519624298501419E-3</v>
      </c>
      <c r="H513">
        <f t="shared" si="377"/>
        <v>-3.14044068757015</v>
      </c>
      <c r="J513">
        <f t="shared" si="378"/>
        <v>15</v>
      </c>
      <c r="M513">
        <f t="shared" si="379"/>
        <v>8.5098446071908435E-4</v>
      </c>
      <c r="N513">
        <f t="shared" si="380"/>
        <v>-1.5707963250000001</v>
      </c>
      <c r="O513">
        <f t="shared" si="381"/>
        <v>434.35021111299557</v>
      </c>
      <c r="P513">
        <f t="shared" si="382"/>
        <v>1.5684940351006837</v>
      </c>
      <c r="Q513">
        <f t="shared" si="383"/>
        <v>383.55106175316115</v>
      </c>
      <c r="R513">
        <f t="shared" si="384"/>
        <v>1.5681891090535072</v>
      </c>
      <c r="S513">
        <f t="shared" si="385"/>
        <v>8.6090028735004737E-2</v>
      </c>
      <c r="T513">
        <f t="shared" si="386"/>
        <v>-1.4845995992081742</v>
      </c>
      <c r="U513">
        <f t="shared" si="387"/>
        <v>0.10607124449903915</v>
      </c>
      <c r="V513">
        <f t="shared" si="388"/>
        <v>-1.4645251652655249</v>
      </c>
      <c r="X513">
        <f t="shared" si="405"/>
        <v>-51.149866106673265</v>
      </c>
      <c r="Y513">
        <f t="shared" si="389"/>
        <v>-173.79862523058543</v>
      </c>
      <c r="Z513">
        <f t="shared" si="406"/>
        <v>6.2013747694145707</v>
      </c>
      <c r="AC513">
        <v>1</v>
      </c>
      <c r="AD513">
        <f t="shared" si="390"/>
        <v>434.34905996664003</v>
      </c>
      <c r="AE513">
        <f t="shared" si="391"/>
        <v>-0.61199969472503413</v>
      </c>
      <c r="AF513">
        <f t="shared" si="392"/>
        <v>6.5283866063324994E-2</v>
      </c>
      <c r="AG513">
        <f t="shared" si="421"/>
        <v>73.240695132870314</v>
      </c>
      <c r="AH513">
        <f t="shared" si="422"/>
        <v>-701.90823285982481</v>
      </c>
      <c r="AJ513">
        <f t="shared" si="393"/>
        <v>18000</v>
      </c>
      <c r="AK513">
        <f t="shared" si="394"/>
        <v>208307.196233136</v>
      </c>
      <c r="AL513">
        <v>1</v>
      </c>
      <c r="AM513">
        <f t="shared" si="395"/>
        <v>383.54975814355203</v>
      </c>
      <c r="AN513">
        <f t="shared" si="423"/>
        <v>543.22211273380174</v>
      </c>
      <c r="AO513">
        <f t="shared" si="424"/>
        <v>-45.513724143016177</v>
      </c>
      <c r="AQ513">
        <f t="shared" si="396"/>
        <v>1.1185555957365582E-3</v>
      </c>
      <c r="AR513">
        <f t="shared" si="397"/>
        <v>-3.3444812312523093</v>
      </c>
      <c r="AT513">
        <f t="shared" si="418"/>
        <v>-2347.4369870717828</v>
      </c>
      <c r="AU513">
        <f t="shared" si="419"/>
        <v>-245.73725361731604</v>
      </c>
      <c r="AV513">
        <f t="shared" si="407"/>
        <v>-3.0372893356065691</v>
      </c>
      <c r="AW513">
        <f t="shared" si="408"/>
        <v>467.1915998742972</v>
      </c>
      <c r="AX513">
        <f t="shared" si="409"/>
        <v>-2679.1224839462038</v>
      </c>
      <c r="AY513">
        <f t="shared" si="417"/>
        <v>-1.3981500467738079</v>
      </c>
      <c r="BA513">
        <f t="shared" si="398"/>
        <v>0.86788701729505091</v>
      </c>
      <c r="BB513">
        <f t="shared" si="410"/>
        <v>-1.2307361637288097</v>
      </c>
      <c r="BC513">
        <f t="shared" si="411"/>
        <v>-1.6391392888327612</v>
      </c>
      <c r="BD513">
        <f t="shared" si="399"/>
        <v>-273.91576339150686</v>
      </c>
      <c r="BF513">
        <f t="shared" si="400"/>
        <v>-54.623309732741241</v>
      </c>
      <c r="BG513">
        <f t="shared" si="401"/>
        <v>-188.46069220237612</v>
      </c>
      <c r="BH513">
        <f t="shared" si="412"/>
        <v>-8.4606922023761229</v>
      </c>
      <c r="BI513">
        <f t="shared" si="413"/>
        <v>-8.4606922023761229</v>
      </c>
      <c r="BJ513">
        <f t="shared" si="402"/>
        <v>0</v>
      </c>
      <c r="BK513">
        <f t="shared" si="414"/>
        <v>0</v>
      </c>
      <c r="BM513">
        <f t="shared" si="415"/>
        <v>-53.392573569012434</v>
      </c>
      <c r="BN513">
        <f t="shared" si="403"/>
        <v>-94.544928810869294</v>
      </c>
      <c r="BQ513" s="56">
        <f t="shared" si="416"/>
        <v>15.671224636556326</v>
      </c>
    </row>
    <row r="514" spans="1:69" x14ac:dyDescent="0.25">
      <c r="A514">
        <f t="shared" si="420"/>
        <v>1500000</v>
      </c>
      <c r="B514">
        <f t="shared" si="404"/>
        <v>1500</v>
      </c>
      <c r="C514">
        <f t="shared" si="373"/>
        <v>12.480832825673902</v>
      </c>
      <c r="D514">
        <f t="shared" si="374"/>
        <v>1.4905874928041059</v>
      </c>
      <c r="F514">
        <f t="shared" si="375"/>
        <v>1.13913988632261E-5</v>
      </c>
      <c r="G514">
        <f t="shared" si="376"/>
        <v>1.1481224703192101E-3</v>
      </c>
      <c r="H514">
        <f t="shared" si="377"/>
        <v>-3.1404445275296808</v>
      </c>
      <c r="J514">
        <f t="shared" si="378"/>
        <v>15</v>
      </c>
      <c r="M514">
        <f t="shared" si="379"/>
        <v>8.4814784585002072E-4</v>
      </c>
      <c r="N514">
        <f t="shared" si="380"/>
        <v>-1.5707963250000001</v>
      </c>
      <c r="O514">
        <f t="shared" si="381"/>
        <v>435.80287971721111</v>
      </c>
      <c r="P514">
        <f t="shared" si="382"/>
        <v>1.5685017093793479</v>
      </c>
      <c r="Q514">
        <f t="shared" si="383"/>
        <v>384.83383251865854</v>
      </c>
      <c r="R514">
        <f t="shared" si="384"/>
        <v>1.5681977997401246</v>
      </c>
      <c r="S514">
        <f t="shared" si="385"/>
        <v>8.5805178280569147E-2</v>
      </c>
      <c r="T514">
        <f t="shared" si="386"/>
        <v>-1.4848855076223828</v>
      </c>
      <c r="U514">
        <f t="shared" si="387"/>
        <v>0.10572163210188396</v>
      </c>
      <c r="V514">
        <f t="shared" si="388"/>
        <v>-1.4648767545936612</v>
      </c>
      <c r="X514">
        <f t="shared" si="405"/>
        <v>-51.20751708411894</v>
      </c>
      <c r="Y514">
        <f t="shared" si="389"/>
        <v>-173.81912970416016</v>
      </c>
      <c r="Z514">
        <f t="shared" si="406"/>
        <v>6.1808702958398385</v>
      </c>
      <c r="AC514">
        <v>1</v>
      </c>
      <c r="AD514">
        <f t="shared" si="390"/>
        <v>435.80173240800002</v>
      </c>
      <c r="AE514">
        <f t="shared" si="391"/>
        <v>-0.61610018372560793</v>
      </c>
      <c r="AF514">
        <f t="shared" si="392"/>
        <v>6.55022067525E-2</v>
      </c>
      <c r="AG514">
        <f t="shared" si="421"/>
        <v>72.758685961086201</v>
      </c>
      <c r="AH514">
        <f t="shared" si="422"/>
        <v>-699.61978474122122</v>
      </c>
      <c r="AJ514">
        <f t="shared" si="393"/>
        <v>18000</v>
      </c>
      <c r="AK514">
        <f t="shared" si="394"/>
        <v>209003.87581920001</v>
      </c>
      <c r="AL514">
        <v>1</v>
      </c>
      <c r="AM514">
        <f t="shared" si="395"/>
        <v>384.8325332544</v>
      </c>
      <c r="AN514">
        <f t="shared" si="423"/>
        <v>543.22132296124244</v>
      </c>
      <c r="AO514">
        <f t="shared" si="424"/>
        <v>-45.362013781456106</v>
      </c>
      <c r="AQ514">
        <f t="shared" si="396"/>
        <v>1.1111109876543346E-3</v>
      </c>
      <c r="AR514">
        <f t="shared" si="397"/>
        <v>-3.333332962963004</v>
      </c>
      <c r="AT514">
        <f t="shared" si="418"/>
        <v>-2331.984847043575</v>
      </c>
      <c r="AU514">
        <f t="shared" si="419"/>
        <v>-243.3062814859685</v>
      </c>
      <c r="AV514">
        <f t="shared" si="407"/>
        <v>-3.0376343654831186</v>
      </c>
      <c r="AW514">
        <f t="shared" si="408"/>
        <v>467.70244795918205</v>
      </c>
      <c r="AX514">
        <f t="shared" si="409"/>
        <v>-2670.2419734514415</v>
      </c>
      <c r="AY514">
        <f t="shared" si="417"/>
        <v>-1.3974016453696307</v>
      </c>
      <c r="BA514">
        <f t="shared" si="398"/>
        <v>0.86489713646832478</v>
      </c>
      <c r="BB514">
        <f t="shared" si="410"/>
        <v>-1.2607108153420521</v>
      </c>
      <c r="BC514">
        <f t="shared" si="411"/>
        <v>-1.6402327201134879</v>
      </c>
      <c r="BD514">
        <f t="shared" si="399"/>
        <v>-273.97841238915169</v>
      </c>
      <c r="BF514">
        <f t="shared" si="400"/>
        <v>-54.682473138770995</v>
      </c>
      <c r="BG514">
        <f t="shared" si="401"/>
        <v>-188.50825738691211</v>
      </c>
      <c r="BH514">
        <f t="shared" si="412"/>
        <v>-8.5082573869121063</v>
      </c>
      <c r="BI514">
        <f t="shared" si="413"/>
        <v>-8.5082573869121063</v>
      </c>
      <c r="BJ514">
        <f t="shared" si="402"/>
        <v>0</v>
      </c>
      <c r="BK514">
        <f t="shared" si="414"/>
        <v>0</v>
      </c>
      <c r="BM514">
        <f t="shared" si="415"/>
        <v>-53.421762323428943</v>
      </c>
      <c r="BN514">
        <f t="shared" si="403"/>
        <v>-94.529844997760435</v>
      </c>
      <c r="BQ514" s="56">
        <f t="shared" si="416"/>
        <v>15.641249984943084</v>
      </c>
    </row>
    <row r="515" spans="1:69" x14ac:dyDescent="0.25">
      <c r="A515">
        <f t="shared" si="420"/>
        <v>1505000</v>
      </c>
      <c r="B515">
        <f t="shared" si="404"/>
        <v>1505</v>
      </c>
      <c r="C515">
        <f t="shared" si="373"/>
        <v>12.522168966374617</v>
      </c>
      <c r="D515">
        <f t="shared" si="374"/>
        <v>1.490852831556531</v>
      </c>
      <c r="F515">
        <f t="shared" si="375"/>
        <v>1.131583342618989E-5</v>
      </c>
      <c r="G515">
        <f t="shared" si="376"/>
        <v>1.144308026310184E-3</v>
      </c>
      <c r="H515">
        <f t="shared" si="377"/>
        <v>-3.1404483419736899</v>
      </c>
      <c r="J515">
        <f t="shared" si="378"/>
        <v>15</v>
      </c>
      <c r="M515">
        <f t="shared" si="379"/>
        <v>8.4533007892028636E-4</v>
      </c>
      <c r="N515">
        <f t="shared" si="380"/>
        <v>-1.5707963250000001</v>
      </c>
      <c r="O515">
        <f t="shared" si="381"/>
        <v>437.25554834692264</v>
      </c>
      <c r="P515">
        <f t="shared" si="382"/>
        <v>1.5685093326663948</v>
      </c>
      <c r="Q515">
        <f t="shared" si="383"/>
        <v>386.11660331302846</v>
      </c>
      <c r="R515">
        <f t="shared" si="384"/>
        <v>1.5682064326817045</v>
      </c>
      <c r="S515">
        <f t="shared" si="385"/>
        <v>8.5522199686188516E-2</v>
      </c>
      <c r="T515">
        <f t="shared" si="386"/>
        <v>-1.4851695302536541</v>
      </c>
      <c r="U515">
        <f t="shared" si="387"/>
        <v>0.10537430389105827</v>
      </c>
      <c r="V515">
        <f t="shared" si="388"/>
        <v>-1.4652260338056931</v>
      </c>
      <c r="X515">
        <f t="shared" si="405"/>
        <v>-51.264978513507202</v>
      </c>
      <c r="Y515">
        <f t="shared" si="389"/>
        <v>-173.83949957455914</v>
      </c>
      <c r="Z515">
        <f t="shared" si="406"/>
        <v>6.1605004254408584</v>
      </c>
      <c r="AC515">
        <v>1</v>
      </c>
      <c r="AD515">
        <f t="shared" si="390"/>
        <v>437.25440484936001</v>
      </c>
      <c r="AE515">
        <f t="shared" si="391"/>
        <v>-0.62021436384137563</v>
      </c>
      <c r="AF515">
        <f t="shared" si="392"/>
        <v>6.5720547441674992E-2</v>
      </c>
      <c r="AG515">
        <f t="shared" si="421"/>
        <v>72.281401758056944</v>
      </c>
      <c r="AH515">
        <f t="shared" si="422"/>
        <v>-697.34604158020591</v>
      </c>
      <c r="AJ515">
        <f t="shared" si="393"/>
        <v>18000</v>
      </c>
      <c r="AK515">
        <f t="shared" si="394"/>
        <v>209700.55540526399</v>
      </c>
      <c r="AL515">
        <v>1</v>
      </c>
      <c r="AM515">
        <f t="shared" si="395"/>
        <v>386.11530836524804</v>
      </c>
      <c r="AN515">
        <f t="shared" si="423"/>
        <v>543.22054104701692</v>
      </c>
      <c r="AO515">
        <f t="shared" si="424"/>
        <v>-45.21131144181323</v>
      </c>
      <c r="AQ515">
        <f t="shared" si="396"/>
        <v>1.1037404549905129E-3</v>
      </c>
      <c r="AR515">
        <f t="shared" si="397"/>
        <v>-3.3222587695214436</v>
      </c>
      <c r="AT515">
        <f t="shared" si="418"/>
        <v>-2316.6842221236407</v>
      </c>
      <c r="AU515">
        <f t="shared" si="419"/>
        <v>-240.90720990122693</v>
      </c>
      <c r="AV515">
        <f t="shared" si="407"/>
        <v>-3.0379771288276931</v>
      </c>
      <c r="AW515">
        <f t="shared" si="408"/>
        <v>468.20813972994233</v>
      </c>
      <c r="AX515">
        <f t="shared" si="409"/>
        <v>-2661.41998260126</v>
      </c>
      <c r="AY515">
        <f t="shared" si="417"/>
        <v>-1.3966540790199848</v>
      </c>
      <c r="BA515">
        <f t="shared" si="398"/>
        <v>0.86192660127785814</v>
      </c>
      <c r="BB515">
        <f t="shared" si="410"/>
        <v>-1.2905943126755846</v>
      </c>
      <c r="BC515">
        <f t="shared" si="411"/>
        <v>-1.6413230498077083</v>
      </c>
      <c r="BD515">
        <f t="shared" si="399"/>
        <v>-274.04088367897964</v>
      </c>
      <c r="BF515">
        <f t="shared" si="400"/>
        <v>-54.741447023081761</v>
      </c>
      <c r="BG515">
        <f t="shared" si="401"/>
        <v>-188.55574443761066</v>
      </c>
      <c r="BH515">
        <f t="shared" si="412"/>
        <v>-8.555744437610656</v>
      </c>
      <c r="BI515">
        <f t="shared" si="413"/>
        <v>-8.555744437610656</v>
      </c>
      <c r="BJ515">
        <f t="shared" si="402"/>
        <v>0</v>
      </c>
      <c r="BK515">
        <f t="shared" si="414"/>
        <v>0</v>
      </c>
      <c r="BM515">
        <f t="shared" si="415"/>
        <v>-53.450852710406174</v>
      </c>
      <c r="BN515">
        <f t="shared" si="403"/>
        <v>-94.514860758631016</v>
      </c>
      <c r="BQ515" s="56">
        <f t="shared" si="416"/>
        <v>15.611366487609553</v>
      </c>
    </row>
    <row r="516" spans="1:69" x14ac:dyDescent="0.25">
      <c r="A516">
        <f t="shared" si="420"/>
        <v>1510000</v>
      </c>
      <c r="B516">
        <f t="shared" si="404"/>
        <v>1510</v>
      </c>
      <c r="C516">
        <f t="shared" si="373"/>
        <v>12.563505982892902</v>
      </c>
      <c r="D516">
        <f t="shared" si="374"/>
        <v>1.4911164242682464</v>
      </c>
      <c r="F516">
        <f t="shared" si="375"/>
        <v>1.124101740636913E-5</v>
      </c>
      <c r="G516">
        <f t="shared" si="376"/>
        <v>1.1405188443465353E-3</v>
      </c>
      <c r="H516">
        <f t="shared" si="377"/>
        <v>-3.1404521311556537</v>
      </c>
      <c r="J516">
        <f t="shared" si="378"/>
        <v>15</v>
      </c>
      <c r="M516">
        <f t="shared" si="379"/>
        <v>8.4253097269869608E-4</v>
      </c>
      <c r="N516">
        <f t="shared" si="380"/>
        <v>-1.5707963250000001</v>
      </c>
      <c r="O516">
        <f t="shared" si="381"/>
        <v>438.70821700187668</v>
      </c>
      <c r="P516">
        <f t="shared" si="382"/>
        <v>1.5685169054683603</v>
      </c>
      <c r="Q516">
        <f t="shared" si="383"/>
        <v>387.39937413598426</v>
      </c>
      <c r="R516">
        <f t="shared" si="384"/>
        <v>1.5682150084518682</v>
      </c>
      <c r="S516">
        <f t="shared" si="385"/>
        <v>8.5241074629301722E-2</v>
      </c>
      <c r="T516">
        <f t="shared" si="386"/>
        <v>-1.4854516856525413</v>
      </c>
      <c r="U516">
        <f t="shared" si="387"/>
        <v>0.10502923768050673</v>
      </c>
      <c r="V516">
        <f t="shared" si="388"/>
        <v>-1.4655730255105912</v>
      </c>
      <c r="X516">
        <f t="shared" si="405"/>
        <v>-51.322251629756124</v>
      </c>
      <c r="Y516">
        <f t="shared" si="389"/>
        <v>-173.85973615753653</v>
      </c>
      <c r="Z516">
        <f t="shared" si="406"/>
        <v>6.1402638424634688</v>
      </c>
      <c r="AC516">
        <v>1</v>
      </c>
      <c r="AD516">
        <f t="shared" si="390"/>
        <v>438.70707729072006</v>
      </c>
      <c r="AE516">
        <f t="shared" si="391"/>
        <v>-0.62434223507233721</v>
      </c>
      <c r="AF516">
        <f t="shared" si="392"/>
        <v>6.5938888130849999E-2</v>
      </c>
      <c r="AG516">
        <f t="shared" si="421"/>
        <v>71.808781199413204</v>
      </c>
      <c r="AH516">
        <f t="shared" si="422"/>
        <v>-695.08686377771426</v>
      </c>
      <c r="AJ516">
        <f t="shared" si="393"/>
        <v>18000</v>
      </c>
      <c r="AK516">
        <f t="shared" si="394"/>
        <v>210397.23499132798</v>
      </c>
      <c r="AL516">
        <v>1</v>
      </c>
      <c r="AM516">
        <f t="shared" si="395"/>
        <v>387.39808347609596</v>
      </c>
      <c r="AN516">
        <f t="shared" si="423"/>
        <v>543.21976688721554</v>
      </c>
      <c r="AO516">
        <f t="shared" si="424"/>
        <v>-45.061607110893057</v>
      </c>
      <c r="AQ516">
        <f t="shared" si="396"/>
        <v>1.096443018240097E-3</v>
      </c>
      <c r="AR516">
        <f t="shared" si="397"/>
        <v>-3.3112579150850934</v>
      </c>
      <c r="AT516">
        <f t="shared" si="418"/>
        <v>-2301.5331451188358</v>
      </c>
      <c r="AU516">
        <f t="shared" si="419"/>
        <v>-238.53951825803011</v>
      </c>
      <c r="AV516">
        <f t="shared" si="407"/>
        <v>-3.0383176478163114</v>
      </c>
      <c r="AW516">
        <f t="shared" si="408"/>
        <v>468.70874455795126</v>
      </c>
      <c r="AX516">
        <f t="shared" si="409"/>
        <v>-2652.6559363681718</v>
      </c>
      <c r="AY516">
        <f t="shared" si="417"/>
        <v>-1.3959073413059373</v>
      </c>
      <c r="BA516">
        <f t="shared" si="398"/>
        <v>0.85897522239341473</v>
      </c>
      <c r="BB516">
        <f t="shared" si="410"/>
        <v>-1.3203872689633611</v>
      </c>
      <c r="BC516">
        <f t="shared" si="411"/>
        <v>-1.6424103065103741</v>
      </c>
      <c r="BD516">
        <f t="shared" si="399"/>
        <v>-274.1031788993609</v>
      </c>
      <c r="BF516">
        <f t="shared" si="400"/>
        <v>-54.800232663537031</v>
      </c>
      <c r="BG516">
        <f t="shared" si="401"/>
        <v>-188.60315401221752</v>
      </c>
      <c r="BH516">
        <f t="shared" si="412"/>
        <v>-8.6031540122175159</v>
      </c>
      <c r="BI516">
        <f t="shared" si="413"/>
        <v>-8.6031540122175159</v>
      </c>
      <c r="BJ516">
        <f t="shared" si="402"/>
        <v>0</v>
      </c>
      <c r="BK516">
        <f t="shared" si="414"/>
        <v>0</v>
      </c>
      <c r="BM516">
        <f t="shared" si="415"/>
        <v>-53.479845394573672</v>
      </c>
      <c r="BN516">
        <f t="shared" si="403"/>
        <v>-94.499975112856617</v>
      </c>
      <c r="BQ516" s="56">
        <f t="shared" si="416"/>
        <v>15.581573531321775</v>
      </c>
    </row>
    <row r="517" spans="1:69" x14ac:dyDescent="0.25">
      <c r="A517">
        <f t="shared" si="420"/>
        <v>1515000</v>
      </c>
      <c r="B517">
        <f t="shared" si="404"/>
        <v>1515</v>
      </c>
      <c r="C517">
        <f t="shared" si="373"/>
        <v>12.604843866612145</v>
      </c>
      <c r="D517">
        <f t="shared" si="374"/>
        <v>1.4913782880809865</v>
      </c>
      <c r="F517">
        <f t="shared" si="375"/>
        <v>1.1166940926636044E-5</v>
      </c>
      <c r="G517">
        <f t="shared" si="376"/>
        <v>1.1367546742981414E-3</v>
      </c>
      <c r="H517">
        <f t="shared" si="377"/>
        <v>-3.1404558953257022</v>
      </c>
      <c r="J517">
        <f t="shared" si="378"/>
        <v>15</v>
      </c>
      <c r="M517">
        <f t="shared" si="379"/>
        <v>8.3975034242576309E-4</v>
      </c>
      <c r="N517">
        <f t="shared" si="380"/>
        <v>-1.5707963250000001</v>
      </c>
      <c r="O517">
        <f t="shared" si="381"/>
        <v>440.16088568182346</v>
      </c>
      <c r="P517">
        <f t="shared" si="382"/>
        <v>1.5685244282850932</v>
      </c>
      <c r="Q517">
        <f t="shared" si="383"/>
        <v>388.68214498724274</v>
      </c>
      <c r="R517">
        <f t="shared" si="384"/>
        <v>1.5682235276166643</v>
      </c>
      <c r="S517">
        <f t="shared" si="385"/>
        <v>8.4961785024810818E-2</v>
      </c>
      <c r="T517">
        <f t="shared" si="386"/>
        <v>-1.4857319921276746</v>
      </c>
      <c r="U517">
        <f t="shared" si="387"/>
        <v>0.10468641156891172</v>
      </c>
      <c r="V517">
        <f t="shared" si="388"/>
        <v>-1.4659177520243531</v>
      </c>
      <c r="X517">
        <f t="shared" si="405"/>
        <v>-51.379337655826482</v>
      </c>
      <c r="Y517">
        <f t="shared" si="389"/>
        <v>-173.87984075182294</v>
      </c>
      <c r="Z517">
        <f t="shared" si="406"/>
        <v>6.1201592481770604</v>
      </c>
      <c r="AC517">
        <v>1</v>
      </c>
      <c r="AD517">
        <f t="shared" si="390"/>
        <v>440.15974973208006</v>
      </c>
      <c r="AE517">
        <f t="shared" si="391"/>
        <v>-0.6284837974184927</v>
      </c>
      <c r="AF517">
        <f t="shared" si="392"/>
        <v>6.6157228820024991E-2</v>
      </c>
      <c r="AG517">
        <f t="shared" si="421"/>
        <v>71.340763948709665</v>
      </c>
      <c r="AH517">
        <f t="shared" si="422"/>
        <v>-692.84211347358007</v>
      </c>
      <c r="AJ517">
        <f t="shared" si="393"/>
        <v>18000</v>
      </c>
      <c r="AK517">
        <f t="shared" si="394"/>
        <v>211093.91457739202</v>
      </c>
      <c r="AL517">
        <v>1</v>
      </c>
      <c r="AM517">
        <f t="shared" si="395"/>
        <v>388.680858586944</v>
      </c>
      <c r="AN517">
        <f t="shared" si="423"/>
        <v>543.2190003796394</v>
      </c>
      <c r="AO517">
        <f t="shared" si="424"/>
        <v>-44.912890907683988</v>
      </c>
      <c r="AQ517">
        <f t="shared" si="396"/>
        <v>1.0892177140348208E-3</v>
      </c>
      <c r="AR517">
        <f t="shared" si="397"/>
        <v>-3.300329673525507</v>
      </c>
      <c r="AT517">
        <f t="shared" si="418"/>
        <v>-2286.5296805411572</v>
      </c>
      <c r="AU517">
        <f t="shared" si="419"/>
        <v>-236.20269609492996</v>
      </c>
      <c r="AV517">
        <f t="shared" si="407"/>
        <v>-3.0386559443377354</v>
      </c>
      <c r="AW517">
        <f t="shared" si="408"/>
        <v>469.2043306487023</v>
      </c>
      <c r="AX517">
        <f t="shared" si="409"/>
        <v>-2643.9492672148958</v>
      </c>
      <c r="AY517">
        <f t="shared" si="417"/>
        <v>-1.3951614259042766</v>
      </c>
      <c r="BA517">
        <f t="shared" si="398"/>
        <v>0.85604281294531215</v>
      </c>
      <c r="BB517">
        <f t="shared" si="410"/>
        <v>-1.3500902914816468</v>
      </c>
      <c r="BC517">
        <f t="shared" si="411"/>
        <v>-1.6434945184334588</v>
      </c>
      <c r="BD517">
        <f t="shared" si="399"/>
        <v>-274.16529966672238</v>
      </c>
      <c r="BF517">
        <f t="shared" si="400"/>
        <v>-54.8588313252936</v>
      </c>
      <c r="BG517">
        <f t="shared" si="401"/>
        <v>-188.65048675934204</v>
      </c>
      <c r="BH517">
        <f t="shared" si="412"/>
        <v>-8.6504867593420443</v>
      </c>
      <c r="BI517">
        <f t="shared" si="413"/>
        <v>-8.6504867593420443</v>
      </c>
      <c r="BJ517">
        <f t="shared" si="402"/>
        <v>0</v>
      </c>
      <c r="BK517">
        <f t="shared" si="414"/>
        <v>0</v>
      </c>
      <c r="BM517">
        <f t="shared" si="415"/>
        <v>-53.508741033811951</v>
      </c>
      <c r="BN517">
        <f t="shared" si="403"/>
        <v>-94.485187092619668</v>
      </c>
      <c r="BQ517" s="56">
        <f t="shared" si="416"/>
        <v>15.551870508803489</v>
      </c>
    </row>
    <row r="518" spans="1:69" x14ac:dyDescent="0.25">
      <c r="A518">
        <f>A517+5000</f>
        <v>1520000</v>
      </c>
      <c r="B518">
        <f t="shared" si="404"/>
        <v>1520</v>
      </c>
      <c r="C518">
        <f t="shared" si="373"/>
        <v>12.646182609028214</v>
      </c>
      <c r="D518">
        <f t="shared" si="374"/>
        <v>1.4916384399133049</v>
      </c>
      <c r="F518">
        <f t="shared" si="375"/>
        <v>1.1093594272051416E-5</v>
      </c>
      <c r="G518">
        <f t="shared" si="376"/>
        <v>1.1330152693262449E-3</v>
      </c>
      <c r="H518">
        <f t="shared" si="377"/>
        <v>-3.1404596347306741</v>
      </c>
      <c r="J518">
        <f t="shared" si="378"/>
        <v>15</v>
      </c>
      <c r="M518">
        <f t="shared" si="379"/>
        <v>8.3698800577304674E-4</v>
      </c>
      <c r="N518">
        <f t="shared" si="380"/>
        <v>-1.5707963250000001</v>
      </c>
      <c r="O518">
        <f t="shared" si="381"/>
        <v>441.61355438651634</v>
      </c>
      <c r="P518">
        <f t="shared" si="382"/>
        <v>1.5685319016098651</v>
      </c>
      <c r="Q518">
        <f t="shared" si="383"/>
        <v>389.96491586652473</v>
      </c>
      <c r="R518">
        <f t="shared" si="384"/>
        <v>1.5682319907346931</v>
      </c>
      <c r="S518">
        <f t="shared" si="385"/>
        <v>8.4684313021261087E-2</v>
      </c>
      <c r="T518">
        <f t="shared" si="386"/>
        <v>-1.4860104677496826</v>
      </c>
      <c r="U518">
        <f t="shared" si="387"/>
        <v>0.10434580393516706</v>
      </c>
      <c r="V518">
        <f t="shared" si="388"/>
        <v>-1.4662602353747174</v>
      </c>
      <c r="X518">
        <f t="shared" si="405"/>
        <v>-51.436237802874665</v>
      </c>
      <c r="Y518">
        <f t="shared" si="389"/>
        <v>-173.89981463939887</v>
      </c>
      <c r="Z518">
        <f t="shared" si="406"/>
        <v>6.1001853606011309</v>
      </c>
      <c r="AC518">
        <v>1</v>
      </c>
      <c r="AD518">
        <f t="shared" si="390"/>
        <v>441.61242217343994</v>
      </c>
      <c r="AE518">
        <f t="shared" si="391"/>
        <v>-0.63263905087984207</v>
      </c>
      <c r="AF518">
        <f t="shared" si="392"/>
        <v>6.6375569509199997E-2</v>
      </c>
      <c r="AG518">
        <f t="shared" si="421"/>
        <v>70.877290638461375</v>
      </c>
      <c r="AH518">
        <f t="shared" si="422"/>
        <v>-690.61165451992531</v>
      </c>
      <c r="AJ518">
        <f t="shared" si="393"/>
        <v>18000</v>
      </c>
      <c r="AK518">
        <f t="shared" si="394"/>
        <v>211790.594163456</v>
      </c>
      <c r="AL518">
        <v>1</v>
      </c>
      <c r="AM518">
        <f t="shared" si="395"/>
        <v>389.96363369779203</v>
      </c>
      <c r="AN518">
        <f t="shared" si="423"/>
        <v>543.2182414237684</v>
      </c>
      <c r="AO518">
        <f t="shared" si="424"/>
        <v>-44.765153081183506</v>
      </c>
      <c r="AQ518">
        <f t="shared" si="396"/>
        <v>1.0820635948251822E-3</v>
      </c>
      <c r="AR518">
        <f t="shared" si="397"/>
        <v>-3.2894733282685542</v>
      </c>
      <c r="AT518">
        <f t="shared" si="418"/>
        <v>-2271.671923998812</v>
      </c>
      <c r="AU518">
        <f t="shared" si="419"/>
        <v>-233.89624286467517</v>
      </c>
      <c r="AV518">
        <f t="shared" si="407"/>
        <v>-3.0389920399980892</v>
      </c>
      <c r="AW518">
        <f t="shared" si="408"/>
        <v>469.69496506530123</v>
      </c>
      <c r="AX518">
        <f t="shared" si="409"/>
        <v>-2635.2994149730976</v>
      </c>
      <c r="AY518">
        <f t="shared" si="417"/>
        <v>-1.3944163265858185</v>
      </c>
      <c r="BA518">
        <f t="shared" si="398"/>
        <v>0.85312918848472918</v>
      </c>
      <c r="BB518">
        <f t="shared" si="410"/>
        <v>-1.3797039816248429</v>
      </c>
      <c r="BC518">
        <f t="shared" si="411"/>
        <v>-1.6445757134122707</v>
      </c>
      <c r="BD518">
        <f t="shared" si="399"/>
        <v>-274.22724757590981</v>
      </c>
      <c r="BF518">
        <f t="shared" si="400"/>
        <v>-54.917244260968879</v>
      </c>
      <c r="BG518">
        <f t="shared" si="401"/>
        <v>-188.69774331861106</v>
      </c>
      <c r="BH518">
        <f t="shared" si="412"/>
        <v>-8.6977433186110602</v>
      </c>
      <c r="BI518">
        <f t="shared" si="413"/>
        <v>-8.6977433186110602</v>
      </c>
      <c r="BJ518">
        <f t="shared" si="402"/>
        <v>0</v>
      </c>
      <c r="BK518">
        <f t="shared" si="414"/>
        <v>0</v>
      </c>
      <c r="BM518">
        <f t="shared" si="415"/>
        <v>-53.537540279344043</v>
      </c>
      <c r="BN518">
        <f t="shared" si="403"/>
        <v>-94.470495742701218</v>
      </c>
      <c r="BQ518" s="56">
        <f t="shared" si="416"/>
        <v>15.522256818660294</v>
      </c>
    </row>
    <row r="519" spans="1:69" x14ac:dyDescent="0.25">
      <c r="A519">
        <f t="shared" si="420"/>
        <v>1525000</v>
      </c>
      <c r="B519">
        <f t="shared" si="404"/>
        <v>1525</v>
      </c>
      <c r="C519">
        <f t="shared" si="373"/>
        <v>12.687522201747642</v>
      </c>
      <c r="D519">
        <f t="shared" si="374"/>
        <v>1.4918968964641872</v>
      </c>
      <c r="F519">
        <f t="shared" si="375"/>
        <v>1.1020967886679142E-5</v>
      </c>
      <c r="G519">
        <f t="shared" si="376"/>
        <v>1.1293003858294901E-3</v>
      </c>
      <c r="H519">
        <f t="shared" si="377"/>
        <v>-3.1404633496141705</v>
      </c>
      <c r="J519">
        <f t="shared" si="378"/>
        <v>15</v>
      </c>
      <c r="M519">
        <f t="shared" si="379"/>
        <v>8.3424378280329899E-4</v>
      </c>
      <c r="N519">
        <f t="shared" si="380"/>
        <v>-1.5707963250000001</v>
      </c>
      <c r="O519">
        <f t="shared" si="381"/>
        <v>443.06622311571175</v>
      </c>
      <c r="P519">
        <f t="shared" si="382"/>
        <v>1.5685393259294793</v>
      </c>
      <c r="Q519">
        <f t="shared" si="383"/>
        <v>391.24768677355462</v>
      </c>
      <c r="R519">
        <f t="shared" si="384"/>
        <v>1.5682403983572299</v>
      </c>
      <c r="S519">
        <f t="shared" si="385"/>
        <v>8.4408640997094206E-2</v>
      </c>
      <c r="T519">
        <f t="shared" si="386"/>
        <v>-1.4862871303550376</v>
      </c>
      <c r="U519">
        <f t="shared" si="387"/>
        <v>0.10400739343393735</v>
      </c>
      <c r="V519">
        <f t="shared" si="388"/>
        <v>-1.4666004973057842</v>
      </c>
      <c r="X519">
        <f t="shared" si="405"/>
        <v>-51.49295327040327</v>
      </c>
      <c r="Y519">
        <f t="shared" si="389"/>
        <v>-173.9196590857625</v>
      </c>
      <c r="Z519">
        <f t="shared" si="406"/>
        <v>6.080340914237496</v>
      </c>
      <c r="AC519">
        <v>1</v>
      </c>
      <c r="AD519">
        <f t="shared" si="390"/>
        <v>443.06509461479999</v>
      </c>
      <c r="AE519">
        <f t="shared" si="391"/>
        <v>-0.63680799545638533</v>
      </c>
      <c r="AF519">
        <f t="shared" si="392"/>
        <v>6.6593910198375003E-2</v>
      </c>
      <c r="AG519">
        <f t="shared" si="421"/>
        <v>70.418302851601283</v>
      </c>
      <c r="AH519">
        <f t="shared" si="422"/>
        <v>-688.39535245502839</v>
      </c>
      <c r="AJ519">
        <f t="shared" si="393"/>
        <v>18000</v>
      </c>
      <c r="AK519">
        <f t="shared" si="394"/>
        <v>212487.27374951998</v>
      </c>
      <c r="AL519">
        <v>1</v>
      </c>
      <c r="AM519">
        <f t="shared" si="395"/>
        <v>391.24640880864001</v>
      </c>
      <c r="AN519">
        <f t="shared" si="423"/>
        <v>543.21748992072753</v>
      </c>
      <c r="AO519">
        <f t="shared" si="424"/>
        <v>-44.618384008266887</v>
      </c>
      <c r="AQ519">
        <f t="shared" si="396"/>
        <v>1.0749797285697685E-3</v>
      </c>
      <c r="AR519">
        <f t="shared" si="397"/>
        <v>-3.2786881721377941</v>
      </c>
      <c r="AT519">
        <f t="shared" si="418"/>
        <v>-2256.958001600844</v>
      </c>
      <c r="AU519">
        <f t="shared" si="419"/>
        <v>-231.61966771069302</v>
      </c>
      <c r="AV519">
        <f t="shared" si="407"/>
        <v>-3.0393259561253876</v>
      </c>
      <c r="AW519">
        <f t="shared" si="408"/>
        <v>470.1807137514034</v>
      </c>
      <c r="AX519">
        <f t="shared" si="409"/>
        <v>-2626.7058267244643</v>
      </c>
      <c r="AY519">
        <f t="shared" si="417"/>
        <v>-1.393672037213747</v>
      </c>
      <c r="BA519">
        <f t="shared" si="398"/>
        <v>0.85023416694477993</v>
      </c>
      <c r="BB519">
        <f t="shared" si="410"/>
        <v>-1.4092289349800819</v>
      </c>
      <c r="BC519">
        <f t="shared" si="411"/>
        <v>-1.6456539189116406</v>
      </c>
      <c r="BD519">
        <f t="shared" si="399"/>
        <v>-274.28902420054214</v>
      </c>
      <c r="BF519">
        <f t="shared" si="400"/>
        <v>-54.975472710805448</v>
      </c>
      <c r="BG519">
        <f t="shared" si="401"/>
        <v>-188.74492432081934</v>
      </c>
      <c r="BH519">
        <f t="shared" si="412"/>
        <v>-8.7449243208193366</v>
      </c>
      <c r="BI519">
        <f t="shared" si="413"/>
        <v>-8.7449243208193366</v>
      </c>
      <c r="BJ519">
        <f t="shared" si="402"/>
        <v>0</v>
      </c>
      <c r="BK519">
        <f t="shared" si="414"/>
        <v>0</v>
      </c>
      <c r="BM519">
        <f t="shared" si="415"/>
        <v>-53.56624377582537</v>
      </c>
      <c r="BN519">
        <f t="shared" si="403"/>
        <v>-94.455900120277207</v>
      </c>
      <c r="BQ519" s="56">
        <f t="shared" si="416"/>
        <v>15.492731865305053</v>
      </c>
    </row>
    <row r="520" spans="1:69" x14ac:dyDescent="0.25">
      <c r="A520">
        <f t="shared" si="420"/>
        <v>1530000</v>
      </c>
      <c r="B520">
        <f t="shared" si="404"/>
        <v>1530</v>
      </c>
      <c r="C520">
        <f t="shared" si="373"/>
        <v>12.728862636485827</v>
      </c>
      <c r="D520">
        <f t="shared" si="374"/>
        <v>1.4921536742165935</v>
      </c>
      <c r="F520">
        <f t="shared" si="375"/>
        <v>1.0949052370473573E-5</v>
      </c>
      <c r="G520">
        <f t="shared" si="376"/>
        <v>1.1256097833910238E-3</v>
      </c>
      <c r="H520">
        <f t="shared" si="377"/>
        <v>-3.1404670402166093</v>
      </c>
      <c r="J520">
        <f t="shared" si="378"/>
        <v>15</v>
      </c>
      <c r="M520">
        <f t="shared" si="379"/>
        <v>8.3151749593139289E-4</v>
      </c>
      <c r="N520">
        <f t="shared" si="380"/>
        <v>-1.5707963250000001</v>
      </c>
      <c r="O520">
        <f t="shared" si="381"/>
        <v>444.51889186916964</v>
      </c>
      <c r="P520">
        <f t="shared" si="382"/>
        <v>1.568546701724375</v>
      </c>
      <c r="Q520">
        <f t="shared" si="383"/>
        <v>392.53045770806023</v>
      </c>
      <c r="R520">
        <f t="shared" si="384"/>
        <v>1.5682487510283432</v>
      </c>
      <c r="S520">
        <f t="shared" si="385"/>
        <v>8.4134751556973281E-2</v>
      </c>
      <c r="T520">
        <f t="shared" si="386"/>
        <v>-1.4865619975498268</v>
      </c>
      <c r="U520">
        <f t="shared" si="387"/>
        <v>0.10367115899130083</v>
      </c>
      <c r="V520">
        <f t="shared" si="388"/>
        <v>-1.4669385592825501</v>
      </c>
      <c r="X520">
        <f t="shared" si="405"/>
        <v>-51.549485246409176</v>
      </c>
      <c r="Y520">
        <f t="shared" si="389"/>
        <v>-173.93937534019292</v>
      </c>
      <c r="Z520">
        <f t="shared" si="406"/>
        <v>6.0606246598070754</v>
      </c>
      <c r="AC520">
        <v>1</v>
      </c>
      <c r="AD520">
        <f t="shared" si="390"/>
        <v>444.51776705615998</v>
      </c>
      <c r="AE520">
        <f t="shared" si="391"/>
        <v>-0.6409906311481226</v>
      </c>
      <c r="AF520">
        <f t="shared" si="392"/>
        <v>6.6812250887549995E-2</v>
      </c>
      <c r="AG520">
        <f t="shared" si="421"/>
        <v>69.963743103349032</v>
      </c>
      <c r="AH520">
        <f t="shared" si="422"/>
        <v>-686.19307447766141</v>
      </c>
      <c r="AJ520">
        <f t="shared" si="393"/>
        <v>18000</v>
      </c>
      <c r="AK520">
        <f t="shared" si="394"/>
        <v>213183.953335584</v>
      </c>
      <c r="AL520">
        <v>1</v>
      </c>
      <c r="AM520">
        <f t="shared" si="395"/>
        <v>392.52918391948805</v>
      </c>
      <c r="AN520">
        <f t="shared" si="423"/>
        <v>543.2167457732545</v>
      </c>
      <c r="AO520">
        <f t="shared" si="424"/>
        <v>-44.472574191597737</v>
      </c>
      <c r="AQ520">
        <f t="shared" si="396"/>
        <v>1.0679651984316718E-3</v>
      </c>
      <c r="AR520">
        <f t="shared" si="397"/>
        <v>-3.2679735072009155</v>
      </c>
      <c r="AT520">
        <f t="shared" si="418"/>
        <v>-2242.3860693749557</v>
      </c>
      <c r="AU520">
        <f t="shared" si="419"/>
        <v>-229.37248924930236</v>
      </c>
      <c r="AV520">
        <f t="shared" si="407"/>
        <v>-3.0396577137739809</v>
      </c>
      <c r="AW520">
        <f t="shared" si="408"/>
        <v>470.66164155361713</v>
      </c>
      <c r="AX520">
        <f t="shared" si="409"/>
        <v>-2618.1679566840648</v>
      </c>
      <c r="AY520">
        <f t="shared" si="417"/>
        <v>-1.3929285517419911</v>
      </c>
      <c r="BA520">
        <f t="shared" si="398"/>
        <v>0.84735756860233202</v>
      </c>
      <c r="BB520">
        <f t="shared" si="410"/>
        <v>-1.4386657414006701</v>
      </c>
      <c r="BC520">
        <f t="shared" si="411"/>
        <v>-1.6467291620319897</v>
      </c>
      <c r="BD520">
        <f t="shared" si="399"/>
        <v>-274.35063109335897</v>
      </c>
      <c r="BF520">
        <f t="shared" si="400"/>
        <v>-55.033517902832891</v>
      </c>
      <c r="BG520">
        <f t="shared" si="401"/>
        <v>-188.79203038807748</v>
      </c>
      <c r="BH520">
        <f t="shared" si="412"/>
        <v>-8.7920303880774782</v>
      </c>
      <c r="BI520">
        <f t="shared" si="413"/>
        <v>-8.7920303880774782</v>
      </c>
      <c r="BJ520">
        <f t="shared" si="402"/>
        <v>0</v>
      </c>
      <c r="BK520">
        <f t="shared" si="414"/>
        <v>0</v>
      </c>
      <c r="BM520">
        <f t="shared" si="415"/>
        <v>-53.594852161432215</v>
      </c>
      <c r="BN520">
        <f t="shared" si="403"/>
        <v>-94.441399294718494</v>
      </c>
      <c r="BQ520" s="56">
        <f t="shared" si="416"/>
        <v>15.463295058884468</v>
      </c>
    </row>
    <row r="521" spans="1:69" x14ac:dyDescent="0.25">
      <c r="A521">
        <f t="shared" si="420"/>
        <v>1535000</v>
      </c>
      <c r="B521">
        <f t="shared" si="404"/>
        <v>1535</v>
      </c>
      <c r="C521">
        <f t="shared" ref="C521:C584" si="425">SQRT((A521/Fesr)^2+1)</f>
        <v>12.770203905065269</v>
      </c>
      <c r="D521">
        <f t="shared" ref="D521:D584" si="426">ATAN(A521/Fesr)</f>
        <v>1.4924087894409337</v>
      </c>
      <c r="F521">
        <f t="shared" ref="F521:F584" si="427">(Ro/(Ro+Rdcr))/SQRT((A521/(Q*Fo))^2+(1-(A521^2/Fo^2))^2)</f>
        <v>1.0877838476237676E-5</v>
      </c>
      <c r="G521">
        <f t="shared" ref="G521:G584" si="428">-ATAN(A521*Fo/(Q*(Fo^2-A521^2)))</f>
        <v>1.1219432247266247E-3</v>
      </c>
      <c r="H521">
        <f t="shared" ref="H521:H584" si="429">IF(G521&gt;0,G521-Pi,G521)</f>
        <v>-3.1404707067752735</v>
      </c>
      <c r="J521">
        <f t="shared" ref="J521:J584" si="430">Vin/Vramp</f>
        <v>15</v>
      </c>
      <c r="M521">
        <f t="shared" ref="M521:M584" si="431">1/(2*Pi*_Rfb1*(Cc1ea_u+Cc2ea_u)*A521)</f>
        <v>8.2880896988601373E-4</v>
      </c>
      <c r="N521">
        <f t="shared" ref="N521:N584" si="432">-Pi/2</f>
        <v>-1.5707963250000001</v>
      </c>
      <c r="O521">
        <f t="shared" ref="O521:O584" si="433">SQRT(1+(A521/Fz1_u)^2)</f>
        <v>445.97156064665279</v>
      </c>
      <c r="P521">
        <f t="shared" ref="P521:P584" si="434">ATAN2(Fz1_u,A521)</f>
        <v>1.5685540294687321</v>
      </c>
      <c r="Q521">
        <f t="shared" ref="Q521:Q584" si="435">SQRT(1+(A521/Fz2_u)^2)</f>
        <v>393.81322866977314</v>
      </c>
      <c r="R521">
        <f t="shared" ref="R521:R584" si="436">ATAN2(Fz2_u,A521)</f>
        <v>1.568257049285013</v>
      </c>
      <c r="S521">
        <f t="shared" ref="S521:S584" si="437">1/SQRT(1+(A521/Fp1_u)^2)</f>
        <v>8.3862627528177483E-2</v>
      </c>
      <c r="T521">
        <f t="shared" ref="T521:T584" si="438">-ATAN2(Fp1_u,A521)</f>
        <v>-1.4868350867134514</v>
      </c>
      <c r="U521">
        <f t="shared" ref="U521:U584" si="439">1/SQRT(1+(A521/Fp2_u)^2)</f>
        <v>0.10333707980047425</v>
      </c>
      <c r="V521">
        <f t="shared" ref="V521:V584" si="440">-ATAN2(Fp2_u,A521)</f>
        <v>-1.4672744424953548</v>
      </c>
      <c r="X521">
        <f t="shared" si="405"/>
        <v>-51.605834907529427</v>
      </c>
      <c r="Y521">
        <f t="shared" ref="Y521:Y584" si="441">(180/Pi)*(D521+H521+N521+P521+R521+T521+V521)</f>
        <v>-173.95896463600783</v>
      </c>
      <c r="Z521">
        <f t="shared" si="406"/>
        <v>6.0410353639921652</v>
      </c>
      <c r="AC521">
        <v>1</v>
      </c>
      <c r="AD521">
        <f t="shared" ref="AD521:AD584" si="442">Rcea1_u*Cc1ea_u*A521*2*Pi</f>
        <v>445.97043949751998</v>
      </c>
      <c r="AE521">
        <f t="shared" ref="AE521:AE584" si="443">-Rcea1_u*Cc1ea_u*Cc2ea_u*(A521*2*Pi)^2</f>
        <v>-0.64518695795505365</v>
      </c>
      <c r="AF521">
        <f t="shared" ref="AF521:AF584" si="444">(Cc2ea_u+Cc1ea_u)*A521*2*Pi</f>
        <v>6.7030591576725002E-2</v>
      </c>
      <c r="AG521">
        <f t="shared" si="421"/>
        <v>69.513554823480746</v>
      </c>
      <c r="AH521">
        <f t="shared" si="422"/>
        <v>-684.00468942189059</v>
      </c>
      <c r="AJ521">
        <f t="shared" ref="AJ521:AJ584" si="445">_Rfb1</f>
        <v>18000</v>
      </c>
      <c r="AK521">
        <f t="shared" ref="AK521:AK584" si="446">_Rfb1*Rcea2_u*Cc3ea_u*A521*2*Pi</f>
        <v>213880.63292164798</v>
      </c>
      <c r="AL521">
        <v>1</v>
      </c>
      <c r="AM521">
        <f t="shared" ref="AM521:AM584" si="447">(_Rfb1+Rcea2_u)*Cc3ea_u*A521*2*Pi</f>
        <v>393.81195903033597</v>
      </c>
      <c r="AN521">
        <f t="shared" si="423"/>
        <v>543.21600888566866</v>
      </c>
      <c r="AO521">
        <f t="shared" si="424"/>
        <v>-44.32771425757948</v>
      </c>
      <c r="AQ521">
        <f t="shared" ref="AQ521:AQ584" si="448">Eadcg/(1+(Eadcg*A521/GBP)^2)</f>
        <v>1.0610191024818191E-3</v>
      </c>
      <c r="AR521">
        <f t="shared" ref="AR521:AR584" si="449">-(A521*Eadcg*Eadcg/GBP)/(1+(Eadcg*A521/GBP)^2)</f>
        <v>-3.2573286446191849</v>
      </c>
      <c r="AT521">
        <f t="shared" si="418"/>
        <v>-2227.9543126982239</v>
      </c>
      <c r="AU521">
        <f t="shared" si="419"/>
        <v>-227.15423535749372</v>
      </c>
      <c r="AV521">
        <f t="shared" si="407"/>
        <v>-3.0399873337289129</v>
      </c>
      <c r="AW521">
        <f t="shared" si="408"/>
        <v>471.13781224338288</v>
      </c>
      <c r="AX521">
        <f t="shared" si="409"/>
        <v>-2609.6852660859654</v>
      </c>
      <c r="AY521">
        <f t="shared" si="417"/>
        <v>-1.3921858642136351</v>
      </c>
      <c r="BA521">
        <f t="shared" ref="BA521:BA584" si="450">SQRT(AT521^2+AU521^2)/SQRT(AW521^2+AX521^2)</f>
        <v>0.84449921604055567</v>
      </c>
      <c r="BB521">
        <f t="shared" si="410"/>
        <v>-1.468014985078367</v>
      </c>
      <c r="BC521">
        <f t="shared" si="411"/>
        <v>-1.6478014695152778</v>
      </c>
      <c r="BD521">
        <f t="shared" ref="BD521:BD584" si="451">BC521*180/Pi-180</f>
        <v>-274.41206978656191</v>
      </c>
      <c r="BF521">
        <f t="shared" ref="BF521:BF584" si="452">20*LOG(BA521*J521*F521*C521)</f>
        <v>-55.091381053027071</v>
      </c>
      <c r="BG521">
        <f t="shared" ref="BG521:BG584" si="453">(180/Pi)*(D521+H521+BC521)</f>
        <v>-188.83906213395653</v>
      </c>
      <c r="BH521">
        <f t="shared" si="412"/>
        <v>-8.8390621339565314</v>
      </c>
      <c r="BI521">
        <f t="shared" si="413"/>
        <v>-8.8390621339565314</v>
      </c>
      <c r="BJ521">
        <f t="shared" ref="BJ521:BJ584" si="454">SUM((BF522&lt;0)*(BF521&gt;0))*A521</f>
        <v>0</v>
      </c>
      <c r="BK521">
        <f t="shared" si="414"/>
        <v>0</v>
      </c>
      <c r="BM521">
        <f t="shared" si="415"/>
        <v>-53.623366067948702</v>
      </c>
      <c r="BN521">
        <f t="shared" ref="BN521:BN584" si="455">(H521+D521)*180/Pi</f>
        <v>-94.426992347394616</v>
      </c>
      <c r="BQ521" s="56">
        <f t="shared" si="416"/>
        <v>15.433945815206769</v>
      </c>
    </row>
    <row r="522" spans="1:69" x14ac:dyDescent="0.25">
      <c r="A522">
        <f t="shared" si="420"/>
        <v>1540000</v>
      </c>
      <c r="B522">
        <f t="shared" ref="B522:B585" si="456">A522/1000</f>
        <v>1540</v>
      </c>
      <c r="C522">
        <f t="shared" si="425"/>
        <v>12.811545999413866</v>
      </c>
      <c r="D522">
        <f t="shared" si="426"/>
        <v>1.4926622581984743</v>
      </c>
      <c r="F522">
        <f t="shared" si="427"/>
        <v>1.0807317106650251E-5</v>
      </c>
      <c r="G522">
        <f t="shared" si="428"/>
        <v>1.1183004756338477E-3</v>
      </c>
      <c r="H522">
        <f t="shared" si="429"/>
        <v>-3.1404743495243665</v>
      </c>
      <c r="J522">
        <f t="shared" si="430"/>
        <v>15</v>
      </c>
      <c r="M522">
        <f t="shared" si="431"/>
        <v>8.2611803167209803E-4</v>
      </c>
      <c r="N522">
        <f t="shared" si="432"/>
        <v>-1.5707963250000001</v>
      </c>
      <c r="O522">
        <f t="shared" si="433"/>
        <v>447.4242294479273</v>
      </c>
      <c r="P522">
        <f t="shared" si="434"/>
        <v>1.5685613096305722</v>
      </c>
      <c r="Q522">
        <f t="shared" si="435"/>
        <v>395.09599965842847</v>
      </c>
      <c r="R522">
        <f t="shared" si="436"/>
        <v>1.5682652936572454</v>
      </c>
      <c r="S522">
        <f t="shared" si="437"/>
        <v>8.359225195706553E-2</v>
      </c>
      <c r="T522">
        <f t="shared" si="438"/>
        <v>-1.4871064150022542</v>
      </c>
      <c r="U522">
        <f t="shared" si="439"/>
        <v>0.10300513531761776</v>
      </c>
      <c r="V522">
        <f t="shared" si="440"/>
        <v>-1.4676081678642436</v>
      </c>
      <c r="X522">
        <f t="shared" ref="X522:X585" si="457">20*LOG(C522*J522*O522*Q522*F522*M522*S522*U522)</f>
        <v>-51.6620034191847</v>
      </c>
      <c r="Y522">
        <f t="shared" si="441"/>
        <v>-173.97842819081686</v>
      </c>
      <c r="Z522">
        <f t="shared" ref="Z522:Z585" si="458">Y522+180</f>
        <v>6.0215718091831434</v>
      </c>
      <c r="AC522">
        <v>1</v>
      </c>
      <c r="AD522">
        <f t="shared" si="442"/>
        <v>447.42311193887997</v>
      </c>
      <c r="AE522">
        <f t="shared" si="443"/>
        <v>-0.64939697587717837</v>
      </c>
      <c r="AF522">
        <f t="shared" si="444"/>
        <v>6.7248932265899994E-2</v>
      </c>
      <c r="AG522">
        <f t="shared" si="421"/>
        <v>69.067682338988959</v>
      </c>
      <c r="AH522">
        <f t="shared" si="422"/>
        <v>-681.83006773232353</v>
      </c>
      <c r="AJ522">
        <f t="shared" si="445"/>
        <v>18000</v>
      </c>
      <c r="AK522">
        <f t="shared" si="446"/>
        <v>214577.31250771196</v>
      </c>
      <c r="AL522">
        <v>1</v>
      </c>
      <c r="AM522">
        <f t="shared" si="447"/>
        <v>395.09473414118401</v>
      </c>
      <c r="AN522">
        <f t="shared" si="423"/>
        <v>543.21527916383968</v>
      </c>
      <c r="AO522">
        <f t="shared" si="424"/>
        <v>-44.18379495434661</v>
      </c>
      <c r="AQ522">
        <f t="shared" si="448"/>
        <v>1.0541405534090326E-3</v>
      </c>
      <c r="AR522">
        <f t="shared" si="449"/>
        <v>-3.2467529044998202</v>
      </c>
      <c r="AT522">
        <f t="shared" si="418"/>
        <v>-2213.660945740347</v>
      </c>
      <c r="AU522">
        <f t="shared" si="419"/>
        <v>-224.96444296611361</v>
      </c>
      <c r="AV522">
        <f t="shared" ref="AV522:AV585" si="459">ATAN2(AT522,AU522)</f>
        <v>-3.0403148365101975</v>
      </c>
      <c r="AW522">
        <f t="shared" ref="AW522:AW585" si="460">AG522-AH522*AO522/_Rfb2+AG522*AN522/_Rfb2+AN522-AO522*AR522+AQ522*AN522</f>
        <v>471.60928853834491</v>
      </c>
      <c r="AX522">
        <f t="shared" ref="AX522:AX585" si="461">AH522+AH522*AN522/_Rfb2+AG522*AO522/_Rfb2+AO522+AO522*AQ522+AN522*AR522</f>
        <v>-2601.2572230710148</v>
      </c>
      <c r="AY522">
        <f t="shared" si="417"/>
        <v>-1.3914439687593614</v>
      </c>
      <c r="BA522">
        <f t="shared" si="450"/>
        <v>0.84165893411218595</v>
      </c>
      <c r="BB522">
        <f t="shared" ref="BB522:BB585" si="462">20*LOG(BA522)</f>
        <v>-1.4972772446145362</v>
      </c>
      <c r="BC522">
        <f t="shared" ref="BC522:BC585" si="463">AV522-AY522</f>
        <v>-1.6488708677508361</v>
      </c>
      <c r="BD522">
        <f t="shared" si="451"/>
        <v>-274.47334179214818</v>
      </c>
      <c r="BF522">
        <f t="shared" si="452"/>
        <v>-55.149063365466731</v>
      </c>
      <c r="BG522">
        <f t="shared" si="453"/>
        <v>-188.88602016362975</v>
      </c>
      <c r="BH522">
        <f t="shared" ref="BH522:BH585" si="464">IF(BG522&gt;180,BG522-180,BG522+180)</f>
        <v>-8.8860201636297518</v>
      </c>
      <c r="BI522">
        <f t="shared" ref="BI522:BI585" si="465">IF(BH522&gt;180,BH522-360,BH522)</f>
        <v>-8.8860201636297518</v>
      </c>
      <c r="BJ522">
        <f t="shared" si="454"/>
        <v>0</v>
      </c>
      <c r="BK522">
        <f t="shared" ref="BK522:BK585" si="466">IF(BJ522&gt;0,BI522,0)</f>
        <v>0</v>
      </c>
      <c r="BM522">
        <f t="shared" ref="BM522:BM585" si="467">20*LOG(J522*F522*C522)</f>
        <v>-53.651786120852194</v>
      </c>
      <c r="BN522">
        <f t="shared" si="455"/>
        <v>-94.412678371481604</v>
      </c>
      <c r="BQ522" s="56">
        <f t="shared" ref="BQ522:BQ585" si="468">20*LOG(BA522*7)</f>
        <v>15.404683555670601</v>
      </c>
    </row>
    <row r="523" spans="1:69" x14ac:dyDescent="0.25">
      <c r="A523">
        <f t="shared" si="420"/>
        <v>1545000</v>
      </c>
      <c r="B523">
        <f t="shared" si="456"/>
        <v>1545</v>
      </c>
      <c r="C523">
        <f t="shared" si="425"/>
        <v>12.852888911563209</v>
      </c>
      <c r="D523">
        <f t="shared" si="426"/>
        <v>1.492914096344683</v>
      </c>
      <c r="F523">
        <f t="shared" si="427"/>
        <v>1.0737479311360356E-5</v>
      </c>
      <c r="G523">
        <f t="shared" si="428"/>
        <v>1.1146813049421522E-3</v>
      </c>
      <c r="H523">
        <f t="shared" si="429"/>
        <v>-3.1404779686950581</v>
      </c>
      <c r="J523">
        <f t="shared" si="430"/>
        <v>15</v>
      </c>
      <c r="M523">
        <f t="shared" si="431"/>
        <v>8.234445105340006E-4</v>
      </c>
      <c r="N523">
        <f t="shared" si="432"/>
        <v>-1.5707963250000001</v>
      </c>
      <c r="O523">
        <f t="shared" si="433"/>
        <v>448.87689827276216</v>
      </c>
      <c r="P523">
        <f t="shared" si="434"/>
        <v>1.5685685426718581</v>
      </c>
      <c r="Q523">
        <f t="shared" si="435"/>
        <v>396.37877067376445</v>
      </c>
      <c r="R523">
        <f t="shared" si="436"/>
        <v>1.5682734846681861</v>
      </c>
      <c r="S523">
        <f t="shared" si="437"/>
        <v>8.332360810560592E-2</v>
      </c>
      <c r="T523">
        <f t="shared" si="438"/>
        <v>-1.4873759993530786</v>
      </c>
      <c r="U523">
        <f t="shared" si="439"/>
        <v>0.10267530525771805</v>
      </c>
      <c r="V523">
        <f t="shared" si="440"/>
        <v>-1.4679397560432492</v>
      </c>
      <c r="X523">
        <f t="shared" si="457"/>
        <v>-51.71799193572064</v>
      </c>
      <c r="Y523">
        <f t="shared" si="441"/>
        <v>-173.99776720676965</v>
      </c>
      <c r="Z523">
        <f t="shared" si="458"/>
        <v>6.0022327932303483</v>
      </c>
      <c r="AC523">
        <v>1</v>
      </c>
      <c r="AD523">
        <f t="shared" si="442"/>
        <v>448.87578438024002</v>
      </c>
      <c r="AE523">
        <f t="shared" si="443"/>
        <v>-0.65362068491449732</v>
      </c>
      <c r="AF523">
        <f t="shared" si="444"/>
        <v>6.7467272955075E-2</v>
      </c>
      <c r="AG523">
        <f t="shared" si="421"/>
        <v>68.626070857123608</v>
      </c>
      <c r="AH523">
        <f t="shared" si="422"/>
        <v>-679.66908143979799</v>
      </c>
      <c r="AJ523">
        <f t="shared" si="445"/>
        <v>18000</v>
      </c>
      <c r="AK523">
        <f t="shared" si="446"/>
        <v>215273.992093776</v>
      </c>
      <c r="AL523">
        <v>1</v>
      </c>
      <c r="AM523">
        <f t="shared" si="447"/>
        <v>396.37750925203204</v>
      </c>
      <c r="AN523">
        <f t="shared" si="423"/>
        <v>543.21455651515873</v>
      </c>
      <c r="AO523">
        <f t="shared" si="424"/>
        <v>-44.040807149795036</v>
      </c>
      <c r="AQ523">
        <f t="shared" si="448"/>
        <v>1.0473286782366462E-3</v>
      </c>
      <c r="AR523">
        <f t="shared" si="449"/>
        <v>-3.2362456157512369</v>
      </c>
      <c r="AT523">
        <f t="shared" si="418"/>
        <v>-2199.5042109191331</v>
      </c>
      <c r="AU523">
        <f t="shared" si="419"/>
        <v>-222.80265785830267</v>
      </c>
      <c r="AV523">
        <f t="shared" si="459"/>
        <v>-3.0406402423770129</v>
      </c>
      <c r="AW523">
        <f t="shared" si="460"/>
        <v>472.07613212322843</v>
      </c>
      <c r="AX523">
        <f t="shared" si="461"/>
        <v>-2592.8833025767881</v>
      </c>
      <c r="AY523">
        <f t="shared" ref="AY523:AY586" si="469">ATAN2(AW523,AX523)</f>
        <v>-1.3907028595959259</v>
      </c>
      <c r="BA523">
        <f t="shared" si="450"/>
        <v>0.83883654990347745</v>
      </c>
      <c r="BB523">
        <f t="shared" si="462"/>
        <v>-1.5264530930902449</v>
      </c>
      <c r="BC523">
        <f t="shared" si="463"/>
        <v>-1.649937382781087</v>
      </c>
      <c r="BD523">
        <f t="shared" si="451"/>
        <v>-274.53444860223863</v>
      </c>
      <c r="BF523">
        <f t="shared" si="452"/>
        <v>-55.206566032487636</v>
      </c>
      <c r="BG523">
        <f t="shared" si="453"/>
        <v>-188.93290507401179</v>
      </c>
      <c r="BH523">
        <f t="shared" si="464"/>
        <v>-8.932905074011785</v>
      </c>
      <c r="BI523">
        <f t="shared" si="465"/>
        <v>-8.932905074011785</v>
      </c>
      <c r="BJ523">
        <f t="shared" si="454"/>
        <v>0</v>
      </c>
      <c r="BK523">
        <f t="shared" si="466"/>
        <v>0</v>
      </c>
      <c r="BM523">
        <f t="shared" si="467"/>
        <v>-53.680112939397389</v>
      </c>
      <c r="BN523">
        <f t="shared" si="455"/>
        <v>-94.398456471773173</v>
      </c>
      <c r="BQ523" s="56">
        <f t="shared" si="468"/>
        <v>15.375507707194894</v>
      </c>
    </row>
    <row r="524" spans="1:69" x14ac:dyDescent="0.25">
      <c r="A524">
        <f t="shared" si="420"/>
        <v>1550000</v>
      </c>
      <c r="B524">
        <f t="shared" si="456"/>
        <v>1550</v>
      </c>
      <c r="C524">
        <f t="shared" si="425"/>
        <v>12.894232633646926</v>
      </c>
      <c r="D524">
        <f t="shared" si="426"/>
        <v>1.4931643195325062</v>
      </c>
      <c r="F524">
        <f t="shared" si="427"/>
        <v>1.0668316284147261E-5</v>
      </c>
      <c r="G524">
        <f t="shared" si="428"/>
        <v>1.1110854844639995E-3</v>
      </c>
      <c r="H524">
        <f t="shared" si="429"/>
        <v>-3.1404815645155364</v>
      </c>
      <c r="J524">
        <f t="shared" si="430"/>
        <v>15</v>
      </c>
      <c r="M524">
        <f t="shared" si="431"/>
        <v>8.2078823791937488E-4</v>
      </c>
      <c r="N524">
        <f t="shared" si="432"/>
        <v>-1.5707963250000001</v>
      </c>
      <c r="O524">
        <f t="shared" si="433"/>
        <v>450.32956712092937</v>
      </c>
      <c r="P524">
        <f t="shared" si="434"/>
        <v>1.5685757290485924</v>
      </c>
      <c r="Q524">
        <f t="shared" si="435"/>
        <v>397.66154171552301</v>
      </c>
      <c r="R524">
        <f t="shared" si="436"/>
        <v>1.56828162283423</v>
      </c>
      <c r="S524">
        <f t="shared" si="437"/>
        <v>8.3056679447972681E-2</v>
      </c>
      <c r="T524">
        <f t="shared" si="438"/>
        <v>-1.4876438564867596</v>
      </c>
      <c r="U524">
        <f t="shared" si="439"/>
        <v>0.10234756959054821</v>
      </c>
      <c r="V524">
        <f t="shared" si="440"/>
        <v>-1.4682692274245897</v>
      </c>
      <c r="X524">
        <f t="shared" si="457"/>
        <v>-51.773801600546889</v>
      </c>
      <c r="Y524">
        <f t="shared" si="441"/>
        <v>-174.01698287079969</v>
      </c>
      <c r="Z524">
        <f t="shared" si="458"/>
        <v>5.9830171292003058</v>
      </c>
      <c r="AC524">
        <v>1</v>
      </c>
      <c r="AD524">
        <f t="shared" si="442"/>
        <v>450.32845682160001</v>
      </c>
      <c r="AE524">
        <f t="shared" si="443"/>
        <v>-0.65785808506701005</v>
      </c>
      <c r="AF524">
        <f t="shared" si="444"/>
        <v>6.7685613644249992E-2</v>
      </c>
      <c r="AG524">
        <f t="shared" si="421"/>
        <v>68.188666448804852</v>
      </c>
      <c r="AH524">
        <f t="shared" si="422"/>
        <v>-677.52160413750767</v>
      </c>
      <c r="AJ524">
        <f t="shared" si="445"/>
        <v>18000</v>
      </c>
      <c r="AK524">
        <f t="shared" si="446"/>
        <v>215970.67167983999</v>
      </c>
      <c r="AL524">
        <v>1</v>
      </c>
      <c r="AM524">
        <f t="shared" si="447"/>
        <v>397.66028436288002</v>
      </c>
      <c r="AN524">
        <f t="shared" si="423"/>
        <v>543.21384084850717</v>
      </c>
      <c r="AO524">
        <f t="shared" si="424"/>
        <v>-43.898741829650547</v>
      </c>
      <c r="AQ524">
        <f t="shared" si="448"/>
        <v>1.0405826180455132E-3</v>
      </c>
      <c r="AR524">
        <f t="shared" si="449"/>
        <v>-3.2258061159410909</v>
      </c>
      <c r="AT524">
        <f t="shared" si="418"/>
        <v>-2185.4823783679367</v>
      </c>
      <c r="AU524">
        <f t="shared" si="419"/>
        <v>-220.66843447303756</v>
      </c>
      <c r="AV524">
        <f t="shared" si="459"/>
        <v>-3.0409635713318179</v>
      </c>
      <c r="AW524">
        <f t="shared" si="460"/>
        <v>472.53840367023224</v>
      </c>
      <c r="AX524">
        <f t="shared" si="461"/>
        <v>-2584.5629862296128</v>
      </c>
      <c r="AY524">
        <f t="shared" si="469"/>
        <v>-1.3899625310246655</v>
      </c>
      <c r="BA524">
        <f t="shared" si="450"/>
        <v>0.83603189269885081</v>
      </c>
      <c r="BB524">
        <f t="shared" si="462"/>
        <v>-1.5555430981351748</v>
      </c>
      <c r="BC524">
        <f t="shared" si="463"/>
        <v>-1.6510010403071524</v>
      </c>
      <c r="BD524">
        <f t="shared" si="451"/>
        <v>-274.59539168939915</v>
      </c>
      <c r="BF524">
        <f t="shared" si="452"/>
        <v>-55.263890234834179</v>
      </c>
      <c r="BG524">
        <f t="shared" si="453"/>
        <v>-188.97971745389486</v>
      </c>
      <c r="BH524">
        <f t="shared" si="464"/>
        <v>-8.9797174538948639</v>
      </c>
      <c r="BI524">
        <f t="shared" si="465"/>
        <v>-8.9797174538948639</v>
      </c>
      <c r="BJ524">
        <f t="shared" si="454"/>
        <v>0</v>
      </c>
      <c r="BK524">
        <f t="shared" si="466"/>
        <v>0</v>
      </c>
      <c r="BM524">
        <f t="shared" si="467"/>
        <v>-53.708347136699004</v>
      </c>
      <c r="BN524">
        <f t="shared" si="455"/>
        <v>-94.384325764495728</v>
      </c>
      <c r="BQ524" s="56">
        <f t="shared" si="468"/>
        <v>15.346417702149962</v>
      </c>
    </row>
    <row r="525" spans="1:69" x14ac:dyDescent="0.25">
      <c r="A525">
        <f t="shared" si="420"/>
        <v>1555000</v>
      </c>
      <c r="B525">
        <f t="shared" si="456"/>
        <v>1555</v>
      </c>
      <c r="C525">
        <f t="shared" si="425"/>
        <v>12.935577157899065</v>
      </c>
      <c r="D525">
        <f t="shared" si="426"/>
        <v>1.4934129432155858</v>
      </c>
      <c r="F525">
        <f t="shared" si="427"/>
        <v>1.0599819360144218E-5</v>
      </c>
      <c r="G525">
        <f t="shared" si="428"/>
        <v>1.1075127889468889E-3</v>
      </c>
      <c r="H525">
        <f t="shared" si="429"/>
        <v>-3.1404851372110532</v>
      </c>
      <c r="J525">
        <f t="shared" si="430"/>
        <v>15</v>
      </c>
      <c r="M525">
        <f t="shared" si="431"/>
        <v>8.1814904744374989E-4</v>
      </c>
      <c r="N525">
        <f t="shared" si="432"/>
        <v>-1.5707963250000001</v>
      </c>
      <c r="O525">
        <f t="shared" si="433"/>
        <v>451.78223599220382</v>
      </c>
      <c r="P525">
        <f t="shared" si="434"/>
        <v>1.5685828692109125</v>
      </c>
      <c r="Q525">
        <f t="shared" si="435"/>
        <v>398.94431278344916</v>
      </c>
      <c r="R525">
        <f t="shared" si="436"/>
        <v>1.5682897086651311</v>
      </c>
      <c r="S525">
        <f t="shared" si="437"/>
        <v>8.2791449667205225E-2</v>
      </c>
      <c r="T525">
        <f t="shared" si="438"/>
        <v>-1.4879100029115477</v>
      </c>
      <c r="U525">
        <f t="shared" si="439"/>
        <v>0.10202190853670264</v>
      </c>
      <c r="V525">
        <f t="shared" si="440"/>
        <v>-1.4685966021427899</v>
      </c>
      <c r="X525">
        <f t="shared" si="457"/>
        <v>-51.829433546274039</v>
      </c>
      <c r="Y525">
        <f t="shared" si="441"/>
        <v>-174.03607635486318</v>
      </c>
      <c r="Z525">
        <f t="shared" si="458"/>
        <v>5.9639236451368163</v>
      </c>
      <c r="AC525">
        <v>1</v>
      </c>
      <c r="AD525">
        <f t="shared" si="442"/>
        <v>451.78112926296001</v>
      </c>
      <c r="AE525">
        <f t="shared" si="443"/>
        <v>-0.66210917633471689</v>
      </c>
      <c r="AF525">
        <f t="shared" si="444"/>
        <v>6.7903954333424998E-2</v>
      </c>
      <c r="AG525">
        <f t="shared" si="421"/>
        <v>67.755416032397264</v>
      </c>
      <c r="AH525">
        <f t="shared" si="422"/>
        <v>-675.38751095754367</v>
      </c>
      <c r="AJ525">
        <f t="shared" si="445"/>
        <v>18000</v>
      </c>
      <c r="AK525">
        <f t="shared" si="446"/>
        <v>216667.35126590397</v>
      </c>
      <c r="AL525">
        <v>1</v>
      </c>
      <c r="AM525">
        <f t="shared" si="447"/>
        <v>398.943059473728</v>
      </c>
      <c r="AN525">
        <f t="shared" si="423"/>
        <v>543.21313207422975</v>
      </c>
      <c r="AO525">
        <f t="shared" si="424"/>
        <v>-43.75759009557445</v>
      </c>
      <c r="AQ525">
        <f t="shared" si="448"/>
        <v>1.0339015277032364E-3</v>
      </c>
      <c r="AR525">
        <f t="shared" si="449"/>
        <v>-3.215433751157065</v>
      </c>
      <c r="AT525">
        <f t="shared" si="418"/>
        <v>-2171.593745414702</v>
      </c>
      <c r="AU525">
        <f t="shared" si="419"/>
        <v>-218.56133571362938</v>
      </c>
      <c r="AV525">
        <f t="shared" si="459"/>
        <v>-3.0412848431243917</v>
      </c>
      <c r="AW525">
        <f t="shared" si="460"/>
        <v>472.99616285895621</v>
      </c>
      <c r="AX525">
        <f t="shared" si="461"/>
        <v>-2576.295762238643</v>
      </c>
      <c r="AY525">
        <f t="shared" si="469"/>
        <v>-1.3892229774300358</v>
      </c>
      <c r="BA525">
        <f t="shared" si="450"/>
        <v>0.83324479394619511</v>
      </c>
      <c r="BB525">
        <f t="shared" si="462"/>
        <v>-1.5845478219955857</v>
      </c>
      <c r="BC525">
        <f t="shared" si="463"/>
        <v>-1.652061865694356</v>
      </c>
      <c r="BD525">
        <f t="shared" si="451"/>
        <v>-274.65617250695573</v>
      </c>
      <c r="BF525">
        <f t="shared" si="452"/>
        <v>-55.321037141808546</v>
      </c>
      <c r="BG525">
        <f t="shared" si="453"/>
        <v>-189.0264578840825</v>
      </c>
      <c r="BH525">
        <f t="shared" si="464"/>
        <v>-9.0264578840825038</v>
      </c>
      <c r="BI525">
        <f t="shared" si="465"/>
        <v>-9.0264578840825038</v>
      </c>
      <c r="BJ525">
        <f t="shared" si="454"/>
        <v>0</v>
      </c>
      <c r="BK525">
        <f t="shared" si="466"/>
        <v>0</v>
      </c>
      <c r="BM525">
        <f t="shared" si="467"/>
        <v>-53.736489319812947</v>
      </c>
      <c r="BN525">
        <f t="shared" si="455"/>
        <v>-94.370285377126834</v>
      </c>
      <c r="BQ525" s="56">
        <f t="shared" si="468"/>
        <v>15.31741297828955</v>
      </c>
    </row>
    <row r="526" spans="1:69" x14ac:dyDescent="0.25">
      <c r="A526">
        <f t="shared" si="420"/>
        <v>1560000</v>
      </c>
      <c r="B526">
        <f t="shared" si="456"/>
        <v>1560</v>
      </c>
      <c r="C526">
        <f t="shared" si="425"/>
        <v>12.97692247665249</v>
      </c>
      <c r="D526">
        <f t="shared" si="426"/>
        <v>1.4936599826514163</v>
      </c>
      <c r="F526">
        <f t="shared" si="427"/>
        <v>1.053198001312441E-5</v>
      </c>
      <c r="G526">
        <f t="shared" si="428"/>
        <v>1.1039629960263211E-3</v>
      </c>
      <c r="H526">
        <f t="shared" si="429"/>
        <v>-3.1404886870039741</v>
      </c>
      <c r="J526">
        <f t="shared" si="430"/>
        <v>15</v>
      </c>
      <c r="M526">
        <f t="shared" si="431"/>
        <v>8.1552677485578914E-4</v>
      </c>
      <c r="N526">
        <f t="shared" si="432"/>
        <v>-1.5707963250000001</v>
      </c>
      <c r="O526">
        <f t="shared" si="433"/>
        <v>453.23490488636332</v>
      </c>
      <c r="P526">
        <f t="shared" si="434"/>
        <v>1.568589963603185</v>
      </c>
      <c r="Q526">
        <f t="shared" si="435"/>
        <v>400.22708387729136</v>
      </c>
      <c r="R526">
        <f t="shared" si="436"/>
        <v>1.5682977426641074</v>
      </c>
      <c r="S526">
        <f t="shared" si="437"/>
        <v>8.2527902651930787E-2</v>
      </c>
      <c r="T526">
        <f t="shared" si="438"/>
        <v>-1.4881744549264704</v>
      </c>
      <c r="U526">
        <f t="shared" si="439"/>
        <v>0.10169830256370517</v>
      </c>
      <c r="V526">
        <f t="shared" si="440"/>
        <v>-1.4689219000787244</v>
      </c>
      <c r="X526">
        <f t="shared" si="457"/>
        <v>-51.884888894848366</v>
      </c>
      <c r="Y526">
        <f t="shared" si="441"/>
        <v>-174.05504881617378</v>
      </c>
      <c r="Z526">
        <f t="shared" si="458"/>
        <v>5.9449511838262197</v>
      </c>
      <c r="AC526">
        <v>1</v>
      </c>
      <c r="AD526">
        <f t="shared" si="442"/>
        <v>453.23380170432</v>
      </c>
      <c r="AE526">
        <f t="shared" si="443"/>
        <v>-0.6663739587176174</v>
      </c>
      <c r="AF526">
        <f t="shared" si="444"/>
        <v>6.8122295022600005E-2</v>
      </c>
      <c r="AG526">
        <f t="shared" si="421"/>
        <v>67.326267357838148</v>
      </c>
      <c r="AH526">
        <f t="shared" si="422"/>
        <v>-673.26667854785978</v>
      </c>
      <c r="AJ526">
        <f t="shared" si="445"/>
        <v>18000</v>
      </c>
      <c r="AK526">
        <f t="shared" si="446"/>
        <v>217364.03085196801</v>
      </c>
      <c r="AL526">
        <v>1</v>
      </c>
      <c r="AM526">
        <f t="shared" si="447"/>
        <v>400.22583458457598</v>
      </c>
      <c r="AN526">
        <f t="shared" si="423"/>
        <v>543.21243010410569</v>
      </c>
      <c r="AO526">
        <f t="shared" si="424"/>
        <v>-43.617343163305755</v>
      </c>
      <c r="AQ526">
        <f t="shared" si="448"/>
        <v>1.0272845755994642E-3</v>
      </c>
      <c r="AR526">
        <f t="shared" si="449"/>
        <v>-3.2051278758703283</v>
      </c>
      <c r="AT526">
        <f t="shared" si="418"/>
        <v>-2157.8366360723835</v>
      </c>
      <c r="AU526">
        <f t="shared" si="419"/>
        <v>-216.48093276104291</v>
      </c>
      <c r="AV526">
        <f t="shared" si="459"/>
        <v>-3.0416040772557951</v>
      </c>
      <c r="AW526">
        <f t="shared" si="460"/>
        <v>473.44946839586913</v>
      </c>
      <c r="AX526">
        <f t="shared" si="461"/>
        <v>-2568.0811252919452</v>
      </c>
      <c r="AY526">
        <f t="shared" si="469"/>
        <v>-1.3884841932781777</v>
      </c>
      <c r="BA526">
        <f t="shared" si="450"/>
        <v>0.83047508722283325</v>
      </c>
      <c r="BB526">
        <f t="shared" si="462"/>
        <v>-1.6134678216011236</v>
      </c>
      <c r="BC526">
        <f t="shared" si="463"/>
        <v>-1.6531198839776173</v>
      </c>
      <c r="BD526">
        <f t="shared" si="451"/>
        <v>-274.71679248930354</v>
      </c>
      <c r="BF526">
        <f t="shared" si="452"/>
        <v>-55.378007911417512</v>
      </c>
      <c r="BG526">
        <f t="shared" si="453"/>
        <v>-189.07312693752053</v>
      </c>
      <c r="BH526">
        <f t="shared" si="464"/>
        <v>-9.0731269375205272</v>
      </c>
      <c r="BI526">
        <f t="shared" si="465"/>
        <v>-9.0731269375205272</v>
      </c>
      <c r="BJ526">
        <f t="shared" si="454"/>
        <v>0</v>
      </c>
      <c r="BK526">
        <f t="shared" si="466"/>
        <v>0</v>
      </c>
      <c r="BM526">
        <f t="shared" si="467"/>
        <v>-53.764540089816386</v>
      </c>
      <c r="BN526">
        <f t="shared" si="455"/>
        <v>-94.356334448217012</v>
      </c>
      <c r="BQ526" s="56">
        <f t="shared" si="468"/>
        <v>15.288492978684012</v>
      </c>
    </row>
    <row r="527" spans="1:69" x14ac:dyDescent="0.25">
      <c r="A527">
        <f t="shared" si="420"/>
        <v>1565000</v>
      </c>
      <c r="B527">
        <f t="shared" si="456"/>
        <v>1565</v>
      </c>
      <c r="C527">
        <f t="shared" si="425"/>
        <v>13.018268582337319</v>
      </c>
      <c r="D527">
        <f t="shared" si="426"/>
        <v>1.4939054529044382</v>
      </c>
      <c r="F527">
        <f t="shared" si="427"/>
        <v>1.0464789852847515E-5</v>
      </c>
      <c r="G527">
        <f t="shared" si="428"/>
        <v>1.1004358861796603E-3</v>
      </c>
      <c r="H527">
        <f t="shared" si="429"/>
        <v>-3.1404922141138205</v>
      </c>
      <c r="J527">
        <f t="shared" si="430"/>
        <v>15</v>
      </c>
      <c r="M527">
        <f t="shared" si="431"/>
        <v>8.129212580032148E-4</v>
      </c>
      <c r="N527">
        <f t="shared" si="432"/>
        <v>-1.5707963250000001</v>
      </c>
      <c r="O527">
        <f t="shared" si="433"/>
        <v>454.68757380318868</v>
      </c>
      <c r="P527">
        <f t="shared" si="434"/>
        <v>1.5685970126640973</v>
      </c>
      <c r="Q527">
        <f t="shared" si="435"/>
        <v>401.50985499680127</v>
      </c>
      <c r="R527">
        <f t="shared" si="436"/>
        <v>1.5683057253279464</v>
      </c>
      <c r="S527">
        <f t="shared" si="437"/>
        <v>8.226602249314828E-2</v>
      </c>
      <c r="T527">
        <f t="shared" si="438"/>
        <v>-1.4884372286246266</v>
      </c>
      <c r="U527">
        <f t="shared" si="439"/>
        <v>0.10137673238218925</v>
      </c>
      <c r="V527">
        <f t="shared" si="440"/>
        <v>-1.4692451408635849</v>
      </c>
      <c r="X527">
        <f t="shared" si="457"/>
        <v>-51.940168757684617</v>
      </c>
      <c r="Y527">
        <f t="shared" si="441"/>
        <v>-174.07390139743259</v>
      </c>
      <c r="Z527">
        <f t="shared" si="458"/>
        <v>5.9260986025674072</v>
      </c>
      <c r="AC527">
        <v>1</v>
      </c>
      <c r="AD527">
        <f t="shared" si="442"/>
        <v>454.68647414568005</v>
      </c>
      <c r="AE527">
        <f t="shared" si="443"/>
        <v>-0.67065243221571191</v>
      </c>
      <c r="AF527">
        <f t="shared" si="444"/>
        <v>6.8340635711774997E-2</v>
      </c>
      <c r="AG527">
        <f t="shared" si="421"/>
        <v>66.901168991109245</v>
      </c>
      <c r="AH527">
        <f t="shared" si="422"/>
        <v>-671.15898504963559</v>
      </c>
      <c r="AJ527">
        <f t="shared" si="445"/>
        <v>18000</v>
      </c>
      <c r="AK527">
        <f t="shared" si="446"/>
        <v>218060.71043803199</v>
      </c>
      <c r="AL527">
        <v>1</v>
      </c>
      <c r="AM527">
        <f t="shared" si="447"/>
        <v>401.50860969542401</v>
      </c>
      <c r="AN527">
        <f t="shared" si="423"/>
        <v>543.2117348513201</v>
      </c>
      <c r="AO527">
        <f t="shared" si="424"/>
        <v>-43.477992360838869</v>
      </c>
      <c r="AQ527">
        <f t="shared" si="448"/>
        <v>1.0207309433870977E-3</v>
      </c>
      <c r="AR527">
        <f t="shared" si="449"/>
        <v>-3.1948878528016156</v>
      </c>
      <c r="AT527">
        <f t="shared" si="418"/>
        <v>-2144.2094005404037</v>
      </c>
      <c r="AU527">
        <f t="shared" si="419"/>
        <v>-214.4268048918955</v>
      </c>
      <c r="AV527">
        <f t="shared" si="459"/>
        <v>-3.0419212929822597</v>
      </c>
      <c r="AW527">
        <f t="shared" si="460"/>
        <v>473.89837803333006</v>
      </c>
      <c r="AX527">
        <f t="shared" si="461"/>
        <v>-2559.9185764545205</v>
      </c>
      <c r="AY527">
        <f t="shared" si="469"/>
        <v>-1.3877461731155167</v>
      </c>
      <c r="BA527">
        <f t="shared" si="450"/>
        <v>0.82772260820211829</v>
      </c>
      <c r="BB527">
        <f t="shared" si="462"/>
        <v>-1.6423036486306797</v>
      </c>
      <c r="BC527">
        <f t="shared" si="463"/>
        <v>-1.6541751198667429</v>
      </c>
      <c r="BD527">
        <f t="shared" si="451"/>
        <v>-274.7772530522102</v>
      </c>
      <c r="BF527">
        <f t="shared" si="452"/>
        <v>-55.434803690516901</v>
      </c>
      <c r="BG527">
        <f t="shared" si="453"/>
        <v>-189.11972517942533</v>
      </c>
      <c r="BH527">
        <f t="shared" si="464"/>
        <v>-9.1197251794253305</v>
      </c>
      <c r="BI527">
        <f t="shared" si="465"/>
        <v>-9.1197251794253305</v>
      </c>
      <c r="BJ527">
        <f t="shared" si="454"/>
        <v>0</v>
      </c>
      <c r="BK527">
        <f t="shared" si="466"/>
        <v>0</v>
      </c>
      <c r="BM527">
        <f t="shared" si="467"/>
        <v>-53.792500041886228</v>
      </c>
      <c r="BN527">
        <f t="shared" si="455"/>
        <v>-94.342472127215089</v>
      </c>
      <c r="BQ527" s="56">
        <f t="shared" si="468"/>
        <v>15.259657151654459</v>
      </c>
    </row>
    <row r="528" spans="1:69" x14ac:dyDescent="0.25">
      <c r="A528">
        <f t="shared" si="420"/>
        <v>1570000</v>
      </c>
      <c r="B528">
        <f t="shared" si="456"/>
        <v>1570</v>
      </c>
      <c r="C528">
        <f t="shared" si="425"/>
        <v>13.059615467479397</v>
      </c>
      <c r="D528">
        <f t="shared" si="426"/>
        <v>1.4941493688490783</v>
      </c>
      <c r="F528">
        <f t="shared" si="427"/>
        <v>1.039824062246532E-5</v>
      </c>
      <c r="G528">
        <f t="shared" si="428"/>
        <v>1.0969312426808791E-3</v>
      </c>
      <c r="H528">
        <f t="shared" si="429"/>
        <v>-3.1404957187573195</v>
      </c>
      <c r="J528">
        <f t="shared" si="430"/>
        <v>15</v>
      </c>
      <c r="M528">
        <f t="shared" si="431"/>
        <v>8.1033233679938285E-4</v>
      </c>
      <c r="N528">
        <f t="shared" si="432"/>
        <v>-1.5707963250000001</v>
      </c>
      <c r="O528">
        <f t="shared" si="433"/>
        <v>456.1402427424631</v>
      </c>
      <c r="P528">
        <f t="shared" si="434"/>
        <v>1.568604016826749</v>
      </c>
      <c r="Q528">
        <f t="shared" si="435"/>
        <v>402.79262614173354</v>
      </c>
      <c r="R528">
        <f t="shared" si="436"/>
        <v>1.568313657147107</v>
      </c>
      <c r="S528">
        <f t="shared" si="437"/>
        <v>8.2005793481071995E-2</v>
      </c>
      <c r="T528">
        <f t="shared" si="438"/>
        <v>-1.4886983398964229</v>
      </c>
      <c r="U528">
        <f t="shared" si="439"/>
        <v>0.10105717894214819</v>
      </c>
      <c r="V528">
        <f t="shared" si="440"/>
        <v>-1.4695663438827744</v>
      </c>
      <c r="X528">
        <f t="shared" si="457"/>
        <v>-51.995274235796586</v>
      </c>
      <c r="Y528">
        <f t="shared" si="441"/>
        <v>-174.09263522705427</v>
      </c>
      <c r="Z528">
        <f t="shared" si="458"/>
        <v>5.9073647729457264</v>
      </c>
      <c r="AC528">
        <v>1</v>
      </c>
      <c r="AD528">
        <f t="shared" si="442"/>
        <v>456.13914658704005</v>
      </c>
      <c r="AE528">
        <f t="shared" si="443"/>
        <v>-0.67494459682900032</v>
      </c>
      <c r="AF528">
        <f t="shared" si="444"/>
        <v>6.8558976400950003E-2</v>
      </c>
      <c r="AG528">
        <f t="shared" si="421"/>
        <v>66.480070299045522</v>
      </c>
      <c r="AH528">
        <f t="shared" si="422"/>
        <v>-669.06431007504466</v>
      </c>
      <c r="AJ528">
        <f t="shared" si="445"/>
        <v>18000</v>
      </c>
      <c r="AK528">
        <f t="shared" si="446"/>
        <v>218757.39002409601</v>
      </c>
      <c r="AL528">
        <v>1</v>
      </c>
      <c r="AM528">
        <f t="shared" si="447"/>
        <v>402.79138480627205</v>
      </c>
      <c r="AN528">
        <f t="shared" si="423"/>
        <v>543.21104623043959</v>
      </c>
      <c r="AO528">
        <f t="shared" si="424"/>
        <v>-43.339529126636208</v>
      </c>
      <c r="AQ528">
        <f t="shared" si="448"/>
        <v>1.0142398257292561E-3</v>
      </c>
      <c r="AR528">
        <f t="shared" si="449"/>
        <v>-3.1847130527898644</v>
      </c>
      <c r="AT528">
        <f t="shared" si="418"/>
        <v>-2130.7104147169252</v>
      </c>
      <c r="AU528">
        <f t="shared" si="419"/>
        <v>-212.39853930101023</v>
      </c>
      <c r="AV528">
        <f t="shared" si="459"/>
        <v>-3.042236509319006</v>
      </c>
      <c r="AW528">
        <f t="shared" si="460"/>
        <v>474.34294858818248</v>
      </c>
      <c r="AX528">
        <f t="shared" si="461"/>
        <v>-2551.8076230682736</v>
      </c>
      <c r="AY528">
        <f t="shared" si="469"/>
        <v>-1.3870089115673858</v>
      </c>
      <c r="BA528">
        <f t="shared" si="450"/>
        <v>0.82498719462065551</v>
      </c>
      <c r="BB528">
        <f t="shared" si="462"/>
        <v>-1.6710558495772272</v>
      </c>
      <c r="BC528">
        <f t="shared" si="463"/>
        <v>-1.6552275977516202</v>
      </c>
      <c r="BD528">
        <f t="shared" si="451"/>
        <v>-274.83755559311345</v>
      </c>
      <c r="BF528">
        <f t="shared" si="452"/>
        <v>-55.491425614953741</v>
      </c>
      <c r="BG528">
        <f t="shared" si="453"/>
        <v>-189.16625316741013</v>
      </c>
      <c r="BH528">
        <f t="shared" si="464"/>
        <v>-9.1662531674101331</v>
      </c>
      <c r="BI528">
        <f t="shared" si="465"/>
        <v>-9.1662531674101331</v>
      </c>
      <c r="BJ528">
        <f t="shared" si="454"/>
        <v>0</v>
      </c>
      <c r="BK528">
        <f t="shared" si="466"/>
        <v>0</v>
      </c>
      <c r="BM528">
        <f t="shared" si="467"/>
        <v>-53.820369765376519</v>
      </c>
      <c r="BN528">
        <f t="shared" si="455"/>
        <v>-94.328697574296712</v>
      </c>
      <c r="BQ528" s="56">
        <f t="shared" si="468"/>
        <v>15.23090495070791</v>
      </c>
    </row>
    <row r="529" spans="1:69" x14ac:dyDescent="0.25">
      <c r="A529">
        <f t="shared" si="420"/>
        <v>1575000</v>
      </c>
      <c r="B529">
        <f t="shared" si="456"/>
        <v>1575</v>
      </c>
      <c r="C529">
        <f t="shared" si="425"/>
        <v>13.100963124698778</v>
      </c>
      <c r="D529">
        <f t="shared" si="426"/>
        <v>1.4943917451727287</v>
      </c>
      <c r="F529">
        <f t="shared" si="427"/>
        <v>1.0332324195984904E-5</v>
      </c>
      <c r="G529">
        <f t="shared" si="428"/>
        <v>1.0934488515561638E-3</v>
      </c>
      <c r="H529">
        <f t="shared" si="429"/>
        <v>-3.1404992011484438</v>
      </c>
      <c r="J529">
        <f t="shared" si="430"/>
        <v>15</v>
      </c>
      <c r="M529">
        <f t="shared" si="431"/>
        <v>8.0775985319049592E-4</v>
      </c>
      <c r="N529">
        <f t="shared" si="432"/>
        <v>-1.5707963250000001</v>
      </c>
      <c r="O529">
        <f t="shared" si="433"/>
        <v>457.59291170397296</v>
      </c>
      <c r="P529">
        <f t="shared" si="434"/>
        <v>1.5686109765187397</v>
      </c>
      <c r="Q529">
        <f t="shared" si="435"/>
        <v>404.07539731184613</v>
      </c>
      <c r="R529">
        <f t="shared" si="436"/>
        <v>1.5683215386058207</v>
      </c>
      <c r="S529">
        <f t="shared" si="437"/>
        <v>8.1747200102033971E-2</v>
      </c>
      <c r="T529">
        <f t="shared" si="438"/>
        <v>-1.4889578044327467</v>
      </c>
      <c r="U529">
        <f t="shared" si="439"/>
        <v>0.1007396234292543</v>
      </c>
      <c r="V529">
        <f t="shared" si="440"/>
        <v>-1.4698855282797276</v>
      </c>
      <c r="X529">
        <f t="shared" si="457"/>
        <v>-52.050206419925821</v>
      </c>
      <c r="Y529">
        <f t="shared" si="441"/>
        <v>-174.11125141938857</v>
      </c>
      <c r="Z529">
        <f t="shared" si="458"/>
        <v>5.8887485806114341</v>
      </c>
      <c r="AC529">
        <v>1</v>
      </c>
      <c r="AD529">
        <f t="shared" si="442"/>
        <v>457.59181902840004</v>
      </c>
      <c r="AE529">
        <f t="shared" si="443"/>
        <v>-0.67925045255748262</v>
      </c>
      <c r="AF529">
        <f t="shared" si="444"/>
        <v>6.8777317090124995E-2</v>
      </c>
      <c r="AG529">
        <f t="shared" si="421"/>
        <v>66.062921434470809</v>
      </c>
      <c r="AH529">
        <f t="shared" si="422"/>
        <v>-666.98253468540975</v>
      </c>
      <c r="AJ529">
        <f t="shared" si="445"/>
        <v>18000</v>
      </c>
      <c r="AK529">
        <f t="shared" si="446"/>
        <v>219454.06961015999</v>
      </c>
      <c r="AL529">
        <v>1</v>
      </c>
      <c r="AM529">
        <f t="shared" si="447"/>
        <v>404.07415991712003</v>
      </c>
      <c r="AN529">
        <f t="shared" si="423"/>
        <v>543.21036415738411</v>
      </c>
      <c r="AO529">
        <f t="shared" si="424"/>
        <v>-43.20194500787477</v>
      </c>
      <c r="AQ529">
        <f t="shared" si="448"/>
        <v>1.007810430051859E-3</v>
      </c>
      <c r="AR529">
        <f t="shared" si="449"/>
        <v>-3.1746028546633553</v>
      </c>
      <c r="AT529">
        <f t="shared" si="418"/>
        <v>-2117.338079721641</v>
      </c>
      <c r="AU529">
        <f t="shared" si="419"/>
        <v>-210.39573092839038</v>
      </c>
      <c r="AV529">
        <f t="shared" si="459"/>
        <v>-3.0425497450439853</v>
      </c>
      <c r="AW529">
        <f t="shared" si="460"/>
        <v>474.78323595991884</v>
      </c>
      <c r="AX529">
        <f t="shared" si="461"/>
        <v>-2543.7477786538266</v>
      </c>
      <c r="AY529">
        <f t="shared" si="469"/>
        <v>-1.3862724033366809</v>
      </c>
      <c r="BA529">
        <f t="shared" si="450"/>
        <v>0.82226868624614013</v>
      </c>
      <c r="BB529">
        <f t="shared" si="462"/>
        <v>-1.69972496581162</v>
      </c>
      <c r="BC529">
        <f t="shared" si="463"/>
        <v>-1.6562773417073045</v>
      </c>
      <c r="BD529">
        <f t="shared" si="451"/>
        <v>-274.89770149141225</v>
      </c>
      <c r="BF529">
        <f t="shared" si="452"/>
        <v>-55.547874809706101</v>
      </c>
      <c r="BG529">
        <f t="shared" si="453"/>
        <v>-189.2127114516083</v>
      </c>
      <c r="BH529">
        <f t="shared" si="464"/>
        <v>-9.2127114516082997</v>
      </c>
      <c r="BI529">
        <f t="shared" si="465"/>
        <v>-9.2127114516082997</v>
      </c>
      <c r="BJ529">
        <f t="shared" si="454"/>
        <v>0</v>
      </c>
      <c r="BK529">
        <f t="shared" si="466"/>
        <v>0</v>
      </c>
      <c r="BM529">
        <f t="shared" si="467"/>
        <v>-53.84814984389449</v>
      </c>
      <c r="BN529">
        <f t="shared" si="455"/>
        <v>-94.315009960196051</v>
      </c>
      <c r="BQ529" s="56">
        <f t="shared" si="468"/>
        <v>15.202235834473516</v>
      </c>
    </row>
    <row r="530" spans="1:69" x14ac:dyDescent="0.25">
      <c r="A530">
        <f t="shared" si="420"/>
        <v>1580000</v>
      </c>
      <c r="B530">
        <f t="shared" si="456"/>
        <v>1580</v>
      </c>
      <c r="C530">
        <f t="shared" si="425"/>
        <v>13.14231154670825</v>
      </c>
      <c r="D530">
        <f t="shared" si="426"/>
        <v>1.494632596378672</v>
      </c>
      <c r="F530">
        <f t="shared" si="427"/>
        <v>1.0267032575787933E-5</v>
      </c>
      <c r="G530">
        <f t="shared" si="428"/>
        <v>1.0899885015403675E-3</v>
      </c>
      <c r="H530">
        <f t="shared" si="429"/>
        <v>-3.1405026614984597</v>
      </c>
      <c r="J530">
        <f t="shared" si="430"/>
        <v>15</v>
      </c>
      <c r="M530">
        <f t="shared" si="431"/>
        <v>8.0520365112343728E-4</v>
      </c>
      <c r="N530">
        <f t="shared" si="432"/>
        <v>-1.5707963250000001</v>
      </c>
      <c r="O530">
        <f t="shared" si="433"/>
        <v>459.04558068750703</v>
      </c>
      <c r="P530">
        <f t="shared" si="434"/>
        <v>1.5686178921622567</v>
      </c>
      <c r="Q530">
        <f t="shared" si="435"/>
        <v>405.35816850689997</v>
      </c>
      <c r="R530">
        <f t="shared" si="436"/>
        <v>1.5683293701821888</v>
      </c>
      <c r="S530">
        <f t="shared" si="437"/>
        <v>8.1490227035444021E-2</v>
      </c>
      <c r="T530">
        <f t="shared" si="438"/>
        <v>-1.4892156377280805</v>
      </c>
      <c r="U530">
        <f t="shared" si="439"/>
        <v>0.10042404726124539</v>
      </c>
      <c r="V530">
        <f t="shared" si="440"/>
        <v>-1.4702027129596626</v>
      </c>
      <c r="X530">
        <f t="shared" si="457"/>
        <v>-52.104966390668267</v>
      </c>
      <c r="Y530">
        <f t="shared" si="441"/>
        <v>-174.12975107493818</v>
      </c>
      <c r="Z530">
        <f t="shared" si="458"/>
        <v>5.8702489250618157</v>
      </c>
      <c r="AC530">
        <v>1</v>
      </c>
      <c r="AD530">
        <f t="shared" si="442"/>
        <v>459.04449146975998</v>
      </c>
      <c r="AE530">
        <f t="shared" si="443"/>
        <v>-0.68356999940115892</v>
      </c>
      <c r="AF530">
        <f t="shared" si="444"/>
        <v>6.8995657779300001E-2</v>
      </c>
      <c r="AG530">
        <f t="shared" si="421"/>
        <v>65.64967332165368</v>
      </c>
      <c r="AH530">
        <f t="shared" si="422"/>
        <v>-664.91354136974098</v>
      </c>
      <c r="AJ530">
        <f t="shared" si="445"/>
        <v>18000</v>
      </c>
      <c r="AK530">
        <f t="shared" si="446"/>
        <v>220150.74919622397</v>
      </c>
      <c r="AL530">
        <v>1</v>
      </c>
      <c r="AM530">
        <f t="shared" si="447"/>
        <v>405.35693502796806</v>
      </c>
      <c r="AN530">
        <f t="shared" si="423"/>
        <v>543.2096885494019</v>
      </c>
      <c r="AO530">
        <f t="shared" si="424"/>
        <v>-43.065231658726034</v>
      </c>
      <c r="AQ530">
        <f t="shared" si="448"/>
        <v>1.0014419763016767E-3</v>
      </c>
      <c r="AR530">
        <f t="shared" si="449"/>
        <v>-3.1645566451132985</v>
      </c>
      <c r="AT530">
        <f t="shared" si="418"/>
        <v>-2104.0908214288352</v>
      </c>
      <c r="AU530">
        <f t="shared" si="419"/>
        <v>-208.41798229049544</v>
      </c>
      <c r="AV530">
        <f t="shared" si="459"/>
        <v>-3.0428610187015606</v>
      </c>
      <c r="AW530">
        <f t="shared" si="460"/>
        <v>475.21929514843964</v>
      </c>
      <c r="AX530">
        <f t="shared" si="461"/>
        <v>-2535.738562814181</v>
      </c>
      <c r="AY530">
        <f t="shared" si="469"/>
        <v>-1.3855366432025404</v>
      </c>
      <c r="BA530">
        <f t="shared" si="450"/>
        <v>0.81956692484578475</v>
      </c>
      <c r="BB530">
        <f t="shared" si="462"/>
        <v>-1.7283115336455031</v>
      </c>
      <c r="BC530">
        <f t="shared" si="463"/>
        <v>-1.6573243754990201</v>
      </c>
      <c r="BD530">
        <f t="shared" si="451"/>
        <v>-274.95769210875369</v>
      </c>
      <c r="BF530">
        <f t="shared" si="452"/>
        <v>-55.604152389020811</v>
      </c>
      <c r="BG530">
        <f t="shared" si="453"/>
        <v>-189.25910057479453</v>
      </c>
      <c r="BH530">
        <f t="shared" si="464"/>
        <v>-9.2591005747945303</v>
      </c>
      <c r="BI530">
        <f t="shared" si="465"/>
        <v>-9.2591005747945303</v>
      </c>
      <c r="BJ530">
        <f t="shared" si="454"/>
        <v>0</v>
      </c>
      <c r="BK530">
        <f t="shared" si="466"/>
        <v>0</v>
      </c>
      <c r="BM530">
        <f t="shared" si="467"/>
        <v>-53.875840855375316</v>
      </c>
      <c r="BN530">
        <f t="shared" si="455"/>
        <v>-94.301408466040868</v>
      </c>
      <c r="BQ530" s="56">
        <f t="shared" si="468"/>
        <v>15.173649266639632</v>
      </c>
    </row>
    <row r="531" spans="1:69" x14ac:dyDescent="0.25">
      <c r="A531">
        <f t="shared" si="420"/>
        <v>1585000</v>
      </c>
      <c r="B531">
        <f t="shared" si="456"/>
        <v>1585</v>
      </c>
      <c r="C531">
        <f t="shared" si="425"/>
        <v>13.183660726311894</v>
      </c>
      <c r="D531">
        <f t="shared" si="426"/>
        <v>1.4948719367889514</v>
      </c>
      <c r="F531">
        <f t="shared" si="427"/>
        <v>1.0202357890204624E-5</v>
      </c>
      <c r="G531">
        <f t="shared" si="428"/>
        <v>1.0865499840342805E-3</v>
      </c>
      <c r="H531">
        <f t="shared" si="429"/>
        <v>-3.140506100015966</v>
      </c>
      <c r="J531">
        <f t="shared" si="430"/>
        <v>15</v>
      </c>
      <c r="M531">
        <f t="shared" si="431"/>
        <v>8.0266357651421517E-4</v>
      </c>
      <c r="N531">
        <f t="shared" si="432"/>
        <v>-1.5707963250000001</v>
      </c>
      <c r="O531">
        <f t="shared" si="433"/>
        <v>460.49824969285703</v>
      </c>
      <c r="P531">
        <f t="shared" si="434"/>
        <v>1.5686247641741597</v>
      </c>
      <c r="Q531">
        <f t="shared" si="435"/>
        <v>406.64093972665904</v>
      </c>
      <c r="R531">
        <f t="shared" si="436"/>
        <v>1.5683371523482803</v>
      </c>
      <c r="S531">
        <f t="shared" si="437"/>
        <v>8.12348591508055E-2</v>
      </c>
      <c r="T531">
        <f t="shared" si="438"/>
        <v>-1.4894718550835593</v>
      </c>
      <c r="U531">
        <f t="shared" si="439"/>
        <v>0.10011043208437707</v>
      </c>
      <c r="V531">
        <f t="shared" si="440"/>
        <v>-1.4705179165932607</v>
      </c>
      <c r="X531">
        <f t="shared" si="457"/>
        <v>-52.159555218599053</v>
      </c>
      <c r="Y531">
        <f t="shared" si="441"/>
        <v>-174.14813528057209</v>
      </c>
      <c r="Z531">
        <f t="shared" si="458"/>
        <v>5.8518647194279083</v>
      </c>
      <c r="AC531">
        <v>1</v>
      </c>
      <c r="AD531">
        <f t="shared" si="442"/>
        <v>460.49716391111997</v>
      </c>
      <c r="AE531">
        <f t="shared" si="443"/>
        <v>-0.68790323736002901</v>
      </c>
      <c r="AF531">
        <f t="shared" si="444"/>
        <v>6.9213998468475008E-2</v>
      </c>
      <c r="AG531">
        <f t="shared" si="421"/>
        <v>65.240277642075029</v>
      </c>
      <c r="AH531">
        <f t="shared" si="422"/>
        <v>-662.85721402365004</v>
      </c>
      <c r="AJ531">
        <f t="shared" si="445"/>
        <v>18000</v>
      </c>
      <c r="AK531">
        <f t="shared" si="446"/>
        <v>220847.42878228801</v>
      </c>
      <c r="AL531">
        <v>1</v>
      </c>
      <c r="AM531">
        <f t="shared" si="447"/>
        <v>406.63971013881599</v>
      </c>
      <c r="AN531">
        <f t="shared" si="423"/>
        <v>543.20901932504478</v>
      </c>
      <c r="AO531">
        <f t="shared" si="424"/>
        <v>-42.929380838668386</v>
      </c>
      <c r="AQ531">
        <f t="shared" si="448"/>
        <v>9.9513369670971991E-4</v>
      </c>
      <c r="AR531">
        <f t="shared" si="449"/>
        <v>-3.1545738185698116</v>
      </c>
      <c r="AT531">
        <f t="shared" si="418"/>
        <v>-2090.9670900104684</v>
      </c>
      <c r="AU531">
        <f t="shared" si="419"/>
        <v>-206.4649033156974</v>
      </c>
      <c r="AV531">
        <f t="shared" si="459"/>
        <v>-3.0431703486061092</v>
      </c>
      <c r="AW531">
        <f t="shared" si="460"/>
        <v>475.65118027140943</v>
      </c>
      <c r="AX531">
        <f t="shared" si="461"/>
        <v>-2527.7795011401718</v>
      </c>
      <c r="AY531">
        <f t="shared" si="469"/>
        <v>-1.3848016260190534</v>
      </c>
      <c r="BA531">
        <f t="shared" si="450"/>
        <v>0.81688175415534048</v>
      </c>
      <c r="BB531">
        <f t="shared" si="462"/>
        <v>-1.7568160843931746</v>
      </c>
      <c r="BC531">
        <f t="shared" si="463"/>
        <v>-1.6583687225870558</v>
      </c>
      <c r="BD531">
        <f t="shared" si="451"/>
        <v>-275.0175287893133</v>
      </c>
      <c r="BF531">
        <f t="shared" si="452"/>
        <v>-55.660259456548935</v>
      </c>
      <c r="BG531">
        <f t="shared" si="453"/>
        <v>-189.30542107250366</v>
      </c>
      <c r="BH531">
        <f t="shared" si="464"/>
        <v>-9.3054210725036626</v>
      </c>
      <c r="BI531">
        <f t="shared" si="465"/>
        <v>-9.3054210725036626</v>
      </c>
      <c r="BJ531">
        <f t="shared" si="454"/>
        <v>0</v>
      </c>
      <c r="BK531">
        <f t="shared" si="466"/>
        <v>0</v>
      </c>
      <c r="BM531">
        <f t="shared" si="467"/>
        <v>-53.903443372155763</v>
      </c>
      <c r="BN531">
        <f t="shared" si="455"/>
        <v>-94.287892283190374</v>
      </c>
      <c r="BQ531" s="56">
        <f t="shared" si="468"/>
        <v>15.145144715891963</v>
      </c>
    </row>
    <row r="532" spans="1:69" x14ac:dyDescent="0.25">
      <c r="A532">
        <f t="shared" si="420"/>
        <v>1590000</v>
      </c>
      <c r="B532">
        <f t="shared" si="456"/>
        <v>1590</v>
      </c>
      <c r="C532">
        <f t="shared" si="425"/>
        <v>13.225010656403654</v>
      </c>
      <c r="D532">
        <f t="shared" si="426"/>
        <v>1.4951097805471876</v>
      </c>
      <c r="F532">
        <f t="shared" si="427"/>
        <v>1.0138292391141071E-5</v>
      </c>
      <c r="G532">
        <f t="shared" si="428"/>
        <v>1.0831330930627114E-3</v>
      </c>
      <c r="H532">
        <f t="shared" si="429"/>
        <v>-3.1405095169069375</v>
      </c>
      <c r="J532">
        <f t="shared" si="430"/>
        <v>15</v>
      </c>
      <c r="M532">
        <f t="shared" si="431"/>
        <v>8.0013947721700068E-4</v>
      </c>
      <c r="N532">
        <f t="shared" si="432"/>
        <v>-1.5707963250000001</v>
      </c>
      <c r="O532">
        <f t="shared" si="433"/>
        <v>461.95091871981703</v>
      </c>
      <c r="P532">
        <f t="shared" si="434"/>
        <v>1.5686315929660652</v>
      </c>
      <c r="Q532">
        <f t="shared" si="435"/>
        <v>407.92371097089023</v>
      </c>
      <c r="R532">
        <f t="shared" si="436"/>
        <v>1.5683448855702258</v>
      </c>
      <c r="S532">
        <f t="shared" si="437"/>
        <v>8.0981081504786501E-2</v>
      </c>
      <c r="T532">
        <f t="shared" si="438"/>
        <v>-1.4897264716099694</v>
      </c>
      <c r="U532">
        <f t="shared" si="439"/>
        <v>9.9798759769939696E-2</v>
      </c>
      <c r="V532">
        <f t="shared" si="440"/>
        <v>-1.4708311576202806</v>
      </c>
      <c r="X532">
        <f t="shared" si="457"/>
        <v>-52.213973964395279</v>
      </c>
      <c r="Y532">
        <f t="shared" si="441"/>
        <v>-174.16640510973554</v>
      </c>
      <c r="Z532">
        <f t="shared" si="458"/>
        <v>5.8335948902644645</v>
      </c>
      <c r="AC532">
        <v>1</v>
      </c>
      <c r="AD532">
        <f t="shared" si="442"/>
        <v>461.94983635247996</v>
      </c>
      <c r="AE532">
        <f t="shared" si="443"/>
        <v>-0.69225016643409298</v>
      </c>
      <c r="AF532">
        <f t="shared" si="444"/>
        <v>6.943233915765E-2</v>
      </c>
      <c r="AG532">
        <f t="shared" si="421"/>
        <v>64.83468682049984</v>
      </c>
      <c r="AH532">
        <f t="shared" si="422"/>
        <v>-660.81343792862958</v>
      </c>
      <c r="AJ532">
        <f t="shared" si="445"/>
        <v>18000</v>
      </c>
      <c r="AK532">
        <f t="shared" si="446"/>
        <v>221544.108368352</v>
      </c>
      <c r="AL532">
        <v>1</v>
      </c>
      <c r="AM532">
        <f t="shared" si="447"/>
        <v>407.92248524966396</v>
      </c>
      <c r="AN532">
        <f t="shared" si="423"/>
        <v>543.20835640414202</v>
      </c>
      <c r="AO532">
        <f t="shared" si="424"/>
        <v>-42.794384410831491</v>
      </c>
      <c r="AQ532">
        <f t="shared" si="448"/>
        <v>9.8888483555982401E-4</v>
      </c>
      <c r="AR532">
        <f t="shared" si="449"/>
        <v>-3.1446537770802405</v>
      </c>
      <c r="AT532">
        <f t="shared" si="418"/>
        <v>-2077.9653594890292</v>
      </c>
      <c r="AU532">
        <f t="shared" si="419"/>
        <v>-204.53611118380107</v>
      </c>
      <c r="AV532">
        <f t="shared" si="459"/>
        <v>-3.0434777528455692</v>
      </c>
      <c r="AW532">
        <f t="shared" si="460"/>
        <v>476.07894458122166</v>
      </c>
      <c r="AX532">
        <f t="shared" si="461"/>
        <v>-2519.8701251176644</v>
      </c>
      <c r="AY532">
        <f t="shared" si="469"/>
        <v>-1.3840673467139923</v>
      </c>
      <c r="BA532">
        <f t="shared" si="450"/>
        <v>0.81421301984868399</v>
      </c>
      <c r="BB532">
        <f t="shared" si="462"/>
        <v>-1.7852391444325801</v>
      </c>
      <c r="BC532">
        <f t="shared" si="463"/>
        <v>-1.6594104061315769</v>
      </c>
      <c r="BD532">
        <f t="shared" si="451"/>
        <v>-275.07721286007074</v>
      </c>
      <c r="BF532">
        <f t="shared" si="452"/>
        <v>-55.716197105479139</v>
      </c>
      <c r="BG532">
        <f t="shared" si="453"/>
        <v>-189.35167347314706</v>
      </c>
      <c r="BH532">
        <f t="shared" si="464"/>
        <v>-9.3516734731470592</v>
      </c>
      <c r="BI532">
        <f t="shared" si="465"/>
        <v>-9.3516734731470592</v>
      </c>
      <c r="BJ532">
        <f t="shared" si="454"/>
        <v>0</v>
      </c>
      <c r="BK532">
        <f t="shared" si="466"/>
        <v>0</v>
      </c>
      <c r="BM532">
        <f t="shared" si="467"/>
        <v>-53.930957961046559</v>
      </c>
      <c r="BN532">
        <f t="shared" si="455"/>
        <v>-94.274460613076286</v>
      </c>
      <c r="BQ532" s="56">
        <f t="shared" si="468"/>
        <v>15.116721655852556</v>
      </c>
    </row>
    <row r="533" spans="1:69" x14ac:dyDescent="0.25">
      <c r="A533">
        <f t="shared" si="420"/>
        <v>1595000</v>
      </c>
      <c r="B533">
        <f t="shared" si="456"/>
        <v>1595</v>
      </c>
      <c r="C533">
        <f t="shared" si="425"/>
        <v>13.266361329965935</v>
      </c>
      <c r="D533">
        <f t="shared" si="426"/>
        <v>1.4953461416213436</v>
      </c>
      <c r="F533">
        <f t="shared" si="427"/>
        <v>1.0074828451758523E-5</v>
      </c>
      <c r="G533">
        <f t="shared" si="428"/>
        <v>1.0797376252333585E-3</v>
      </c>
      <c r="H533">
        <f t="shared" si="429"/>
        <v>-3.140512912374767</v>
      </c>
      <c r="J533">
        <f t="shared" si="430"/>
        <v>15</v>
      </c>
      <c r="M533">
        <f t="shared" si="431"/>
        <v>7.9763120299374988E-4</v>
      </c>
      <c r="N533">
        <f t="shared" si="432"/>
        <v>-1.5707963250000001</v>
      </c>
      <c r="O533">
        <f t="shared" si="433"/>
        <v>463.40358776818391</v>
      </c>
      <c r="P533">
        <f t="shared" si="434"/>
        <v>1.5686383789444285</v>
      </c>
      <c r="Q533">
        <f t="shared" si="435"/>
        <v>409.20648223936342</v>
      </c>
      <c r="R533">
        <f t="shared" si="436"/>
        <v>1.5683525703083119</v>
      </c>
      <c r="S533">
        <f t="shared" si="437"/>
        <v>8.0728879338344495E-2</v>
      </c>
      <c r="T533">
        <f t="shared" si="438"/>
        <v>-1.4899795022306934</v>
      </c>
      <c r="U533">
        <f t="shared" si="439"/>
        <v>9.9489012410838351E-2</v>
      </c>
      <c r="V533">
        <f t="shared" si="440"/>
        <v>-1.4711424542531051</v>
      </c>
      <c r="X533">
        <f t="shared" si="457"/>
        <v>-52.268223678957014</v>
      </c>
      <c r="Y533">
        <f t="shared" si="441"/>
        <v>-174.18456162265548</v>
      </c>
      <c r="Z533">
        <f t="shared" si="458"/>
        <v>5.8154383773445204</v>
      </c>
      <c r="AC533">
        <v>1</v>
      </c>
      <c r="AD533">
        <f t="shared" si="442"/>
        <v>463.40250879384001</v>
      </c>
      <c r="AE533">
        <f t="shared" si="443"/>
        <v>-0.69661078662335096</v>
      </c>
      <c r="AF533">
        <f t="shared" si="444"/>
        <v>6.9650679846825006E-2</v>
      </c>
      <c r="AG533">
        <f t="shared" si="421"/>
        <v>64.432854011346166</v>
      </c>
      <c r="AH533">
        <f t="shared" si="422"/>
        <v>-658.7820997316943</v>
      </c>
      <c r="AJ533">
        <f t="shared" si="445"/>
        <v>18000</v>
      </c>
      <c r="AK533">
        <f t="shared" si="446"/>
        <v>222240.78795441598</v>
      </c>
      <c r="AL533">
        <v>1</v>
      </c>
      <c r="AM533">
        <f t="shared" si="447"/>
        <v>409.205260360512</v>
      </c>
      <c r="AN533">
        <f t="shared" si="423"/>
        <v>543.2076997077786</v>
      </c>
      <c r="AO533">
        <f t="shared" si="424"/>
        <v>-42.660234340371609</v>
      </c>
      <c r="AQ533">
        <f t="shared" si="448"/>
        <v>9.8269464896230891E-4</v>
      </c>
      <c r="AR533">
        <f t="shared" si="449"/>
        <v>-3.1347959301897652</v>
      </c>
      <c r="AT533">
        <f t="shared" si="418"/>
        <v>-2065.0841272999287</v>
      </c>
      <c r="AU533">
        <f t="shared" si="419"/>
        <v>-202.63123016951775</v>
      </c>
      <c r="AV533">
        <f t="shared" si="459"/>
        <v>-3.0437832492849135</v>
      </c>
      <c r="AW533">
        <f t="shared" si="460"/>
        <v>476.50264048158721</v>
      </c>
      <c r="AX533">
        <f t="shared" si="461"/>
        <v>-2512.0099720364869</v>
      </c>
      <c r="AY533">
        <f t="shared" si="469"/>
        <v>-1.3833338002875719</v>
      </c>
      <c r="BA533">
        <f t="shared" si="450"/>
        <v>0.81156056950796507</v>
      </c>
      <c r="BB533">
        <f t="shared" si="462"/>
        <v>-1.8135812352653804</v>
      </c>
      <c r="BC533">
        <f t="shared" si="463"/>
        <v>-1.6604494489973416</v>
      </c>
      <c r="BD533">
        <f t="shared" si="451"/>
        <v>-275.13674563108032</v>
      </c>
      <c r="BF533">
        <f t="shared" si="452"/>
        <v>-55.771966418668995</v>
      </c>
      <c r="BG533">
        <f t="shared" si="453"/>
        <v>-189.39785829812709</v>
      </c>
      <c r="BH533">
        <f t="shared" si="464"/>
        <v>-9.3978582981270904</v>
      </c>
      <c r="BI533">
        <f t="shared" si="465"/>
        <v>-9.3978582981270904</v>
      </c>
      <c r="BJ533">
        <f t="shared" si="454"/>
        <v>0</v>
      </c>
      <c r="BK533">
        <f t="shared" si="466"/>
        <v>0</v>
      </c>
      <c r="BM533">
        <f t="shared" si="467"/>
        <v>-53.958385183403621</v>
      </c>
      <c r="BN533">
        <f t="shared" si="455"/>
        <v>-94.261112667046817</v>
      </c>
      <c r="BQ533" s="56">
        <f t="shared" si="468"/>
        <v>15.088379565019757</v>
      </c>
    </row>
    <row r="534" spans="1:69" x14ac:dyDescent="0.25">
      <c r="A534">
        <f t="shared" si="420"/>
        <v>1600000</v>
      </c>
      <c r="B534">
        <f t="shared" si="456"/>
        <v>1600</v>
      </c>
      <c r="C534">
        <f t="shared" si="425"/>
        <v>13.307712740068245</v>
      </c>
      <c r="D534">
        <f t="shared" si="426"/>
        <v>1.495581033806437</v>
      </c>
      <c r="F534">
        <f t="shared" si="427"/>
        <v>1.0011958564203351E-5</v>
      </c>
      <c r="G534">
        <f t="shared" si="428"/>
        <v>1.076363379696446E-3</v>
      </c>
      <c r="H534">
        <f t="shared" si="429"/>
        <v>-3.1405162866203038</v>
      </c>
      <c r="J534">
        <f t="shared" si="430"/>
        <v>15</v>
      </c>
      <c r="M534">
        <f t="shared" si="431"/>
        <v>7.9513860548439431E-4</v>
      </c>
      <c r="N534">
        <f t="shared" si="432"/>
        <v>-1.5707963250000001</v>
      </c>
      <c r="O534">
        <f t="shared" si="433"/>
        <v>464.85625683775686</v>
      </c>
      <c r="P534">
        <f t="shared" si="434"/>
        <v>1.5686451225106239</v>
      </c>
      <c r="Q534">
        <f t="shared" si="435"/>
        <v>410.48925353185132</v>
      </c>
      <c r="R534">
        <f t="shared" si="436"/>
        <v>1.5683602070170708</v>
      </c>
      <c r="S534">
        <f t="shared" si="437"/>
        <v>8.0478238073903891E-2</v>
      </c>
      <c r="T534">
        <f t="shared" si="438"/>
        <v>-1.4902309616845997</v>
      </c>
      <c r="U534">
        <f t="shared" si="439"/>
        <v>9.918117231823477E-2</v>
      </c>
      <c r="V534">
        <f t="shared" si="440"/>
        <v>-1.4714518244802226</v>
      </c>
      <c r="X534">
        <f t="shared" si="457"/>
        <v>-52.322305403526499</v>
      </c>
      <c r="Y534">
        <f t="shared" si="441"/>
        <v>-174.20260586654317</v>
      </c>
      <c r="Z534">
        <f t="shared" si="458"/>
        <v>5.7973941334568337</v>
      </c>
      <c r="AC534">
        <v>1</v>
      </c>
      <c r="AD534">
        <f t="shared" si="442"/>
        <v>464.85518123520001</v>
      </c>
      <c r="AE534">
        <f t="shared" si="443"/>
        <v>-0.70098509792780272</v>
      </c>
      <c r="AF534">
        <f t="shared" si="444"/>
        <v>6.9869020535999998E-2</v>
      </c>
      <c r="AG534">
        <f t="shared" si="421"/>
        <v>64.034733085343632</v>
      </c>
      <c r="AH534">
        <f t="shared" si="422"/>
        <v>-656.76308742537549</v>
      </c>
      <c r="AJ534">
        <f t="shared" si="445"/>
        <v>18000</v>
      </c>
      <c r="AK534">
        <f t="shared" si="446"/>
        <v>222937.46754047999</v>
      </c>
      <c r="AL534">
        <v>1</v>
      </c>
      <c r="AM534">
        <f t="shared" si="447"/>
        <v>410.48803547135998</v>
      </c>
      <c r="AN534">
        <f t="shared" si="423"/>
        <v>543.20704915827048</v>
      </c>
      <c r="AO534">
        <f t="shared" si="424"/>
        <v>-42.526922692877619</v>
      </c>
      <c r="AQ534">
        <f t="shared" si="448"/>
        <v>9.7656240463257771E-4</v>
      </c>
      <c r="AR534">
        <f t="shared" si="449"/>
        <v>-3.1249996948242487</v>
      </c>
      <c r="AT534">
        <f t="shared" ref="AT534:AT597" si="470">-AR534*AH534+AG534*AQ534</f>
        <v>-2052.321913863208</v>
      </c>
      <c r="AU534">
        <f t="shared" ref="AU534:AU597" si="471">AQ534*AH534+AG534*AR534</f>
        <v>-200.74989148978111</v>
      </c>
      <c r="AV534">
        <f t="shared" si="459"/>
        <v>-3.0440868555695646</v>
      </c>
      <c r="AW534">
        <f t="shared" si="460"/>
        <v>476.92231954374824</v>
      </c>
      <c r="AX534">
        <f t="shared" si="461"/>
        <v>-2504.1985849010302</v>
      </c>
      <c r="AY534">
        <f t="shared" si="469"/>
        <v>-1.3826009818112321</v>
      </c>
      <c r="BA534">
        <f t="shared" si="450"/>
        <v>0.80892425259430811</v>
      </c>
      <c r="BB534">
        <f t="shared" si="462"/>
        <v>-1.8418428735760537</v>
      </c>
      <c r="BC534">
        <f t="shared" si="463"/>
        <v>-1.6614858737583325</v>
      </c>
      <c r="BD534">
        <f t="shared" si="451"/>
        <v>-275.1961283957358</v>
      </c>
      <c r="BF534">
        <f t="shared" si="452"/>
        <v>-55.827568468774174</v>
      </c>
      <c r="BG534">
        <f t="shared" si="453"/>
        <v>-189.44397606194929</v>
      </c>
      <c r="BH534">
        <f t="shared" si="464"/>
        <v>-9.4439760619492858</v>
      </c>
      <c r="BI534">
        <f t="shared" si="465"/>
        <v>-9.4439760619492858</v>
      </c>
      <c r="BJ534">
        <f t="shared" si="454"/>
        <v>0</v>
      </c>
      <c r="BK534">
        <f t="shared" si="466"/>
        <v>0</v>
      </c>
      <c r="BM534">
        <f t="shared" si="467"/>
        <v>-53.985725595198126</v>
      </c>
      <c r="BN534">
        <f t="shared" si="455"/>
        <v>-94.247847666213502</v>
      </c>
      <c r="BQ534" s="56">
        <f t="shared" si="468"/>
        <v>15.060117926709083</v>
      </c>
    </row>
    <row r="535" spans="1:69" x14ac:dyDescent="0.25">
      <c r="A535">
        <f t="shared" si="420"/>
        <v>1605000</v>
      </c>
      <c r="B535">
        <f t="shared" si="456"/>
        <v>1605</v>
      </c>
      <c r="C535">
        <f t="shared" si="425"/>
        <v>13.349064879865844</v>
      </c>
      <c r="D535">
        <f t="shared" si="426"/>
        <v>1.4958144707272043</v>
      </c>
      <c r="F535">
        <f t="shared" si="427"/>
        <v>9.949675337386466E-6</v>
      </c>
      <c r="G535">
        <f t="shared" si="428"/>
        <v>1.0730101581051209E-3</v>
      </c>
      <c r="H535">
        <f t="shared" si="429"/>
        <v>-3.1405196398418953</v>
      </c>
      <c r="J535">
        <f t="shared" si="430"/>
        <v>15</v>
      </c>
      <c r="M535">
        <f t="shared" si="431"/>
        <v>7.9266153817758947E-4</v>
      </c>
      <c r="N535">
        <f t="shared" si="432"/>
        <v>-1.5707963250000001</v>
      </c>
      <c r="O535">
        <f t="shared" si="433"/>
        <v>466.30892592833783</v>
      </c>
      <c r="P535">
        <f t="shared" si="434"/>
        <v>1.5686518240610243</v>
      </c>
      <c r="Q535">
        <f t="shared" si="435"/>
        <v>411.7720248481296</v>
      </c>
      <c r="R535">
        <f t="shared" si="436"/>
        <v>1.568367796145371</v>
      </c>
      <c r="S535">
        <f t="shared" si="437"/>
        <v>8.0229143312584919E-2</v>
      </c>
      <c r="T535">
        <f t="shared" si="438"/>
        <v>-1.4904808645288787</v>
      </c>
      <c r="U535">
        <f t="shared" si="439"/>
        <v>9.8875222018249775E-2</v>
      </c>
      <c r="V535">
        <f t="shared" si="440"/>
        <v>-1.4717592860696469</v>
      </c>
      <c r="X535">
        <f t="shared" si="457"/>
        <v>-52.376220169805364</v>
      </c>
      <c r="Y535">
        <f t="shared" si="441"/>
        <v>-174.2205388757921</v>
      </c>
      <c r="Z535">
        <f t="shared" si="458"/>
        <v>5.7794611242078986</v>
      </c>
      <c r="AC535">
        <v>1</v>
      </c>
      <c r="AD535">
        <f t="shared" si="442"/>
        <v>466.30785367656</v>
      </c>
      <c r="AE535">
        <f t="shared" si="443"/>
        <v>-0.70537310034744849</v>
      </c>
      <c r="AF535">
        <f t="shared" si="444"/>
        <v>7.0087361225175004E-2</v>
      </c>
      <c r="AG535">
        <f t="shared" si="421"/>
        <v>63.64027861647466</v>
      </c>
      <c r="AH535">
        <f t="shared" si="422"/>
        <v>-654.75629032805807</v>
      </c>
      <c r="AJ535">
        <f t="shared" si="445"/>
        <v>18000</v>
      </c>
      <c r="AK535">
        <f t="shared" si="446"/>
        <v>223634.14712654398</v>
      </c>
      <c r="AL535">
        <v>1</v>
      </c>
      <c r="AM535">
        <f t="shared" si="447"/>
        <v>411.77081058220801</v>
      </c>
      <c r="AN535">
        <f t="shared" si="423"/>
        <v>543.20640467914086</v>
      </c>
      <c r="AO535">
        <f t="shared" si="424"/>
        <v>-42.394441632806554</v>
      </c>
      <c r="AQ535">
        <f t="shared" si="448"/>
        <v>9.7048738167453911E-4</v>
      </c>
      <c r="AR535">
        <f t="shared" si="449"/>
        <v>-3.1152644951752704</v>
      </c>
      <c r="AT535">
        <f t="shared" si="470"/>
        <v>-2039.677262164307</v>
      </c>
      <c r="AU535">
        <f t="shared" si="471"/>
        <v>-198.8917331548009</v>
      </c>
      <c r="AV535">
        <f t="shared" si="459"/>
        <v>-3.0443885891287428</v>
      </c>
      <c r="AW535">
        <f t="shared" si="460"/>
        <v>477.33803252233304</v>
      </c>
      <c r="AX535">
        <f t="shared" si="461"/>
        <v>-2496.4355123424866</v>
      </c>
      <c r="AY535">
        <f t="shared" si="469"/>
        <v>-1.3818688864264468</v>
      </c>
      <c r="BA535">
        <f t="shared" si="450"/>
        <v>0.80630392041904064</v>
      </c>
      <c r="BB535">
        <f t="shared" si="462"/>
        <v>-1.8700245712902106</v>
      </c>
      <c r="BC535">
        <f t="shared" si="463"/>
        <v>-1.662519702702296</v>
      </c>
      <c r="BD535">
        <f t="shared" si="451"/>
        <v>-275.25536243103102</v>
      </c>
      <c r="BF535">
        <f t="shared" si="452"/>
        <v>-55.883004318375669</v>
      </c>
      <c r="BG535">
        <f t="shared" si="453"/>
        <v>-189.49002727233196</v>
      </c>
      <c r="BH535">
        <f t="shared" si="464"/>
        <v>-9.4900272723319574</v>
      </c>
      <c r="BI535">
        <f t="shared" si="465"/>
        <v>-9.4900272723319574</v>
      </c>
      <c r="BJ535">
        <f t="shared" si="454"/>
        <v>0</v>
      </c>
      <c r="BK535">
        <f t="shared" si="466"/>
        <v>0</v>
      </c>
      <c r="BM535">
        <f t="shared" si="467"/>
        <v>-54.012979747085467</v>
      </c>
      <c r="BN535">
        <f t="shared" si="455"/>
        <v>-94.234664841300912</v>
      </c>
      <c r="BQ535" s="56">
        <f t="shared" si="468"/>
        <v>15.031936228994926</v>
      </c>
    </row>
    <row r="536" spans="1:69" x14ac:dyDescent="0.25">
      <c r="A536">
        <f t="shared" si="420"/>
        <v>1610000</v>
      </c>
      <c r="B536">
        <f t="shared" si="456"/>
        <v>1610</v>
      </c>
      <c r="C536">
        <f t="shared" si="425"/>
        <v>13.390417742598419</v>
      </c>
      <c r="D536">
        <f t="shared" si="426"/>
        <v>1.4960464658407153</v>
      </c>
      <c r="F536">
        <f t="shared" si="427"/>
        <v>9.8879714948108995E-6</v>
      </c>
      <c r="G536">
        <f t="shared" si="428"/>
        <v>1.069677764576585E-3</v>
      </c>
      <c r="H536">
        <f t="shared" si="429"/>
        <v>-3.1405229722354235</v>
      </c>
      <c r="J536">
        <f t="shared" si="430"/>
        <v>15</v>
      </c>
      <c r="M536">
        <f t="shared" si="431"/>
        <v>7.9019985638200687E-4</v>
      </c>
      <c r="N536">
        <f t="shared" si="432"/>
        <v>-1.5707963250000001</v>
      </c>
      <c r="O536">
        <f t="shared" si="433"/>
        <v>467.76159503973099</v>
      </c>
      <c r="P536">
        <f t="shared" si="434"/>
        <v>1.568658483987079</v>
      </c>
      <c r="Q536">
        <f t="shared" si="435"/>
        <v>413.05479618797648</v>
      </c>
      <c r="R536">
        <f t="shared" si="436"/>
        <v>1.5683753381365058</v>
      </c>
      <c r="S536">
        <f t="shared" si="437"/>
        <v>7.9981580831483101E-2</v>
      </c>
      <c r="T536">
        <f t="shared" si="438"/>
        <v>-1.4907292251418287</v>
      </c>
      <c r="U536">
        <f t="shared" si="439"/>
        <v>9.8571144248724929E-2</v>
      </c>
      <c r="V536">
        <f t="shared" si="440"/>
        <v>-1.472064856572272</v>
      </c>
      <c r="X536">
        <f t="shared" si="457"/>
        <v>-52.429969000070322</v>
      </c>
      <c r="Y536">
        <f t="shared" si="441"/>
        <v>-174.23836167217297</v>
      </c>
      <c r="Z536">
        <f t="shared" si="458"/>
        <v>5.7616383278270291</v>
      </c>
      <c r="AC536">
        <v>1</v>
      </c>
      <c r="AD536">
        <f t="shared" si="442"/>
        <v>467.76052611791999</v>
      </c>
      <c r="AE536">
        <f t="shared" si="443"/>
        <v>-0.70977479388228815</v>
      </c>
      <c r="AF536">
        <f t="shared" si="444"/>
        <v>7.0305701914349997E-2</v>
      </c>
      <c r="AG536">
        <f t="shared" si="421"/>
        <v>63.24944586919176</v>
      </c>
      <c r="AH536">
        <f t="shared" si="422"/>
        <v>-652.76159906466137</v>
      </c>
      <c r="AJ536">
        <f t="shared" si="445"/>
        <v>18000</v>
      </c>
      <c r="AK536">
        <f t="shared" si="446"/>
        <v>224330.82671260796</v>
      </c>
      <c r="AL536">
        <v>1</v>
      </c>
      <c r="AM536">
        <f t="shared" si="447"/>
        <v>413.05358569305599</v>
      </c>
      <c r="AN536">
        <f t="shared" si="423"/>
        <v>543.20576619510007</v>
      </c>
      <c r="AO536">
        <f t="shared" si="424"/>
        <v>-42.262783421948569</v>
      </c>
      <c r="AQ536">
        <f t="shared" si="448"/>
        <v>9.6446887036872903E-4</v>
      </c>
      <c r="AR536">
        <f t="shared" si="449"/>
        <v>-3.1055897625873072</v>
      </c>
      <c r="AT536">
        <f t="shared" si="470"/>
        <v>-2027.1487373437237</v>
      </c>
      <c r="AU536">
        <f t="shared" si="471"/>
        <v>-197.05639982275196</v>
      </c>
      <c r="AV536">
        <f t="shared" si="459"/>
        <v>-3.0446884671787591</v>
      </c>
      <c r="AW536">
        <f t="shared" si="460"/>
        <v>477.74982937085957</v>
      </c>
      <c r="AX536">
        <f t="shared" si="461"/>
        <v>-2488.7203085327178</v>
      </c>
      <c r="AY536">
        <f t="shared" si="469"/>
        <v>-1.3811375093435536</v>
      </c>
      <c r="BA536">
        <f t="shared" si="450"/>
        <v>0.80369942611545508</v>
      </c>
      <c r="BB536">
        <f t="shared" si="462"/>
        <v>-1.8981268356319503</v>
      </c>
      <c r="BC536">
        <f t="shared" si="463"/>
        <v>-1.6635509578352055</v>
      </c>
      <c r="BD536">
        <f t="shared" si="451"/>
        <v>-275.31444899781548</v>
      </c>
      <c r="BF536">
        <f t="shared" si="452"/>
        <v>-55.93827502010506</v>
      </c>
      <c r="BG536">
        <f t="shared" si="453"/>
        <v>-189.5360124303144</v>
      </c>
      <c r="BH536">
        <f t="shared" si="464"/>
        <v>-9.5360124303144005</v>
      </c>
      <c r="BI536">
        <f t="shared" si="465"/>
        <v>-9.5360124303144005</v>
      </c>
      <c r="BJ536">
        <f t="shared" si="454"/>
        <v>0</v>
      </c>
      <c r="BK536">
        <f t="shared" si="466"/>
        <v>0</v>
      </c>
      <c r="BM536">
        <f t="shared" si="467"/>
        <v>-54.040148184473111</v>
      </c>
      <c r="BN536">
        <f t="shared" si="455"/>
        <v>-94.221563432498954</v>
      </c>
      <c r="BQ536" s="56">
        <f t="shared" si="468"/>
        <v>15.003833964653186</v>
      </c>
    </row>
    <row r="537" spans="1:69" x14ac:dyDescent="0.25">
      <c r="A537">
        <f t="shared" si="420"/>
        <v>1615000</v>
      </c>
      <c r="B537">
        <f t="shared" si="456"/>
        <v>1615</v>
      </c>
      <c r="C537">
        <f t="shared" si="425"/>
        <v>13.431771321588794</v>
      </c>
      <c r="D537">
        <f t="shared" si="426"/>
        <v>1.4962770324389381</v>
      </c>
      <c r="F537">
        <f t="shared" si="427"/>
        <v>9.8268398724464333E-6</v>
      </c>
      <c r="G537">
        <f t="shared" si="428"/>
        <v>1.0663660056539487E-3</v>
      </c>
      <c r="H537">
        <f t="shared" si="429"/>
        <v>-3.1405262839943462</v>
      </c>
      <c r="J537">
        <f t="shared" si="430"/>
        <v>15</v>
      </c>
      <c r="M537">
        <f t="shared" si="431"/>
        <v>7.8775341719816163E-4</v>
      </c>
      <c r="N537">
        <f t="shared" si="432"/>
        <v>-1.5707963250000001</v>
      </c>
      <c r="O537">
        <f t="shared" si="433"/>
        <v>469.21426417174308</v>
      </c>
      <c r="P537">
        <f t="shared" si="434"/>
        <v>1.5686651026753891</v>
      </c>
      <c r="Q537">
        <f t="shared" si="435"/>
        <v>414.33756755117315</v>
      </c>
      <c r="R537">
        <f t="shared" si="436"/>
        <v>1.5683828334282779</v>
      </c>
      <c r="S537">
        <f t="shared" si="437"/>
        <v>7.9735536580998093E-2</v>
      </c>
      <c r="T537">
        <f t="shared" si="438"/>
        <v>-1.4909760577255882</v>
      </c>
      <c r="U537">
        <f t="shared" si="439"/>
        <v>9.8268921956042282E-2</v>
      </c>
      <c r="V537">
        <f t="shared" si="440"/>
        <v>-1.472368553325168</v>
      </c>
      <c r="X537">
        <f t="shared" si="457"/>
        <v>-52.483552907286978</v>
      </c>
      <c r="Y537">
        <f t="shared" si="441"/>
        <v>-174.25607526502503</v>
      </c>
      <c r="Z537">
        <f t="shared" si="458"/>
        <v>5.7439247349749678</v>
      </c>
      <c r="AC537">
        <v>1</v>
      </c>
      <c r="AD537">
        <f t="shared" si="442"/>
        <v>469.21319855928004</v>
      </c>
      <c r="AE537">
        <f t="shared" si="443"/>
        <v>-0.71419017853232158</v>
      </c>
      <c r="AF537">
        <f t="shared" si="444"/>
        <v>7.0524042603524989E-2</v>
      </c>
      <c r="AG537">
        <f t="shared" si="421"/>
        <v>62.86219078590414</v>
      </c>
      <c r="AH537">
        <f t="shared" si="422"/>
        <v>-650.77890554764861</v>
      </c>
      <c r="AJ537">
        <f t="shared" si="445"/>
        <v>18000</v>
      </c>
      <c r="AK537">
        <f t="shared" si="446"/>
        <v>225027.506298672</v>
      </c>
      <c r="AL537">
        <v>1</v>
      </c>
      <c r="AM537">
        <f t="shared" si="447"/>
        <v>414.33636080390403</v>
      </c>
      <c r="AN537">
        <f t="shared" si="423"/>
        <v>543.20513363202087</v>
      </c>
      <c r="AO537">
        <f t="shared" si="424"/>
        <v>-42.131940417920212</v>
      </c>
      <c r="AQ537">
        <f t="shared" si="448"/>
        <v>9.5850617196501723E-4</v>
      </c>
      <c r="AR537">
        <f t="shared" si="449"/>
        <v>-3.0959749354470056</v>
      </c>
      <c r="AT537">
        <f t="shared" si="470"/>
        <v>-2014.7349262953028</v>
      </c>
      <c r="AU537">
        <f t="shared" si="471"/>
        <v>-195.24354265799897</v>
      </c>
      <c r="AV537">
        <f t="shared" si="459"/>
        <v>-3.0449865067262438</v>
      </c>
      <c r="AW537">
        <f t="shared" si="460"/>
        <v>478.15775925689405</v>
      </c>
      <c r="AX537">
        <f t="shared" si="461"/>
        <v>-2481.0525330996702</v>
      </c>
      <c r="AY537">
        <f t="shared" si="469"/>
        <v>-1.3804068458406094</v>
      </c>
      <c r="BA537">
        <f t="shared" si="450"/>
        <v>0.80111062461108207</v>
      </c>
      <c r="BB537">
        <f t="shared" si="462"/>
        <v>-1.9261501691803853</v>
      </c>
      <c r="BC537">
        <f t="shared" si="463"/>
        <v>-1.6645796608856345</v>
      </c>
      <c r="BD537">
        <f t="shared" si="451"/>
        <v>-275.37338934104463</v>
      </c>
      <c r="BF537">
        <f t="shared" si="452"/>
        <v>-55.993381616767735</v>
      </c>
      <c r="BG537">
        <f t="shared" si="453"/>
        <v>-189.58193203036288</v>
      </c>
      <c r="BH537">
        <f t="shared" si="464"/>
        <v>-9.5819320303628785</v>
      </c>
      <c r="BI537">
        <f t="shared" si="465"/>
        <v>-9.5819320303628785</v>
      </c>
      <c r="BJ537">
        <f t="shared" si="454"/>
        <v>0</v>
      </c>
      <c r="BK537">
        <f t="shared" si="466"/>
        <v>0</v>
      </c>
      <c r="BM537">
        <f t="shared" si="467"/>
        <v>-54.067231447587353</v>
      </c>
      <c r="BN537">
        <f t="shared" si="455"/>
        <v>-94.20854268931825</v>
      </c>
      <c r="BQ537" s="56">
        <f t="shared" si="468"/>
        <v>14.975810631104752</v>
      </c>
    </row>
    <row r="538" spans="1:69" x14ac:dyDescent="0.25">
      <c r="A538">
        <f t="shared" ref="A538:A591" si="472">A537+5000</f>
        <v>1620000</v>
      </c>
      <c r="B538">
        <f t="shared" si="456"/>
        <v>1620</v>
      </c>
      <c r="C538">
        <f t="shared" si="425"/>
        <v>13.473125610241661</v>
      </c>
      <c r="D538">
        <f t="shared" si="426"/>
        <v>1.4965061836512605</v>
      </c>
      <c r="F538">
        <f t="shared" si="427"/>
        <v>9.7662734166500462E-6</v>
      </c>
      <c r="G538">
        <f t="shared" si="428"/>
        <v>1.0630746902687929E-3</v>
      </c>
      <c r="H538">
        <f t="shared" si="429"/>
        <v>-3.1405295753097313</v>
      </c>
      <c r="J538">
        <f t="shared" si="430"/>
        <v>15</v>
      </c>
      <c r="M538">
        <f t="shared" si="431"/>
        <v>7.8532207949075987E-4</v>
      </c>
      <c r="N538">
        <f t="shared" si="432"/>
        <v>-1.5707963250000001</v>
      </c>
      <c r="O538">
        <f t="shared" si="433"/>
        <v>470.66693332418316</v>
      </c>
      <c r="P538">
        <f t="shared" si="434"/>
        <v>1.5686716805077838</v>
      </c>
      <c r="Q538">
        <f t="shared" si="435"/>
        <v>415.62033893750333</v>
      </c>
      <c r="R538">
        <f t="shared" si="436"/>
        <v>1.5683902824530855</v>
      </c>
      <c r="S538">
        <f t="shared" si="437"/>
        <v>7.9490996682210782E-2</v>
      </c>
      <c r="T538">
        <f t="shared" si="438"/>
        <v>-1.4912213763088202</v>
      </c>
      <c r="U538">
        <f t="shared" si="439"/>
        <v>9.7968538292001014E-2</v>
      </c>
      <c r="V538">
        <f t="shared" si="440"/>
        <v>-1.4726703934548169</v>
      </c>
      <c r="X538">
        <f t="shared" si="457"/>
        <v>-52.536972895221936</v>
      </c>
      <c r="Y538">
        <f t="shared" si="441"/>
        <v>-174.27368065144373</v>
      </c>
      <c r="Z538">
        <f t="shared" si="458"/>
        <v>5.7263193485562738</v>
      </c>
      <c r="AC538">
        <v>1</v>
      </c>
      <c r="AD538">
        <f t="shared" si="442"/>
        <v>470.66587100064004</v>
      </c>
      <c r="AE538">
        <f t="shared" si="443"/>
        <v>-0.71861925429754903</v>
      </c>
      <c r="AF538">
        <f t="shared" si="444"/>
        <v>7.0742383292699995E-2</v>
      </c>
      <c r="AG538">
        <f t="shared" si="421"/>
        <v>62.47846997472697</v>
      </c>
      <c r="AH538">
        <f t="shared" si="422"/>
        <v>-648.80810295836329</v>
      </c>
      <c r="AJ538">
        <f t="shared" si="445"/>
        <v>18000</v>
      </c>
      <c r="AK538">
        <f t="shared" si="446"/>
        <v>225724.18588473598</v>
      </c>
      <c r="AL538">
        <v>1</v>
      </c>
      <c r="AM538">
        <f t="shared" si="447"/>
        <v>415.61913591475206</v>
      </c>
      <c r="AN538">
        <f t="shared" si="423"/>
        <v>543.2045069169186</v>
      </c>
      <c r="AO538">
        <f t="shared" si="424"/>
        <v>-42.001905072685723</v>
      </c>
      <c r="AQ538">
        <f t="shared" si="448"/>
        <v>9.5259859847978605E-4</v>
      </c>
      <c r="AR538">
        <f t="shared" si="449"/>
        <v>-3.0864194590745067</v>
      </c>
      <c r="AT538">
        <f t="shared" si="470"/>
        <v>-2002.4344372729752</v>
      </c>
      <c r="AU538">
        <f t="shared" si="471"/>
        <v>-193.45281919276007</v>
      </c>
      <c r="AV538">
        <f t="shared" si="459"/>
        <v>-3.0452827245713179</v>
      </c>
      <c r="AW538">
        <f t="shared" si="460"/>
        <v>478.56187057687703</v>
      </c>
      <c r="AX538">
        <f t="shared" si="461"/>
        <v>-2473.4317510443539</v>
      </c>
      <c r="AY538">
        <f t="shared" si="469"/>
        <v>-1.3796768912622666</v>
      </c>
      <c r="BA538">
        <f t="shared" si="450"/>
        <v>0.79853737260046365</v>
      </c>
      <c r="BB538">
        <f t="shared" si="462"/>
        <v>-1.9540950699253588</v>
      </c>
      <c r="BC538">
        <f t="shared" si="463"/>
        <v>-1.6656058333090513</v>
      </c>
      <c r="BD538">
        <f t="shared" si="451"/>
        <v>-275.43218469002636</v>
      </c>
      <c r="BF538">
        <f t="shared" si="452"/>
        <v>-56.048325141464368</v>
      </c>
      <c r="BG538">
        <f t="shared" si="453"/>
        <v>-189.62778656047399</v>
      </c>
      <c r="BH538">
        <f t="shared" si="464"/>
        <v>-9.6277865604739929</v>
      </c>
      <c r="BI538">
        <f t="shared" si="465"/>
        <v>-9.6277865604739929</v>
      </c>
      <c r="BJ538">
        <f t="shared" si="454"/>
        <v>0</v>
      </c>
      <c r="BK538">
        <f t="shared" si="466"/>
        <v>0</v>
      </c>
      <c r="BM538">
        <f t="shared" si="467"/>
        <v>-54.094230071539009</v>
      </c>
      <c r="BN538">
        <f t="shared" si="455"/>
        <v>-94.195601870447703</v>
      </c>
      <c r="BQ538" s="56">
        <f t="shared" si="468"/>
        <v>14.947865730359776</v>
      </c>
    </row>
    <row r="539" spans="1:69" x14ac:dyDescent="0.25">
      <c r="A539">
        <f t="shared" si="472"/>
        <v>1625000</v>
      </c>
      <c r="B539">
        <f t="shared" si="456"/>
        <v>1625</v>
      </c>
      <c r="C539">
        <f t="shared" si="425"/>
        <v>13.514480602042315</v>
      </c>
      <c r="D539">
        <f t="shared" si="426"/>
        <v>1.4967339324469626</v>
      </c>
      <c r="F539">
        <f t="shared" si="427"/>
        <v>9.7062651821310909E-6</v>
      </c>
      <c r="G539">
        <f t="shared" si="428"/>
        <v>1.0598036297044212E-3</v>
      </c>
      <c r="H539">
        <f t="shared" si="429"/>
        <v>-3.1405328463702959</v>
      </c>
      <c r="J539">
        <f t="shared" si="430"/>
        <v>15</v>
      </c>
      <c r="M539">
        <f t="shared" si="431"/>
        <v>7.8290570386155755E-4</v>
      </c>
      <c r="N539">
        <f t="shared" si="432"/>
        <v>-1.5707963250000001</v>
      </c>
      <c r="O539">
        <f t="shared" si="433"/>
        <v>472.11960249686268</v>
      </c>
      <c r="P539">
        <f t="shared" si="434"/>
        <v>1.5686782178613918</v>
      </c>
      <c r="Q539">
        <f t="shared" si="435"/>
        <v>416.90311034675352</v>
      </c>
      <c r="R539">
        <f t="shared" si="436"/>
        <v>1.5683976856380049</v>
      </c>
      <c r="S539">
        <f t="shared" si="437"/>
        <v>7.9247947424307824E-2</v>
      </c>
      <c r="T539">
        <f t="shared" si="438"/>
        <v>-1.491465194749348</v>
      </c>
      <c r="U539">
        <f t="shared" si="439"/>
        <v>9.7669976610749693E-2</v>
      </c>
      <c r="V539">
        <f t="shared" si="440"/>
        <v>-1.4729703938802896</v>
      </c>
      <c r="X539">
        <f t="shared" si="457"/>
        <v>-52.590229958553294</v>
      </c>
      <c r="Y539">
        <f t="shared" si="441"/>
        <v>-174.29117881646539</v>
      </c>
      <c r="Z539">
        <f t="shared" si="458"/>
        <v>5.7088211835346101</v>
      </c>
      <c r="AC539">
        <v>1</v>
      </c>
      <c r="AD539">
        <f t="shared" si="442"/>
        <v>472.11854344200003</v>
      </c>
      <c r="AE539">
        <f t="shared" si="443"/>
        <v>-0.72306202117797036</v>
      </c>
      <c r="AF539">
        <f t="shared" si="444"/>
        <v>7.0960723981874987E-2</v>
      </c>
      <c r="AG539">
        <f t="shared" si="421"/>
        <v>62.098240697487554</v>
      </c>
      <c r="AH539">
        <f t="shared" si="422"/>
        <v>-646.84908572868562</v>
      </c>
      <c r="AJ539">
        <f t="shared" si="445"/>
        <v>18000</v>
      </c>
      <c r="AK539">
        <f t="shared" si="446"/>
        <v>226420.86547080002</v>
      </c>
      <c r="AL539">
        <v>1</v>
      </c>
      <c r="AM539">
        <f t="shared" si="447"/>
        <v>416.90191102560004</v>
      </c>
      <c r="AN539">
        <f t="shared" si="423"/>
        <v>543.20388597792987</v>
      </c>
      <c r="AO539">
        <f t="shared" si="424"/>
        <v>-41.872669931105513</v>
      </c>
      <c r="AQ539">
        <f t="shared" si="448"/>
        <v>9.4674547249747011E-4</v>
      </c>
      <c r="AR539">
        <f t="shared" si="449"/>
        <v>-3.0769227856167776</v>
      </c>
      <c r="AT539">
        <f t="shared" si="470"/>
        <v>-1990.2458995057427</v>
      </c>
      <c r="AU539">
        <f t="shared" si="471"/>
        <v>-191.6838931921173</v>
      </c>
      <c r="AV539">
        <f t="shared" si="459"/>
        <v>-3.0455771373107088</v>
      </c>
      <c r="AW539">
        <f t="shared" si="460"/>
        <v>478.96221097062318</v>
      </c>
      <c r="AX539">
        <f t="shared" si="461"/>
        <v>-2465.8575326593195</v>
      </c>
      <c r="AY539">
        <f t="shared" si="469"/>
        <v>-1.3789476410186723</v>
      </c>
      <c r="BA539">
        <f t="shared" si="450"/>
        <v>0.79597952851842368</v>
      </c>
      <c r="BB539">
        <f t="shared" si="462"/>
        <v>-1.9819620313222865</v>
      </c>
      <c r="BC539">
        <f t="shared" si="463"/>
        <v>-1.6666294962920365</v>
      </c>
      <c r="BD539">
        <f t="shared" si="451"/>
        <v>-275.49083625866217</v>
      </c>
      <c r="BF539">
        <f t="shared" si="452"/>
        <v>-56.103106617710374</v>
      </c>
      <c r="BG539">
        <f t="shared" si="453"/>
        <v>-189.67357650227711</v>
      </c>
      <c r="BH539">
        <f t="shared" si="464"/>
        <v>-9.6735765022771147</v>
      </c>
      <c r="BI539">
        <f t="shared" si="465"/>
        <v>-9.6735765022771147</v>
      </c>
      <c r="BJ539">
        <f t="shared" si="454"/>
        <v>0</v>
      </c>
      <c r="BK539">
        <f t="shared" si="466"/>
        <v>0</v>
      </c>
      <c r="BM539">
        <f t="shared" si="467"/>
        <v>-54.121144586388084</v>
      </c>
      <c r="BN539">
        <f t="shared" si="455"/>
        <v>-94.182740243614973</v>
      </c>
      <c r="BQ539" s="56">
        <f t="shared" si="468"/>
        <v>14.91999876896285</v>
      </c>
    </row>
    <row r="540" spans="1:69" x14ac:dyDescent="0.25">
      <c r="A540">
        <f t="shared" si="472"/>
        <v>1630000</v>
      </c>
      <c r="B540">
        <f t="shared" si="456"/>
        <v>1630</v>
      </c>
      <c r="C540">
        <f t="shared" si="425"/>
        <v>13.555836290555451</v>
      </c>
      <c r="D540">
        <f t="shared" si="426"/>
        <v>1.4969602916376448</v>
      </c>
      <c r="F540">
        <f t="shared" si="427"/>
        <v>9.6468083299601167E-6</v>
      </c>
      <c r="G540">
        <f t="shared" si="428"/>
        <v>1.0565526375597876E-3</v>
      </c>
      <c r="H540">
        <f t="shared" si="429"/>
        <v>-3.1405360973624403</v>
      </c>
      <c r="J540">
        <f t="shared" si="430"/>
        <v>15</v>
      </c>
      <c r="M540">
        <f t="shared" si="431"/>
        <v>7.805041526227184E-4</v>
      </c>
      <c r="N540">
        <f t="shared" si="432"/>
        <v>-1.5707963250000001</v>
      </c>
      <c r="O540">
        <f t="shared" si="433"/>
        <v>473.57227168959537</v>
      </c>
      <c r="P540">
        <f t="shared" si="434"/>
        <v>1.5686847151087155</v>
      </c>
      <c r="Q540">
        <f t="shared" si="435"/>
        <v>418.18588177871283</v>
      </c>
      <c r="R540">
        <f t="shared" si="436"/>
        <v>1.5684050434048726</v>
      </c>
      <c r="S540">
        <f t="shared" si="437"/>
        <v>7.9006375262052397E-2</v>
      </c>
      <c r="T540">
        <f t="shared" si="438"/>
        <v>-1.4917075267367403</v>
      </c>
      <c r="U540">
        <f t="shared" si="439"/>
        <v>9.7373220465772972E-2</v>
      </c>
      <c r="V540">
        <f t="shared" si="440"/>
        <v>-1.4732685713163662</v>
      </c>
      <c r="X540">
        <f t="shared" si="457"/>
        <v>-52.643325082979445</v>
      </c>
      <c r="Y540">
        <f t="shared" si="441"/>
        <v>-174.30857073324782</v>
      </c>
      <c r="Z540">
        <f t="shared" si="458"/>
        <v>5.6914292667521806</v>
      </c>
      <c r="AC540">
        <v>1</v>
      </c>
      <c r="AD540">
        <f t="shared" si="442"/>
        <v>473.57121588336003</v>
      </c>
      <c r="AE540">
        <f t="shared" si="443"/>
        <v>-0.72751847917358559</v>
      </c>
      <c r="AF540">
        <f t="shared" si="444"/>
        <v>7.1179064671049994E-2</v>
      </c>
      <c r="AG540">
        <f t="shared" si="421"/>
        <v>61.721460857981853</v>
      </c>
      <c r="AH540">
        <f t="shared" si="422"/>
        <v>-644.90174952300072</v>
      </c>
      <c r="AJ540">
        <f t="shared" si="445"/>
        <v>18000</v>
      </c>
      <c r="AK540">
        <f t="shared" si="446"/>
        <v>227117.54505686401</v>
      </c>
      <c r="AL540">
        <v>1</v>
      </c>
      <c r="AM540">
        <f t="shared" si="447"/>
        <v>418.18468613644797</v>
      </c>
      <c r="AN540">
        <f t="shared" si="423"/>
        <v>543.20327074429144</v>
      </c>
      <c r="AO540">
        <f t="shared" si="424"/>
        <v>-41.744227629511506</v>
      </c>
      <c r="AQ540">
        <f t="shared" si="448"/>
        <v>9.4094612697635143E-4</v>
      </c>
      <c r="AR540">
        <f t="shared" si="449"/>
        <v>-3.0674843739429059</v>
      </c>
      <c r="AT540">
        <f t="shared" si="470"/>
        <v>-1978.167962820701</v>
      </c>
      <c r="AU540">
        <f t="shared" si="471"/>
        <v>-189.93643452228198</v>
      </c>
      <c r="AV540">
        <f t="shared" si="459"/>
        <v>-3.045869761340807</v>
      </c>
      <c r="AW540">
        <f t="shared" si="460"/>
        <v>479.35882733550272</v>
      </c>
      <c r="AX540">
        <f t="shared" si="461"/>
        <v>-2458.3294534486122</v>
      </c>
      <c r="AY540">
        <f t="shared" si="469"/>
        <v>-1.3782190905843883</v>
      </c>
      <c r="BA540">
        <f t="shared" si="450"/>
        <v>0.79343695251381696</v>
      </c>
      <c r="BB540">
        <f t="shared" si="462"/>
        <v>-2.0097515423462258</v>
      </c>
      <c r="BC540">
        <f t="shared" si="463"/>
        <v>-1.6676506707564187</v>
      </c>
      <c r="BD540">
        <f t="shared" si="451"/>
        <v>-275.54934524568466</v>
      </c>
      <c r="BF540">
        <f t="shared" si="452"/>
        <v>-56.15772705955365</v>
      </c>
      <c r="BG540">
        <f t="shared" si="453"/>
        <v>-189.719302331134</v>
      </c>
      <c r="BH540">
        <f t="shared" si="464"/>
        <v>-9.7193023311340028</v>
      </c>
      <c r="BI540">
        <f t="shared" si="465"/>
        <v>-9.7193023311340028</v>
      </c>
      <c r="BJ540">
        <f t="shared" si="454"/>
        <v>0</v>
      </c>
      <c r="BK540">
        <f t="shared" si="466"/>
        <v>0</v>
      </c>
      <c r="BM540">
        <f t="shared" si="467"/>
        <v>-54.147975517207421</v>
      </c>
      <c r="BN540">
        <f t="shared" si="455"/>
        <v>-94.169957085449383</v>
      </c>
      <c r="BQ540" s="56">
        <f t="shared" si="468"/>
        <v>14.89220925793891</v>
      </c>
    </row>
    <row r="541" spans="1:69" x14ac:dyDescent="0.25">
      <c r="A541">
        <f t="shared" si="472"/>
        <v>1635000</v>
      </c>
      <c r="B541">
        <f t="shared" si="456"/>
        <v>1635</v>
      </c>
      <c r="C541">
        <f t="shared" si="425"/>
        <v>13.597192669423944</v>
      </c>
      <c r="D541">
        <f t="shared" si="426"/>
        <v>1.4971852738796136</v>
      </c>
      <c r="F541">
        <f t="shared" si="427"/>
        <v>9.5878961256202148E-6</v>
      </c>
      <c r="G541">
        <f t="shared" si="428"/>
        <v>1.0533215297140882E-3</v>
      </c>
      <c r="H541">
        <f t="shared" si="429"/>
        <v>-3.1405393284702861</v>
      </c>
      <c r="J541">
        <f t="shared" si="430"/>
        <v>15</v>
      </c>
      <c r="M541">
        <f t="shared" si="431"/>
        <v>7.7811728977066118E-4</v>
      </c>
      <c r="N541">
        <f t="shared" si="432"/>
        <v>-1.5707963250000001</v>
      </c>
      <c r="O541">
        <f t="shared" si="433"/>
        <v>475.02494090219727</v>
      </c>
      <c r="P541">
        <f t="shared" si="434"/>
        <v>1.5686911726177002</v>
      </c>
      <c r="Q541">
        <f t="shared" si="435"/>
        <v>419.46865323317286</v>
      </c>
      <c r="R541">
        <f t="shared" si="436"/>
        <v>1.5684123561703645</v>
      </c>
      <c r="S541">
        <f t="shared" si="437"/>
        <v>7.8766266813300498E-2</v>
      </c>
      <c r="T541">
        <f t="shared" si="438"/>
        <v>-1.4919483857948546</v>
      </c>
      <c r="U541">
        <f t="shared" si="439"/>
        <v>9.707825360693198E-2</v>
      </c>
      <c r="V541">
        <f t="shared" si="440"/>
        <v>-1.4735649422765997</v>
      </c>
      <c r="X541">
        <f t="shared" si="457"/>
        <v>-52.696259245326289</v>
      </c>
      <c r="Y541">
        <f t="shared" si="441"/>
        <v>-174.3258573632489</v>
      </c>
      <c r="Z541">
        <f t="shared" si="458"/>
        <v>5.6741426367510996</v>
      </c>
      <c r="AC541">
        <v>1</v>
      </c>
      <c r="AD541">
        <f t="shared" si="442"/>
        <v>475.02388832472008</v>
      </c>
      <c r="AE541">
        <f t="shared" si="443"/>
        <v>-0.73198862828439482</v>
      </c>
      <c r="AF541">
        <f t="shared" si="444"/>
        <v>7.1397405360225E-2</v>
      </c>
      <c r="AG541">
        <f t="shared" si="421"/>
        <v>61.348088990475489</v>
      </c>
      <c r="AH541">
        <f t="shared" si="422"/>
        <v>-642.96599122047519</v>
      </c>
      <c r="AJ541">
        <f t="shared" si="445"/>
        <v>18000</v>
      </c>
      <c r="AK541">
        <f t="shared" si="446"/>
        <v>227814.22464292799</v>
      </c>
      <c r="AL541">
        <v>1</v>
      </c>
      <c r="AM541">
        <f t="shared" si="447"/>
        <v>419.467461247296</v>
      </c>
      <c r="AN541">
        <f t="shared" si="423"/>
        <v>543.20266114632057</v>
      </c>
      <c r="AO541">
        <f t="shared" si="424"/>
        <v>-41.61657089430846</v>
      </c>
      <c r="AQ541">
        <f t="shared" si="448"/>
        <v>9.3519990505850563E-4</v>
      </c>
      <c r="AR541">
        <f t="shared" si="449"/>
        <v>-3.0581036895413134</v>
      </c>
      <c r="AT541">
        <f t="shared" si="470"/>
        <v>-1966.1992972739235</v>
      </c>
      <c r="AU541">
        <f t="shared" si="471"/>
        <v>-188.21011902202716</v>
      </c>
      <c r="AV541">
        <f t="shared" si="459"/>
        <v>-3.0461606128606724</v>
      </c>
      <c r="AW541">
        <f t="shared" si="460"/>
        <v>479.75176584031368</v>
      </c>
      <c r="AX541">
        <f t="shared" si="461"/>
        <v>-2450.8470940491734</v>
      </c>
      <c r="AY541">
        <f t="shared" si="469"/>
        <v>-1.3774912354973339</v>
      </c>
      <c r="BA541">
        <f t="shared" si="450"/>
        <v>0.79090950642375235</v>
      </c>
      <c r="BB541">
        <f t="shared" si="462"/>
        <v>-2.0374640875451204</v>
      </c>
      <c r="BC541">
        <f t="shared" si="463"/>
        <v>-1.6686693773633385</v>
      </c>
      <c r="BD541">
        <f t="shared" si="451"/>
        <v>-275.60771283488998</v>
      </c>
      <c r="BF541">
        <f t="shared" si="452"/>
        <v>-56.212187471690427</v>
      </c>
      <c r="BG541">
        <f t="shared" si="453"/>
        <v>-189.76496451623731</v>
      </c>
      <c r="BH541">
        <f t="shared" si="464"/>
        <v>-9.7649645162373133</v>
      </c>
      <c r="BI541">
        <f t="shared" si="465"/>
        <v>-9.7649645162373133</v>
      </c>
      <c r="BJ541">
        <f t="shared" si="454"/>
        <v>0</v>
      </c>
      <c r="BK541">
        <f t="shared" si="466"/>
        <v>0</v>
      </c>
      <c r="BM541">
        <f t="shared" si="467"/>
        <v>-54.17472338414531</v>
      </c>
      <c r="BN541">
        <f t="shared" si="455"/>
        <v>-94.157251681347361</v>
      </c>
      <c r="BQ541" s="56">
        <f t="shared" si="468"/>
        <v>14.864496712740017</v>
      </c>
    </row>
    <row r="542" spans="1:69" x14ac:dyDescent="0.25">
      <c r="A542">
        <f t="shared" si="472"/>
        <v>1640000</v>
      </c>
      <c r="B542">
        <f t="shared" si="456"/>
        <v>1640</v>
      </c>
      <c r="C542">
        <f t="shared" si="425"/>
        <v>13.638549732367663</v>
      </c>
      <c r="D542">
        <f t="shared" si="426"/>
        <v>1.4974088916762234</v>
      </c>
      <c r="F542">
        <f t="shared" si="427"/>
        <v>9.5295219370999307E-6</v>
      </c>
      <c r="G542">
        <f t="shared" si="428"/>
        <v>1.0501101242919985E-3</v>
      </c>
      <c r="H542">
        <f t="shared" si="429"/>
        <v>-3.1405425398757081</v>
      </c>
      <c r="J542">
        <f t="shared" si="430"/>
        <v>15</v>
      </c>
      <c r="M542">
        <f t="shared" si="431"/>
        <v>7.7574498096038484E-4</v>
      </c>
      <c r="N542">
        <f t="shared" si="432"/>
        <v>-1.5707963250000001</v>
      </c>
      <c r="O542">
        <f t="shared" si="433"/>
        <v>476.47761013448667</v>
      </c>
      <c r="P542">
        <f t="shared" si="434"/>
        <v>1.5686975907518039</v>
      </c>
      <c r="Q542">
        <f t="shared" si="435"/>
        <v>420.75142470992785</v>
      </c>
      <c r="R542">
        <f t="shared" si="436"/>
        <v>1.5684196243460755</v>
      </c>
      <c r="S542">
        <f t="shared" si="437"/>
        <v>7.8527608856561459E-2</v>
      </c>
      <c r="T542">
        <f t="shared" si="438"/>
        <v>-1.4921877852843286</v>
      </c>
      <c r="U542">
        <f t="shared" si="439"/>
        <v>9.6785059977556556E-2</v>
      </c>
      <c r="V542">
        <f t="shared" si="440"/>
        <v>-1.4738595230763263</v>
      </c>
      <c r="X542">
        <f t="shared" si="457"/>
        <v>-52.749033413652853</v>
      </c>
      <c r="Y542">
        <f t="shared" si="441"/>
        <v>-174.34303965640063</v>
      </c>
      <c r="Z542">
        <f t="shared" si="458"/>
        <v>5.6569603435993656</v>
      </c>
      <c r="AC542">
        <v>1</v>
      </c>
      <c r="AD542">
        <f t="shared" si="442"/>
        <v>476.47656076607996</v>
      </c>
      <c r="AE542">
        <f t="shared" si="443"/>
        <v>-0.73647246851039783</v>
      </c>
      <c r="AF542">
        <f t="shared" si="444"/>
        <v>7.1615746049399992E-2</v>
      </c>
      <c r="AG542">
        <f t="shared" si="421"/>
        <v>60.978084248443722</v>
      </c>
      <c r="AH542">
        <f t="shared" si="422"/>
        <v>-641.04170889763418</v>
      </c>
      <c r="AJ542">
        <f t="shared" si="445"/>
        <v>18000</v>
      </c>
      <c r="AK542">
        <f t="shared" si="446"/>
        <v>228510.904228992</v>
      </c>
      <c r="AL542">
        <v>1</v>
      </c>
      <c r="AM542">
        <f t="shared" si="447"/>
        <v>420.75023635814398</v>
      </c>
      <c r="AN542">
        <f t="shared" si="423"/>
        <v>543.20205711539529</v>
      </c>
      <c r="AO542">
        <f t="shared" si="424"/>
        <v>-41.489692540601027</v>
      </c>
      <c r="AQ542">
        <f t="shared" si="448"/>
        <v>9.2950615988379682E-4</v>
      </c>
      <c r="AR542">
        <f t="shared" si="449"/>
        <v>-3.0487802044188537</v>
      </c>
      <c r="AT542">
        <f t="shared" si="470"/>
        <v>-1954.3385927890135</v>
      </c>
      <c r="AU542">
        <f t="shared" si="471"/>
        <v>-186.50462837720312</v>
      </c>
      <c r="AV542">
        <f t="shared" si="459"/>
        <v>-3.0464497078749813</v>
      </c>
      <c r="AW542">
        <f t="shared" si="460"/>
        <v>480.14107193885246</v>
      </c>
      <c r="AX542">
        <f t="shared" si="461"/>
        <v>-2443.4100401536598</v>
      </c>
      <c r="AY542">
        <f t="shared" si="469"/>
        <v>-1.3767640713577458</v>
      </c>
      <c r="BA542">
        <f t="shared" si="450"/>
        <v>0.78839705374827829</v>
      </c>
      <c r="BB542">
        <f t="shared" si="462"/>
        <v>-2.0651001470922701</v>
      </c>
      <c r="BC542">
        <f t="shared" si="463"/>
        <v>-1.6696856365172354</v>
      </c>
      <c r="BD542">
        <f t="shared" si="451"/>
        <v>-275.66594019536632</v>
      </c>
      <c r="BF542">
        <f t="shared" si="452"/>
        <v>-56.266488849579417</v>
      </c>
      <c r="BG542">
        <f t="shared" si="453"/>
        <v>-189.81056352070647</v>
      </c>
      <c r="BH542">
        <f t="shared" si="464"/>
        <v>-9.8105635207064665</v>
      </c>
      <c r="BI542">
        <f t="shared" si="465"/>
        <v>-9.8105635207064665</v>
      </c>
      <c r="BJ542">
        <f t="shared" si="454"/>
        <v>0</v>
      </c>
      <c r="BK542">
        <f t="shared" si="466"/>
        <v>0</v>
      </c>
      <c r="BM542">
        <f t="shared" si="467"/>
        <v>-54.201388702487144</v>
      </c>
      <c r="BN542">
        <f t="shared" si="455"/>
        <v>-94.144623325340163</v>
      </c>
      <c r="BQ542" s="56">
        <f t="shared" si="468"/>
        <v>14.836860653192867</v>
      </c>
    </row>
    <row r="543" spans="1:69" x14ac:dyDescent="0.25">
      <c r="A543">
        <f t="shared" si="472"/>
        <v>1645000</v>
      </c>
      <c r="B543">
        <f t="shared" si="456"/>
        <v>1645</v>
      </c>
      <c r="C543">
        <f t="shared" si="425"/>
        <v>13.679907473182327</v>
      </c>
      <c r="D543">
        <f t="shared" si="426"/>
        <v>1.4976311573801739</v>
      </c>
      <c r="F543">
        <f t="shared" si="427"/>
        <v>9.4716792330266466E-6</v>
      </c>
      <c r="G543">
        <f t="shared" si="428"/>
        <v>1.046918241629546E-3</v>
      </c>
      <c r="H543">
        <f t="shared" si="429"/>
        <v>-3.1405457317583707</v>
      </c>
      <c r="J543">
        <f t="shared" si="430"/>
        <v>15</v>
      </c>
      <c r="M543">
        <f t="shared" si="431"/>
        <v>7.7338709348026211E-4</v>
      </c>
      <c r="N543">
        <f t="shared" si="432"/>
        <v>-1.5707963250000001</v>
      </c>
      <c r="O543">
        <f t="shared" si="433"/>
        <v>477.93027938628404</v>
      </c>
      <c r="P543">
        <f t="shared" si="434"/>
        <v>1.5687039698700664</v>
      </c>
      <c r="Q543">
        <f t="shared" si="435"/>
        <v>422.03419620877452</v>
      </c>
      <c r="R543">
        <f t="shared" si="436"/>
        <v>1.5684268483385966</v>
      </c>
      <c r="S543">
        <f t="shared" si="437"/>
        <v>7.8290388328602134E-2</v>
      </c>
      <c r="T543">
        <f t="shared" si="438"/>
        <v>-1.4924257384050326</v>
      </c>
      <c r="U543">
        <f t="shared" si="439"/>
        <v>9.6493623711589163E-2</v>
      </c>
      <c r="V543">
        <f t="shared" si="440"/>
        <v>-1.4741523298356198</v>
      </c>
      <c r="X543">
        <f t="shared" si="457"/>
        <v>-52.801648547355356</v>
      </c>
      <c r="Y543">
        <f t="shared" si="441"/>
        <v>-174.36011855128112</v>
      </c>
      <c r="Z543">
        <f t="shared" si="458"/>
        <v>5.6398814487188815</v>
      </c>
      <c r="AC543">
        <v>1</v>
      </c>
      <c r="AD543">
        <f t="shared" si="442"/>
        <v>477.92923320743995</v>
      </c>
      <c r="AE543">
        <f t="shared" si="443"/>
        <v>-0.74096999985159484</v>
      </c>
      <c r="AF543">
        <f t="shared" si="444"/>
        <v>7.1834086738574998E-2</v>
      </c>
      <c r="AG543">
        <f t="shared" si="421"/>
        <v>60.611406393544456</v>
      </c>
      <c r="AH543">
        <f t="shared" si="422"/>
        <v>-639.12880181123262</v>
      </c>
      <c r="AJ543">
        <f t="shared" si="445"/>
        <v>18000</v>
      </c>
      <c r="AK543">
        <f t="shared" si="446"/>
        <v>229207.58381505599</v>
      </c>
      <c r="AL543">
        <v>1</v>
      </c>
      <c r="AM543">
        <f t="shared" si="447"/>
        <v>422.03301146899202</v>
      </c>
      <c r="AN543">
        <f t="shared" si="423"/>
        <v>543.20145858393448</v>
      </c>
      <c r="AO543">
        <f t="shared" si="424"/>
        <v>-41.36358547084572</v>
      </c>
      <c r="AQ543">
        <f t="shared" si="448"/>
        <v>9.2386425440782569E-4</v>
      </c>
      <c r="AR543">
        <f t="shared" si="449"/>
        <v>-3.0395133970017465</v>
      </c>
      <c r="AT543">
        <f t="shared" si="470"/>
        <v>-1942.5845588031393</v>
      </c>
      <c r="AU543">
        <f t="shared" si="471"/>
        <v>-184.81964999825158</v>
      </c>
      <c r="AV543">
        <f t="shared" si="459"/>
        <v>-3.0467370621969256</v>
      </c>
      <c r="AW543">
        <f t="shared" si="460"/>
        <v>480.5267903831886</v>
      </c>
      <c r="AX543">
        <f t="shared" si="461"/>
        <v>-2436.0178824346403</v>
      </c>
      <c r="AY543">
        <f t="shared" si="469"/>
        <v>-1.3760375938271625</v>
      </c>
      <c r="BA543">
        <f t="shared" si="450"/>
        <v>0.78589945962551888</v>
      </c>
      <c r="BB543">
        <f t="shared" si="462"/>
        <v>-2.0926601968380441</v>
      </c>
      <c r="BC543">
        <f t="shared" si="463"/>
        <v>-1.6706994683697631</v>
      </c>
      <c r="BD543">
        <f t="shared" si="451"/>
        <v>-275.72402848171845</v>
      </c>
      <c r="BF543">
        <f t="shared" si="452"/>
        <v>-56.320632179554181</v>
      </c>
      <c r="BG543">
        <f t="shared" si="453"/>
        <v>-189.85609980168269</v>
      </c>
      <c r="BH543">
        <f t="shared" si="464"/>
        <v>-9.8560998016826886</v>
      </c>
      <c r="BI543">
        <f t="shared" si="465"/>
        <v>-9.8560998016826886</v>
      </c>
      <c r="BJ543">
        <f t="shared" si="454"/>
        <v>0</v>
      </c>
      <c r="BK543">
        <f t="shared" si="466"/>
        <v>0</v>
      </c>
      <c r="BM543">
        <f t="shared" si="467"/>
        <v>-54.227971982716134</v>
      </c>
      <c r="BN543">
        <f t="shared" si="455"/>
        <v>-94.132071319964226</v>
      </c>
      <c r="BQ543" s="56">
        <f t="shared" si="468"/>
        <v>14.809300603447094</v>
      </c>
    </row>
    <row r="544" spans="1:69" x14ac:dyDescent="0.25">
      <c r="A544">
        <f t="shared" si="472"/>
        <v>1650000</v>
      </c>
      <c r="B544">
        <f t="shared" si="456"/>
        <v>1650</v>
      </c>
      <c r="C544">
        <f t="shared" si="425"/>
        <v>13.721265885738354</v>
      </c>
      <c r="D544">
        <f t="shared" si="426"/>
        <v>1.4978520831957711</v>
      </c>
      <c r="F544">
        <f t="shared" si="427"/>
        <v>9.4143615808395613E-6</v>
      </c>
      <c r="G544">
        <f t="shared" si="428"/>
        <v>1.0437457042406033E-3</v>
      </c>
      <c r="H544">
        <f t="shared" si="429"/>
        <v>-3.1405489042957595</v>
      </c>
      <c r="J544">
        <f t="shared" si="430"/>
        <v>15</v>
      </c>
      <c r="M544">
        <f t="shared" si="431"/>
        <v>7.7104349622729147E-4</v>
      </c>
      <c r="N544">
        <f t="shared" si="432"/>
        <v>-1.5707963250000001</v>
      </c>
      <c r="O544">
        <f t="shared" si="433"/>
        <v>479.38294865741199</v>
      </c>
      <c r="P544">
        <f t="shared" si="434"/>
        <v>1.5687103103271747</v>
      </c>
      <c r="Q544">
        <f t="shared" si="435"/>
        <v>423.31696772951199</v>
      </c>
      <c r="R544">
        <f t="shared" si="436"/>
        <v>1.5684340285495897</v>
      </c>
      <c r="S544">
        <f t="shared" si="437"/>
        <v>7.8054592322093719E-2</v>
      </c>
      <c r="T544">
        <f t="shared" si="438"/>
        <v>-1.4926622581984743</v>
      </c>
      <c r="U544">
        <f t="shared" si="439"/>
        <v>9.6203929130778729E-2</v>
      </c>
      <c r="V544">
        <f t="shared" si="440"/>
        <v>-1.4744433784821962</v>
      </c>
      <c r="X544">
        <f t="shared" si="457"/>
        <v>-52.854105597269708</v>
      </c>
      <c r="Y544">
        <f t="shared" si="441"/>
        <v>-174.377094975283</v>
      </c>
      <c r="Z544">
        <f t="shared" si="458"/>
        <v>5.6229050247169994</v>
      </c>
      <c r="AC544">
        <v>1</v>
      </c>
      <c r="AD544">
        <f t="shared" si="442"/>
        <v>479.3819056488</v>
      </c>
      <c r="AE544">
        <f t="shared" si="443"/>
        <v>-0.74548122230798564</v>
      </c>
      <c r="AF544">
        <f t="shared" si="444"/>
        <v>7.205242742774999E-2</v>
      </c>
      <c r="AG544">
        <f t="shared" si="421"/>
        <v>60.248015784818875</v>
      </c>
      <c r="AH544">
        <f t="shared" si="422"/>
        <v>-637.22717038141786</v>
      </c>
      <c r="AJ544">
        <f t="shared" si="445"/>
        <v>18000</v>
      </c>
      <c r="AK544">
        <f t="shared" si="446"/>
        <v>229904.26340111997</v>
      </c>
      <c r="AL544">
        <v>1</v>
      </c>
      <c r="AM544">
        <f t="shared" si="447"/>
        <v>423.31578657983999</v>
      </c>
      <c r="AN544">
        <f t="shared" si="423"/>
        <v>543.20086548538006</v>
      </c>
      <c r="AO544">
        <f t="shared" si="424"/>
        <v>-41.238242673527502</v>
      </c>
      <c r="AQ544">
        <f t="shared" si="448"/>
        <v>9.1827356122373171E-4</v>
      </c>
      <c r="AR544">
        <f t="shared" si="449"/>
        <v>-3.0303027520383146</v>
      </c>
      <c r="AT544">
        <f t="shared" si="470"/>
        <v>-1930.935923920387</v>
      </c>
      <c r="AU544">
        <f t="shared" si="471"/>
        <v>-183.1548769006391</v>
      </c>
      <c r="AV544">
        <f t="shared" si="459"/>
        <v>-3.0470226914510601</v>
      </c>
      <c r="AW544">
        <f t="shared" si="460"/>
        <v>480.9089652366539</v>
      </c>
      <c r="AX544">
        <f t="shared" si="461"/>
        <v>-2428.6702164701601</v>
      </c>
      <c r="AY544">
        <f t="shared" si="469"/>
        <v>-1.3753117986274244</v>
      </c>
      <c r="BA544">
        <f t="shared" si="450"/>
        <v>0.78341659080725567</v>
      </c>
      <c r="BB544">
        <f t="shared" si="462"/>
        <v>-2.1201447083608165</v>
      </c>
      <c r="BC544">
        <f t="shared" si="463"/>
        <v>-1.6717108928236357</v>
      </c>
      <c r="BD544">
        <f t="shared" si="451"/>
        <v>-275.78197883428788</v>
      </c>
      <c r="BF544">
        <f t="shared" si="452"/>
        <v>-56.374618438933823</v>
      </c>
      <c r="BG544">
        <f t="shared" si="453"/>
        <v>-189.90157381042138</v>
      </c>
      <c r="BH544">
        <f t="shared" si="464"/>
        <v>-9.9015738104213824</v>
      </c>
      <c r="BI544">
        <f t="shared" si="465"/>
        <v>-9.9015738104213824</v>
      </c>
      <c r="BJ544">
        <f t="shared" si="454"/>
        <v>0</v>
      </c>
      <c r="BK544">
        <f t="shared" si="466"/>
        <v>0</v>
      </c>
      <c r="BM544">
        <f t="shared" si="467"/>
        <v>-54.254473730572997</v>
      </c>
      <c r="BN544">
        <f t="shared" si="455"/>
        <v>-94.119594976133499</v>
      </c>
      <c r="BQ544" s="56">
        <f t="shared" si="468"/>
        <v>14.78181609192432</v>
      </c>
    </row>
    <row r="545" spans="1:69" x14ac:dyDescent="0.25">
      <c r="A545">
        <f t="shared" si="472"/>
        <v>1655000</v>
      </c>
      <c r="B545">
        <f t="shared" si="456"/>
        <v>1655</v>
      </c>
      <c r="C545">
        <f t="shared" si="425"/>
        <v>13.762624963979746</v>
      </c>
      <c r="D545">
        <f t="shared" si="426"/>
        <v>1.4980716811811425</v>
      </c>
      <c r="F545">
        <f t="shared" si="427"/>
        <v>9.3575626450011705E-6</v>
      </c>
      <c r="G545">
        <f t="shared" si="428"/>
        <v>1.0405923367839878E-3</v>
      </c>
      <c r="H545">
        <f t="shared" si="429"/>
        <v>-3.1405520576632164</v>
      </c>
      <c r="J545">
        <f t="shared" si="430"/>
        <v>15</v>
      </c>
      <c r="M545">
        <f t="shared" si="431"/>
        <v>7.6871405968279819E-4</v>
      </c>
      <c r="N545">
        <f t="shared" si="432"/>
        <v>-1.5707963250000001</v>
      </c>
      <c r="O545">
        <f t="shared" si="433"/>
        <v>480.83561794769548</v>
      </c>
      <c r="P545">
        <f t="shared" si="434"/>
        <v>1.5687166124735301</v>
      </c>
      <c r="Q545">
        <f t="shared" si="435"/>
        <v>424.59973927194193</v>
      </c>
      <c r="R545">
        <f t="shared" si="436"/>
        <v>1.5684411653758634</v>
      </c>
      <c r="S545">
        <f t="shared" si="437"/>
        <v>7.7820208083300035E-2</v>
      </c>
      <c r="T545">
        <f t="shared" si="438"/>
        <v>-1.4928973575501616</v>
      </c>
      <c r="U545">
        <f t="shared" si="439"/>
        <v>9.5915960741923809E-2</v>
      </c>
      <c r="V545">
        <f t="shared" si="440"/>
        <v>-1.4747326847542639</v>
      </c>
      <c r="X545">
        <f t="shared" si="457"/>
        <v>-52.906405505772582</v>
      </c>
      <c r="Y545">
        <f t="shared" si="441"/>
        <v>-174.39396984477887</v>
      </c>
      <c r="Z545">
        <f t="shared" si="458"/>
        <v>5.6060301552211342</v>
      </c>
      <c r="AC545">
        <v>1</v>
      </c>
      <c r="AD545">
        <f t="shared" si="442"/>
        <v>480.83457809015999</v>
      </c>
      <c r="AE545">
        <f t="shared" si="443"/>
        <v>-0.75000613587957032</v>
      </c>
      <c r="AF545">
        <f t="shared" si="444"/>
        <v>7.2270768116924997E-2</v>
      </c>
      <c r="AG545">
        <f t="shared" si="421"/>
        <v>59.887873368114462</v>
      </c>
      <c r="AH545">
        <f t="shared" si="422"/>
        <v>-635.33671617517359</v>
      </c>
      <c r="AJ545">
        <f t="shared" si="445"/>
        <v>18000</v>
      </c>
      <c r="AK545">
        <f t="shared" si="446"/>
        <v>230600.94298718401</v>
      </c>
      <c r="AL545">
        <v>1</v>
      </c>
      <c r="AM545">
        <f t="shared" si="447"/>
        <v>424.59856169068803</v>
      </c>
      <c r="AN545">
        <f t="shared" si="423"/>
        <v>543.20027775417714</v>
      </c>
      <c r="AO545">
        <f t="shared" si="424"/>
        <v>-41.11365722186023</v>
      </c>
      <c r="AQ545">
        <f t="shared" si="448"/>
        <v>9.1273346238776002E-4</v>
      </c>
      <c r="AR545">
        <f t="shared" si="449"/>
        <v>-3.0211477605034855</v>
      </c>
      <c r="AT545">
        <f t="shared" si="470"/>
        <v>-1919.3914355722502</v>
      </c>
      <c r="AU545">
        <f t="shared" si="471"/>
        <v>-181.51000758813197</v>
      </c>
      <c r="AV545">
        <f t="shared" si="459"/>
        <v>-3.0473066110760931</v>
      </c>
      <c r="AW545">
        <f t="shared" si="460"/>
        <v>481.28763988654981</v>
      </c>
      <c r="AX545">
        <f t="shared" si="461"/>
        <v>-2421.3666426706232</v>
      </c>
      <c r="AY545">
        <f t="shared" si="469"/>
        <v>-1.3745866815396959</v>
      </c>
      <c r="BA545">
        <f t="shared" si="450"/>
        <v>0.7809483156349426</v>
      </c>
      <c r="BB545">
        <f t="shared" si="462"/>
        <v>-2.1475541490171675</v>
      </c>
      <c r="BC545">
        <f t="shared" si="463"/>
        <v>-1.6727199295363973</v>
      </c>
      <c r="BD545">
        <f t="shared" si="451"/>
        <v>-275.83979237936893</v>
      </c>
      <c r="BF545">
        <f t="shared" si="452"/>
        <v>-56.428448596131972</v>
      </c>
      <c r="BG545">
        <f t="shared" si="453"/>
        <v>-189.94698599238342</v>
      </c>
      <c r="BH545">
        <f t="shared" si="464"/>
        <v>-9.9469859923834179</v>
      </c>
      <c r="BI545">
        <f t="shared" si="465"/>
        <v>-9.9469859923834179</v>
      </c>
      <c r="BJ545">
        <f t="shared" si="454"/>
        <v>0</v>
      </c>
      <c r="BK545">
        <f t="shared" si="466"/>
        <v>0</v>
      </c>
      <c r="BM545">
        <f t="shared" si="467"/>
        <v>-54.280894447114804</v>
      </c>
      <c r="BN545">
        <f t="shared" si="455"/>
        <v>-94.107193613014488</v>
      </c>
      <c r="BQ545" s="56">
        <f t="shared" si="468"/>
        <v>14.754406651267969</v>
      </c>
    </row>
    <row r="546" spans="1:69" x14ac:dyDescent="0.25">
      <c r="A546">
        <f t="shared" si="472"/>
        <v>1660000</v>
      </c>
      <c r="B546">
        <f t="shared" si="456"/>
        <v>1660</v>
      </c>
      <c r="C546">
        <f t="shared" si="425"/>
        <v>13.80398470192298</v>
      </c>
      <c r="D546">
        <f t="shared" si="426"/>
        <v>1.4982899632504165</v>
      </c>
      <c r="F546">
        <f t="shared" si="427"/>
        <v>9.3012761852464778E-6</v>
      </c>
      <c r="G546">
        <f t="shared" si="428"/>
        <v>1.0374579660311573E-3</v>
      </c>
      <c r="H546">
        <f t="shared" si="429"/>
        <v>-3.1405551920339692</v>
      </c>
      <c r="J546">
        <f t="shared" si="430"/>
        <v>15</v>
      </c>
      <c r="M546">
        <f t="shared" si="431"/>
        <v>7.66398655888573E-4</v>
      </c>
      <c r="N546">
        <f t="shared" si="432"/>
        <v>-1.5707963250000001</v>
      </c>
      <c r="O546">
        <f t="shared" si="433"/>
        <v>482.28828725696121</v>
      </c>
      <c r="P546">
        <f t="shared" si="434"/>
        <v>1.5687228766553121</v>
      </c>
      <c r="Q546">
        <f t="shared" si="435"/>
        <v>425.88251083586823</v>
      </c>
      <c r="R546">
        <f t="shared" si="436"/>
        <v>1.5684482592094457</v>
      </c>
      <c r="S546">
        <f t="shared" si="437"/>
        <v>7.7587223009807083E-2</v>
      </c>
      <c r="T546">
        <f t="shared" si="438"/>
        <v>-1.4931310491919236</v>
      </c>
      <c r="U546">
        <f t="shared" si="439"/>
        <v>9.5629703234163768E-2</v>
      </c>
      <c r="V546">
        <f t="shared" si="440"/>
        <v>-1.4750202642033259</v>
      </c>
      <c r="X546">
        <f t="shared" si="457"/>
        <v>-52.958549206880889</v>
      </c>
      <c r="Y546">
        <f t="shared" si="441"/>
        <v>-174.41074406528421</v>
      </c>
      <c r="Z546">
        <f t="shared" si="458"/>
        <v>5.5892559347157942</v>
      </c>
      <c r="AC546">
        <v>1</v>
      </c>
      <c r="AD546">
        <f t="shared" si="442"/>
        <v>482.28725053151999</v>
      </c>
      <c r="AE546">
        <f t="shared" si="443"/>
        <v>-0.75454474056634901</v>
      </c>
      <c r="AF546">
        <f t="shared" si="444"/>
        <v>7.2489108806100003E-2</v>
      </c>
      <c r="AG546">
        <f t="shared" si="421"/>
        <v>59.530940665725197</v>
      </c>
      <c r="AH546">
        <f t="shared" si="422"/>
        <v>-633.45734189004452</v>
      </c>
      <c r="AJ546">
        <f t="shared" si="445"/>
        <v>18000</v>
      </c>
      <c r="AK546">
        <f t="shared" si="446"/>
        <v>231297.62257324799</v>
      </c>
      <c r="AL546">
        <v>1</v>
      </c>
      <c r="AM546">
        <f t="shared" si="447"/>
        <v>425.88133680153607</v>
      </c>
      <c r="AN546">
        <f t="shared" si="423"/>
        <v>543.19969532575715</v>
      </c>
      <c r="AO546">
        <f t="shared" si="424"/>
        <v>-40.989822272510722</v>
      </c>
      <c r="AQ546">
        <f t="shared" si="448"/>
        <v>9.0724334924849857E-4</v>
      </c>
      <c r="AR546">
        <f t="shared" si="449"/>
        <v>-3.0120479195050152</v>
      </c>
      <c r="AT546">
        <f t="shared" si="470"/>
        <v>-1907.9498596850922</v>
      </c>
      <c r="AU546">
        <f t="shared" si="471"/>
        <v>-179.88474593883646</v>
      </c>
      <c r="AV546">
        <f t="shared" si="459"/>
        <v>-3.0475888363276384</v>
      </c>
      <c r="AW546">
        <f t="shared" si="460"/>
        <v>481.66285705658328</v>
      </c>
      <c r="AX546">
        <f t="shared" si="461"/>
        <v>-2414.1067662069872</v>
      </c>
      <c r="AY546">
        <f t="shared" si="469"/>
        <v>-1.3738622384035044</v>
      </c>
      <c r="BA546">
        <f t="shared" si="450"/>
        <v>0.77849450401614417</v>
      </c>
      <c r="BB546">
        <f t="shared" si="462"/>
        <v>-2.1748889819913755</v>
      </c>
      <c r="BC546">
        <f t="shared" si="463"/>
        <v>-1.673726597924134</v>
      </c>
      <c r="BD546">
        <f t="shared" si="451"/>
        <v>-275.8974702294214</v>
      </c>
      <c r="BF546">
        <f t="shared" si="452"/>
        <v>-56.482123610764233</v>
      </c>
      <c r="BG546">
        <f t="shared" si="453"/>
        <v>-189.99233678732458</v>
      </c>
      <c r="BH546">
        <f t="shared" si="464"/>
        <v>-9.9923367873245752</v>
      </c>
      <c r="BI546">
        <f t="shared" si="465"/>
        <v>-9.9923367873245752</v>
      </c>
      <c r="BJ546">
        <f t="shared" si="454"/>
        <v>0</v>
      </c>
      <c r="BK546">
        <f t="shared" si="466"/>
        <v>0</v>
      </c>
      <c r="BM546">
        <f t="shared" si="467"/>
        <v>-54.307234628772854</v>
      </c>
      <c r="BN546">
        <f t="shared" si="455"/>
        <v>-94.094866557903202</v>
      </c>
      <c r="BQ546" s="56">
        <f t="shared" si="468"/>
        <v>14.72707181829376</v>
      </c>
    </row>
    <row r="547" spans="1:69" x14ac:dyDescent="0.25">
      <c r="A547">
        <f t="shared" si="472"/>
        <v>1665000</v>
      </c>
      <c r="B547">
        <f t="shared" si="456"/>
        <v>1665</v>
      </c>
      <c r="C547">
        <f t="shared" si="425"/>
        <v>13.845345093655942</v>
      </c>
      <c r="D547">
        <f t="shared" si="426"/>
        <v>1.4985069411758618</v>
      </c>
      <c r="F547">
        <f t="shared" si="427"/>
        <v>9.2454960548688975E-6</v>
      </c>
      <c r="G547">
        <f t="shared" si="428"/>
        <v>1.0343424208344868E-3</v>
      </c>
      <c r="H547">
        <f t="shared" si="429"/>
        <v>-3.1405583075791657</v>
      </c>
      <c r="J547">
        <f t="shared" si="430"/>
        <v>15</v>
      </c>
      <c r="M547">
        <f t="shared" si="431"/>
        <v>7.6409715842344205E-4</v>
      </c>
      <c r="N547">
        <f t="shared" si="432"/>
        <v>-1.5707963250000001</v>
      </c>
      <c r="O547">
        <f t="shared" si="433"/>
        <v>483.74095658503825</v>
      </c>
      <c r="P547">
        <f t="shared" si="434"/>
        <v>1.5687291032145421</v>
      </c>
      <c r="Q547">
        <f t="shared" si="435"/>
        <v>427.16528242109723</v>
      </c>
      <c r="R547">
        <f t="shared" si="436"/>
        <v>1.5684553104376551</v>
      </c>
      <c r="S547">
        <f t="shared" si="437"/>
        <v>7.7355624648292279E-2</v>
      </c>
      <c r="T547">
        <f t="shared" si="438"/>
        <v>-1.4933633457041904</v>
      </c>
      <c r="U547">
        <f t="shared" si="439"/>
        <v>9.5345141476317272E-2</v>
      </c>
      <c r="V547">
        <f t="shared" si="440"/>
        <v>-1.475306132196931</v>
      </c>
      <c r="X547">
        <f t="shared" si="457"/>
        <v>-53.010537626349937</v>
      </c>
      <c r="Y547">
        <f t="shared" si="441"/>
        <v>-174.42741853161675</v>
      </c>
      <c r="Z547">
        <f t="shared" si="458"/>
        <v>5.5725814683832482</v>
      </c>
      <c r="AC547">
        <v>1</v>
      </c>
      <c r="AD547">
        <f t="shared" si="442"/>
        <v>483.73992297287998</v>
      </c>
      <c r="AE547">
        <f t="shared" si="443"/>
        <v>-0.7590970363683216</v>
      </c>
      <c r="AF547">
        <f t="shared" si="444"/>
        <v>7.2707449495274995E-2</v>
      </c>
      <c r="AG547">
        <f t="shared" si="421"/>
        <v>59.177179766243725</v>
      </c>
      <c r="AH547">
        <f t="shared" si="422"/>
        <v>-631.58895133813326</v>
      </c>
      <c r="AJ547">
        <f t="shared" si="445"/>
        <v>18000</v>
      </c>
      <c r="AK547">
        <f t="shared" si="446"/>
        <v>231994.30215931198</v>
      </c>
      <c r="AL547">
        <v>1</v>
      </c>
      <c r="AM547">
        <f t="shared" si="447"/>
        <v>427.16411191238404</v>
      </c>
      <c r="AN547">
        <f t="shared" si="423"/>
        <v>543.19911813651902</v>
      </c>
      <c r="AO547">
        <f t="shared" si="424"/>
        <v>-40.866731064345736</v>
      </c>
      <c r="AQ547">
        <f t="shared" si="448"/>
        <v>9.0180262227970113E-4</v>
      </c>
      <c r="AR547">
        <f t="shared" si="449"/>
        <v>-3.0030027321914048</v>
      </c>
      <c r="AT547">
        <f t="shared" si="470"/>
        <v>-1896.6099803544262</v>
      </c>
      <c r="AU547">
        <f t="shared" si="471"/>
        <v>-178.27880109393143</v>
      </c>
      <c r="AV547">
        <f t="shared" si="459"/>
        <v>-3.0478693822809091</v>
      </c>
      <c r="AW547">
        <f t="shared" si="460"/>
        <v>482.03465881903395</v>
      </c>
      <c r="AX547">
        <f t="shared" si="461"/>
        <v>-2406.8901969402195</v>
      </c>
      <c r="AY547">
        <f t="shared" si="469"/>
        <v>-1.3731384651157994</v>
      </c>
      <c r="BA547">
        <f t="shared" si="450"/>
        <v>0.77605502740139654</v>
      </c>
      <c r="BB547">
        <f t="shared" si="462"/>
        <v>-2.2021496663441202</v>
      </c>
      <c r="BC547">
        <f t="shared" si="463"/>
        <v>-1.6747309171651097</v>
      </c>
      <c r="BD547">
        <f t="shared" si="451"/>
        <v>-275.95501348327883</v>
      </c>
      <c r="BF547">
        <f t="shared" si="452"/>
        <v>-56.535644433753802</v>
      </c>
      <c r="BG547">
        <f t="shared" si="453"/>
        <v>-190.03762662938314</v>
      </c>
      <c r="BH547">
        <f t="shared" si="464"/>
        <v>-10.037626629383141</v>
      </c>
      <c r="BI547">
        <f t="shared" si="465"/>
        <v>-10.037626629383141</v>
      </c>
      <c r="BJ547">
        <f t="shared" si="454"/>
        <v>0</v>
      </c>
      <c r="BK547">
        <f t="shared" si="466"/>
        <v>0</v>
      </c>
      <c r="BM547">
        <f t="shared" si="467"/>
        <v>-54.33349476740969</v>
      </c>
      <c r="BN547">
        <f t="shared" si="455"/>
        <v>-94.082613146104322</v>
      </c>
      <c r="BQ547" s="56">
        <f t="shared" si="468"/>
        <v>14.699811133941017</v>
      </c>
    </row>
    <row r="548" spans="1:69" x14ac:dyDescent="0.25">
      <c r="A548">
        <f t="shared" si="472"/>
        <v>1670000</v>
      </c>
      <c r="B548">
        <f t="shared" si="456"/>
        <v>1670</v>
      </c>
      <c r="C548">
        <f t="shared" si="425"/>
        <v>13.886706133336856</v>
      </c>
      <c r="D548">
        <f t="shared" si="426"/>
        <v>1.4987226265899884</v>
      </c>
      <c r="F548">
        <f t="shared" si="427"/>
        <v>9.1902161990420676E-6</v>
      </c>
      <c r="G548">
        <f t="shared" si="428"/>
        <v>1.031245532096114E-3</v>
      </c>
      <c r="H548">
        <f t="shared" si="429"/>
        <v>-3.140561404467904</v>
      </c>
      <c r="J548">
        <f t="shared" si="430"/>
        <v>15</v>
      </c>
      <c r="M548">
        <f t="shared" si="431"/>
        <v>7.6180944238025809E-4</v>
      </c>
      <c r="N548">
        <f t="shared" si="432"/>
        <v>-1.5707963250000001</v>
      </c>
      <c r="O548">
        <f t="shared" si="433"/>
        <v>485.19362593175765</v>
      </c>
      <c r="P548">
        <f t="shared" si="434"/>
        <v>1.5687352924891449</v>
      </c>
      <c r="Q548">
        <f t="shared" si="435"/>
        <v>428.44805402743771</v>
      </c>
      <c r="R548">
        <f t="shared" si="436"/>
        <v>1.5684623194431717</v>
      </c>
      <c r="S548">
        <f t="shared" si="437"/>
        <v>7.7125400692333118E-2</v>
      </c>
      <c r="T548">
        <f t="shared" si="438"/>
        <v>-1.4935942595182319</v>
      </c>
      <c r="U548">
        <f t="shared" si="439"/>
        <v>9.5062260514267069E-2</v>
      </c>
      <c r="V548">
        <f t="shared" si="440"/>
        <v>-1.475590303921378</v>
      </c>
      <c r="X548">
        <f t="shared" si="457"/>
        <v>-53.06237168177006</v>
      </c>
      <c r="Y548">
        <f t="shared" si="441"/>
        <v>-174.44399412805396</v>
      </c>
      <c r="Z548">
        <f t="shared" si="458"/>
        <v>5.5560058719460415</v>
      </c>
      <c r="AC548">
        <v>1</v>
      </c>
      <c r="AD548">
        <f t="shared" si="442"/>
        <v>485.19259541424003</v>
      </c>
      <c r="AE548">
        <f t="shared" si="443"/>
        <v>-0.76366302328548807</v>
      </c>
      <c r="AF548">
        <f t="shared" si="444"/>
        <v>7.2925790184450001E-2</v>
      </c>
      <c r="AG548">
        <f t="shared" si="421"/>
        <v>58.826553314620782</v>
      </c>
      <c r="AH548">
        <f t="shared" si="422"/>
        <v>-629.73144943036323</v>
      </c>
      <c r="AJ548">
        <f t="shared" si="445"/>
        <v>18000</v>
      </c>
      <c r="AK548">
        <f t="shared" si="446"/>
        <v>232690.98174537602</v>
      </c>
      <c r="AL548">
        <v>1</v>
      </c>
      <c r="AM548">
        <f t="shared" si="447"/>
        <v>428.44688702323197</v>
      </c>
      <c r="AN548">
        <f t="shared" si="423"/>
        <v>543.19854612381312</v>
      </c>
      <c r="AO548">
        <f t="shared" si="424"/>
        <v>-40.744376917201443</v>
      </c>
      <c r="AQ548">
        <f t="shared" si="448"/>
        <v>8.9641069091660772E-4</v>
      </c>
      <c r="AR548">
        <f t="shared" si="449"/>
        <v>-2.9940117076614698</v>
      </c>
      <c r="AT548">
        <f t="shared" si="470"/>
        <v>-1885.3705995258333</v>
      </c>
      <c r="AU548">
        <f t="shared" si="471"/>
        <v>-176.69188734902207</v>
      </c>
      <c r="AV548">
        <f t="shared" si="459"/>
        <v>-3.0481482638333675</v>
      </c>
      <c r="AW548">
        <f t="shared" si="460"/>
        <v>482.40308660666432</v>
      </c>
      <c r="AX548">
        <f t="shared" si="461"/>
        <v>-2399.7165493520151</v>
      </c>
      <c r="AY548">
        <f t="shared" si="469"/>
        <v>-1.3724153576300275</v>
      </c>
      <c r="BA548">
        <f t="shared" si="450"/>
        <v>0.77362975876146545</v>
      </c>
      <c r="BB548">
        <f t="shared" si="462"/>
        <v>-2.2293366570606006</v>
      </c>
      <c r="BC548">
        <f t="shared" si="463"/>
        <v>-1.6757329062033399</v>
      </c>
      <c r="BD548">
        <f t="shared" si="451"/>
        <v>-276.01242322635341</v>
      </c>
      <c r="BF548">
        <f t="shared" si="452"/>
        <v>-56.589012007435798</v>
      </c>
      <c r="BG548">
        <f t="shared" si="453"/>
        <v>-190.08285594716614</v>
      </c>
      <c r="BH548">
        <f t="shared" si="464"/>
        <v>-10.082855947166138</v>
      </c>
      <c r="BI548">
        <f t="shared" si="465"/>
        <v>-10.082855947166138</v>
      </c>
      <c r="BJ548">
        <f t="shared" si="454"/>
        <v>0</v>
      </c>
      <c r="BK548">
        <f t="shared" si="466"/>
        <v>0</v>
      </c>
      <c r="BM548">
        <f t="shared" si="467"/>
        <v>-54.359675350375205</v>
      </c>
      <c r="BN548">
        <f t="shared" si="455"/>
        <v>-94.070432720812732</v>
      </c>
      <c r="BQ548" s="56">
        <f t="shared" si="468"/>
        <v>14.672624143224535</v>
      </c>
    </row>
    <row r="549" spans="1:69" x14ac:dyDescent="0.25">
      <c r="A549">
        <f t="shared" si="472"/>
        <v>1675000</v>
      </c>
      <c r="B549">
        <f t="shared" si="456"/>
        <v>1675</v>
      </c>
      <c r="C549">
        <f t="shared" si="425"/>
        <v>13.92806781519325</v>
      </c>
      <c r="D549">
        <f t="shared" si="426"/>
        <v>1.498937030987612</v>
      </c>
      <c r="F549">
        <f t="shared" si="427"/>
        <v>9.1354306531766529E-6</v>
      </c>
      <c r="G549">
        <f t="shared" si="428"/>
        <v>1.0281671327373463E-3</v>
      </c>
      <c r="H549">
        <f t="shared" si="429"/>
        <v>-3.140564482867263</v>
      </c>
      <c r="J549">
        <f t="shared" si="430"/>
        <v>15</v>
      </c>
      <c r="M549">
        <f t="shared" si="431"/>
        <v>7.5953538434330207E-4</v>
      </c>
      <c r="N549">
        <f t="shared" si="432"/>
        <v>-1.5707963250000001</v>
      </c>
      <c r="O549">
        <f t="shared" si="433"/>
        <v>486.64629529695247</v>
      </c>
      <c r="P549">
        <f t="shared" si="434"/>
        <v>1.5687414448130113</v>
      </c>
      <c r="Q549">
        <f t="shared" si="435"/>
        <v>429.73082565470054</v>
      </c>
      <c r="R549">
        <f t="shared" si="436"/>
        <v>1.5684692866041066</v>
      </c>
      <c r="S549">
        <f t="shared" si="437"/>
        <v>7.689653898025417E-2</v>
      </c>
      <c r="T549">
        <f t="shared" si="438"/>
        <v>-1.4938238029183584</v>
      </c>
      <c r="U549">
        <f t="shared" si="439"/>
        <v>9.4781045568389941E-2</v>
      </c>
      <c r="V549">
        <f t="shared" si="440"/>
        <v>-1.475872794384371</v>
      </c>
      <c r="X549">
        <f t="shared" si="457"/>
        <v>-53.114052282661888</v>
      </c>
      <c r="Y549">
        <f t="shared" si="441"/>
        <v>-174.46047172848691</v>
      </c>
      <c r="Z549">
        <f t="shared" si="458"/>
        <v>5.5395282715130918</v>
      </c>
      <c r="AC549">
        <v>1</v>
      </c>
      <c r="AD549">
        <f t="shared" si="442"/>
        <v>486.64526785560003</v>
      </c>
      <c r="AE549">
        <f t="shared" si="443"/>
        <v>-0.76824270131784833</v>
      </c>
      <c r="AF549">
        <f t="shared" si="444"/>
        <v>7.3144130873624993E-2</v>
      </c>
      <c r="AG549">
        <f t="shared" si="421"/>
        <v>58.479024502426746</v>
      </c>
      <c r="AH549">
        <f t="shared" si="422"/>
        <v>-627.88474216100678</v>
      </c>
      <c r="AJ549">
        <f t="shared" si="445"/>
        <v>18000</v>
      </c>
      <c r="AK549">
        <f t="shared" si="446"/>
        <v>233387.66133144</v>
      </c>
      <c r="AL549">
        <v>1</v>
      </c>
      <c r="AM549">
        <f t="shared" si="447"/>
        <v>429.72966213408</v>
      </c>
      <c r="AN549">
        <f t="shared" si="423"/>
        <v>543.19797922592238</v>
      </c>
      <c r="AO549">
        <f t="shared" si="424"/>
        <v>-40.622753230675002</v>
      </c>
      <c r="AQ549">
        <f t="shared" si="448"/>
        <v>8.9106697339568072E-4</v>
      </c>
      <c r="AR549">
        <f t="shared" si="449"/>
        <v>-2.9850743608755304</v>
      </c>
      <c r="AT549">
        <f t="shared" si="470"/>
        <v>-1874.2305366823939</v>
      </c>
      <c r="AU549">
        <f t="shared" si="471"/>
        <v>-175.12372404804472</v>
      </c>
      <c r="AV549">
        <f t="shared" si="459"/>
        <v>-3.0484254957073329</v>
      </c>
      <c r="AW549">
        <f t="shared" si="460"/>
        <v>482.76818122437209</v>
      </c>
      <c r="AX549">
        <f t="shared" si="461"/>
        <v>-2392.5854424767217</v>
      </c>
      <c r="AY549">
        <f t="shared" si="469"/>
        <v>-1.3716929119552259</v>
      </c>
      <c r="BA549">
        <f t="shared" si="450"/>
        <v>0.77121857256501591</v>
      </c>
      <c r="BB549">
        <f t="shared" si="462"/>
        <v>-2.2564504050978282</v>
      </c>
      <c r="BC549">
        <f t="shared" si="463"/>
        <v>-1.676732583752107</v>
      </c>
      <c r="BD549">
        <f t="shared" si="451"/>
        <v>-276.06970053083717</v>
      </c>
      <c r="BF549">
        <f t="shared" si="452"/>
        <v>-56.642227265659749</v>
      </c>
      <c r="BG549">
        <f t="shared" si="453"/>
        <v>-190.12802516383414</v>
      </c>
      <c r="BH549">
        <f t="shared" si="464"/>
        <v>-10.128025163834138</v>
      </c>
      <c r="BI549">
        <f t="shared" si="465"/>
        <v>-10.128025163834138</v>
      </c>
      <c r="BJ549">
        <f t="shared" si="454"/>
        <v>0</v>
      </c>
      <c r="BK549">
        <f t="shared" si="466"/>
        <v>0</v>
      </c>
      <c r="BM549">
        <f t="shared" si="467"/>
        <v>-54.385776860561919</v>
      </c>
      <c r="BN549">
        <f t="shared" si="455"/>
        <v>-94.058324632996943</v>
      </c>
      <c r="BQ549" s="56">
        <f t="shared" si="468"/>
        <v>14.645510395187308</v>
      </c>
    </row>
    <row r="550" spans="1:69" x14ac:dyDescent="0.25">
      <c r="A550">
        <f t="shared" si="472"/>
        <v>1680000</v>
      </c>
      <c r="B550">
        <f t="shared" si="456"/>
        <v>1680</v>
      </c>
      <c r="C550">
        <f t="shared" si="425"/>
        <v>13.969430133520929</v>
      </c>
      <c r="D550">
        <f t="shared" si="426"/>
        <v>1.4991501657278816</v>
      </c>
      <c r="F550">
        <f t="shared" si="427"/>
        <v>9.081133541311342E-6</v>
      </c>
      <c r="G550">
        <f t="shared" si="428"/>
        <v>1.0251070576686105E-3</v>
      </c>
      <c r="H550">
        <f t="shared" si="429"/>
        <v>-3.1405675429423314</v>
      </c>
      <c r="J550">
        <f t="shared" si="430"/>
        <v>15</v>
      </c>
      <c r="M550">
        <f t="shared" si="431"/>
        <v>7.5727486236608994E-4</v>
      </c>
      <c r="N550">
        <f t="shared" si="432"/>
        <v>-1.5707963250000001</v>
      </c>
      <c r="O550">
        <f t="shared" si="433"/>
        <v>488.0989646804577</v>
      </c>
      <c r="P550">
        <f t="shared" si="434"/>
        <v>1.5687475605160563</v>
      </c>
      <c r="Q550">
        <f t="shared" si="435"/>
        <v>431.01359730269883</v>
      </c>
      <c r="R550">
        <f t="shared" si="436"/>
        <v>1.5684762122940692</v>
      </c>
      <c r="S550">
        <f t="shared" si="437"/>
        <v>7.6669027493011674E-2</v>
      </c>
      <c r="T550">
        <f t="shared" si="438"/>
        <v>-1.4940519880440797</v>
      </c>
      <c r="U550">
        <f t="shared" si="439"/>
        <v>9.4501482031031203E-2</v>
      </c>
      <c r="V550">
        <f t="shared" si="440"/>
        <v>-1.4761536184176296</v>
      </c>
      <c r="X550">
        <f t="shared" si="457"/>
        <v>-53.165580330570222</v>
      </c>
      <c r="Y550">
        <f t="shared" si="441"/>
        <v>-174.47685219657171</v>
      </c>
      <c r="Z550">
        <f t="shared" si="458"/>
        <v>5.5231478034282873</v>
      </c>
      <c r="AC550">
        <v>1</v>
      </c>
      <c r="AD550">
        <f t="shared" si="442"/>
        <v>488.09794029696002</v>
      </c>
      <c r="AE550">
        <f t="shared" si="443"/>
        <v>-0.7728360704654027</v>
      </c>
      <c r="AF550">
        <f t="shared" si="444"/>
        <v>7.33624715628E-2</v>
      </c>
      <c r="AG550">
        <f t="shared" si="421"/>
        <v>58.134557058311081</v>
      </c>
      <c r="AH550">
        <f t="shared" si="422"/>
        <v>-626.04873659246914</v>
      </c>
      <c r="AJ550">
        <f t="shared" si="445"/>
        <v>18000</v>
      </c>
      <c r="AK550">
        <f t="shared" si="446"/>
        <v>234084.34091750399</v>
      </c>
      <c r="AL550">
        <v>1</v>
      </c>
      <c r="AM550">
        <f t="shared" si="447"/>
        <v>431.01243724492798</v>
      </c>
      <c r="AN550">
        <f t="shared" si="423"/>
        <v>543.19741738204789</v>
      </c>
      <c r="AO550">
        <f t="shared" si="424"/>
        <v>-40.50185348293769</v>
      </c>
      <c r="AQ550">
        <f t="shared" si="448"/>
        <v>8.8577089659767428E-4</v>
      </c>
      <c r="AR550">
        <f t="shared" si="449"/>
        <v>-2.9761902125681856</v>
      </c>
      <c r="AT550">
        <f t="shared" si="470"/>
        <v>-1863.1886285384558</v>
      </c>
      <c r="AU550">
        <f t="shared" si="471"/>
        <v>-173.57403547965754</v>
      </c>
      <c r="AV550">
        <f t="shared" si="459"/>
        <v>-3.0487010924525348</v>
      </c>
      <c r="AW550">
        <f t="shared" si="460"/>
        <v>483.12998286059968</v>
      </c>
      <c r="AX550">
        <f t="shared" si="461"/>
        <v>-2385.4964998344799</v>
      </c>
      <c r="AY550">
        <f t="shared" si="469"/>
        <v>-1.370971124155135</v>
      </c>
      <c r="BA550">
        <f t="shared" si="450"/>
        <v>0.76882134475666408</v>
      </c>
      <c r="BB550">
        <f t="shared" si="462"/>
        <v>-2.2834913574313367</v>
      </c>
      <c r="BC550">
        <f t="shared" si="463"/>
        <v>-1.6777299682973998</v>
      </c>
      <c r="BD550">
        <f t="shared" si="451"/>
        <v>-276.12684645589934</v>
      </c>
      <c r="BF550">
        <f t="shared" si="452"/>
        <v>-56.695291133890713</v>
      </c>
      <c r="BG550">
        <f t="shared" si="453"/>
        <v>-190.17313469718388</v>
      </c>
      <c r="BH550">
        <f t="shared" si="464"/>
        <v>-10.173134697183883</v>
      </c>
      <c r="BI550">
        <f t="shared" si="465"/>
        <v>-10.173134697183883</v>
      </c>
      <c r="BJ550">
        <f t="shared" si="454"/>
        <v>0</v>
      </c>
      <c r="BK550">
        <f t="shared" si="466"/>
        <v>0</v>
      </c>
      <c r="BM550">
        <f t="shared" si="467"/>
        <v>-54.411799776459375</v>
      </c>
      <c r="BN550">
        <f t="shared" si="455"/>
        <v>-94.046288241284543</v>
      </c>
      <c r="BQ550" s="56">
        <f t="shared" si="468"/>
        <v>14.618469442853801</v>
      </c>
    </row>
    <row r="551" spans="1:69" x14ac:dyDescent="0.25">
      <c r="A551">
        <f t="shared" si="472"/>
        <v>1685000</v>
      </c>
      <c r="B551">
        <f t="shared" si="456"/>
        <v>1685</v>
      </c>
      <c r="C551">
        <f t="shared" si="425"/>
        <v>14.010793082682968</v>
      </c>
      <c r="D551">
        <f t="shared" si="426"/>
        <v>1.4993620420362725</v>
      </c>
      <c r="F551">
        <f t="shared" si="427"/>
        <v>9.0273190745372081E-6</v>
      </c>
      <c r="G551">
        <f t="shared" si="428"/>
        <v>1.0220651437599399E-3</v>
      </c>
      <c r="H551">
        <f t="shared" si="429"/>
        <v>-3.1405705848562402</v>
      </c>
      <c r="J551">
        <f t="shared" si="430"/>
        <v>15</v>
      </c>
      <c r="M551">
        <f t="shared" si="431"/>
        <v>7.5502775594957336E-4</v>
      </c>
      <c r="N551">
        <f t="shared" si="432"/>
        <v>-1.5707963250000001</v>
      </c>
      <c r="O551">
        <f t="shared" si="433"/>
        <v>489.55163408211041</v>
      </c>
      <c r="P551">
        <f t="shared" si="434"/>
        <v>1.5687536399242796</v>
      </c>
      <c r="Q551">
        <f t="shared" si="435"/>
        <v>432.29636897124817</v>
      </c>
      <c r="R551">
        <f t="shared" si="436"/>
        <v>1.568483096882235</v>
      </c>
      <c r="S551">
        <f t="shared" si="437"/>
        <v>7.6442854352115175E-2</v>
      </c>
      <c r="T551">
        <f t="shared" si="438"/>
        <v>-1.4942788268922307</v>
      </c>
      <c r="U551">
        <f t="shared" si="439"/>
        <v>9.4223555464022668E-2</v>
      </c>
      <c r="V551">
        <f t="shared" si="440"/>
        <v>-1.4764327906794528</v>
      </c>
      <c r="X551">
        <f t="shared" si="457"/>
        <v>-53.216956719156613</v>
      </c>
      <c r="Y551">
        <f t="shared" si="441"/>
        <v>-174.49313638587881</v>
      </c>
      <c r="Z551">
        <f t="shared" si="458"/>
        <v>5.5068636141211869</v>
      </c>
      <c r="AC551">
        <v>1</v>
      </c>
      <c r="AD551">
        <f t="shared" si="442"/>
        <v>489.55061273832001</v>
      </c>
      <c r="AE551">
        <f t="shared" si="443"/>
        <v>-0.77744313072815086</v>
      </c>
      <c r="AF551">
        <f t="shared" si="444"/>
        <v>7.3580812251974992E-2</v>
      </c>
      <c r="AG551">
        <f t="shared" si="421"/>
        <v>57.793115238654728</v>
      </c>
      <c r="AH551">
        <f t="shared" si="422"/>
        <v>-624.22334084032491</v>
      </c>
      <c r="AJ551">
        <f t="shared" si="445"/>
        <v>18000</v>
      </c>
      <c r="AK551">
        <f t="shared" si="446"/>
        <v>234781.020503568</v>
      </c>
      <c r="AL551">
        <v>1</v>
      </c>
      <c r="AM551">
        <f t="shared" si="447"/>
        <v>432.29521235577602</v>
      </c>
      <c r="AN551">
        <f t="shared" si="423"/>
        <v>543.19686053229088</v>
      </c>
      <c r="AO551">
        <f t="shared" si="424"/>
        <v>-40.381671229569108</v>
      </c>
      <c r="AQ551">
        <f t="shared" si="448"/>
        <v>8.8052189589395906E-4</v>
      </c>
      <c r="AR551">
        <f t="shared" si="449"/>
        <v>-2.9673587891626423</v>
      </c>
      <c r="AT551">
        <f t="shared" si="470"/>
        <v>-1852.2437287396062</v>
      </c>
      <c r="AU551">
        <f t="shared" si="471"/>
        <v>-172.04255077604952</v>
      </c>
      <c r="AV551">
        <f t="shared" si="459"/>
        <v>-3.0489750684486312</v>
      </c>
      <c r="AW551">
        <f t="shared" si="460"/>
        <v>483.48853109849802</v>
      </c>
      <c r="AX551">
        <f t="shared" si="461"/>
        <v>-2378.4493493655182</v>
      </c>
      <c r="AY551">
        <f t="shared" si="469"/>
        <v>-1.3702499903473235</v>
      </c>
      <c r="BA551">
        <f t="shared" si="450"/>
        <v>0.76643795273541671</v>
      </c>
      <c r="BB551">
        <f t="shared" si="462"/>
        <v>-2.3104599571011795</v>
      </c>
      <c r="BC551">
        <f t="shared" si="463"/>
        <v>-1.6787250781013077</v>
      </c>
      <c r="BD551">
        <f t="shared" si="451"/>
        <v>-276.1838620478805</v>
      </c>
      <c r="BF551">
        <f t="shared" si="452"/>
        <v>-56.748204529308936</v>
      </c>
      <c r="BG551">
        <f t="shared" si="453"/>
        <v>-190.21818495973037</v>
      </c>
      <c r="BH551">
        <f t="shared" si="464"/>
        <v>-10.218184959730365</v>
      </c>
      <c r="BI551">
        <f t="shared" si="465"/>
        <v>-10.218184959730365</v>
      </c>
      <c r="BJ551">
        <f t="shared" si="454"/>
        <v>0</v>
      </c>
      <c r="BK551">
        <f t="shared" si="466"/>
        <v>0</v>
      </c>
      <c r="BM551">
        <f t="shared" si="467"/>
        <v>-54.437744572207755</v>
      </c>
      <c r="BN551">
        <f t="shared" si="455"/>
        <v>-94.034322911849884</v>
      </c>
      <c r="BQ551" s="56">
        <f t="shared" si="468"/>
        <v>14.591500843183958</v>
      </c>
    </row>
    <row r="552" spans="1:69" x14ac:dyDescent="0.25">
      <c r="A552">
        <f t="shared" si="472"/>
        <v>1690000</v>
      </c>
      <c r="B552">
        <f t="shared" si="456"/>
        <v>1690</v>
      </c>
      <c r="C552">
        <f t="shared" si="425"/>
        <v>14.052156657108725</v>
      </c>
      <c r="D552">
        <f t="shared" si="426"/>
        <v>1.499572671006542</v>
      </c>
      <c r="F552">
        <f t="shared" si="427"/>
        <v>8.9739815494546727E-6</v>
      </c>
      <c r="G552">
        <f t="shared" si="428"/>
        <v>1.0190412298119842E-3</v>
      </c>
      <c r="H552">
        <f t="shared" si="429"/>
        <v>-3.1405736087701883</v>
      </c>
      <c r="J552">
        <f t="shared" si="430"/>
        <v>15</v>
      </c>
      <c r="M552">
        <f t="shared" si="431"/>
        <v>7.5279394602072842E-4</v>
      </c>
      <c r="N552">
        <f t="shared" si="432"/>
        <v>-1.5707963250000001</v>
      </c>
      <c r="O552">
        <f t="shared" si="433"/>
        <v>491.00430350174946</v>
      </c>
      <c r="P552">
        <f t="shared" si="434"/>
        <v>1.568759683359823</v>
      </c>
      <c r="Q552">
        <f t="shared" si="435"/>
        <v>433.57914066016599</v>
      </c>
      <c r="R552">
        <f t="shared" si="436"/>
        <v>1.5684899407334099</v>
      </c>
      <c r="S552">
        <f t="shared" si="437"/>
        <v>7.6218007817585073E-2</v>
      </c>
      <c r="T552">
        <f t="shared" si="438"/>
        <v>-1.4945043313190545</v>
      </c>
      <c r="U552">
        <f t="shared" si="439"/>
        <v>9.3947251596243217E-2</v>
      </c>
      <c r="V552">
        <f t="shared" si="440"/>
        <v>-1.4767103256572387</v>
      </c>
      <c r="X552">
        <f t="shared" si="457"/>
        <v>-53.268182334290451</v>
      </c>
      <c r="Y552">
        <f t="shared" si="441"/>
        <v>-174.50932514003912</v>
      </c>
      <c r="Z552">
        <f t="shared" si="458"/>
        <v>5.4906748599608761</v>
      </c>
      <c r="AC552">
        <v>1</v>
      </c>
      <c r="AD552">
        <f t="shared" si="442"/>
        <v>491.00328517968006</v>
      </c>
      <c r="AE552">
        <f t="shared" si="443"/>
        <v>-0.7820638821060929</v>
      </c>
      <c r="AF552">
        <f t="shared" si="444"/>
        <v>7.3799152941149998E-2</v>
      </c>
      <c r="AG552">
        <f t="shared" ref="AG552:AG615" si="473">AC552*AE552/(AE552^2+AF552^2)+AD552*AF552/(AE552^2+AF552^2)</f>
        <v>57.454663818411291</v>
      </c>
      <c r="AH552">
        <f t="shared" ref="AH552:AH615" si="474">AD552*AE552/(AE552^2+AF552^2)-AC552*AF552/(AE552^2+AF552^2)</f>
        <v>-622.40846405860441</v>
      </c>
      <c r="AJ552">
        <f t="shared" si="445"/>
        <v>18000</v>
      </c>
      <c r="AK552">
        <f t="shared" si="446"/>
        <v>235477.70008963198</v>
      </c>
      <c r="AL552">
        <v>1</v>
      </c>
      <c r="AM552">
        <f t="shared" si="447"/>
        <v>433.57798746662399</v>
      </c>
      <c r="AN552">
        <f t="shared" ref="AN552:AN615" si="475">AJ552*AL552/(AL552^2+AM552^2)+AK552*AM552/(AL552^2+AM552^2)</f>
        <v>543.19630861763733</v>
      </c>
      <c r="AO552">
        <f t="shared" ref="AO552:AO615" si="476">AK552*AL552/(AL552^2+AM552^2)-AJ552*AM552/(AL552^2+AM552^2)</f>
        <v>-40.262200102412152</v>
      </c>
      <c r="AQ552">
        <f t="shared" si="448"/>
        <v>8.7531941499602469E-4</v>
      </c>
      <c r="AR552">
        <f t="shared" si="449"/>
        <v>-2.9585796226865635</v>
      </c>
      <c r="AT552">
        <f t="shared" si="470"/>
        <v>-1841.394707568707</v>
      </c>
      <c r="AU552">
        <f t="shared" si="471"/>
        <v>-170.52900381410697</v>
      </c>
      <c r="AV552">
        <f t="shared" si="459"/>
        <v>-3.0492474379076757</v>
      </c>
      <c r="AW552">
        <f t="shared" si="460"/>
        <v>483.8438649268578</v>
      </c>
      <c r="AX552">
        <f t="shared" si="461"/>
        <v>-2371.4436233656097</v>
      </c>
      <c r="AY552">
        <f t="shared" si="469"/>
        <v>-1.3695295067023339</v>
      </c>
      <c r="BA552">
        <f t="shared" si="450"/>
        <v>0.76406827533348798</v>
      </c>
      <c r="BB552">
        <f t="shared" si="462"/>
        <v>-2.3373566432572477</v>
      </c>
      <c r="BC552">
        <f t="shared" si="463"/>
        <v>-1.6797179312053419</v>
      </c>
      <c r="BD552">
        <f t="shared" si="451"/>
        <v>-276.24074834048315</v>
      </c>
      <c r="BF552">
        <f t="shared" si="452"/>
        <v>-56.800968360907831</v>
      </c>
      <c r="BG552">
        <f t="shared" si="453"/>
        <v>-190.26317635878661</v>
      </c>
      <c r="BH552">
        <f t="shared" si="464"/>
        <v>-10.263176358786609</v>
      </c>
      <c r="BI552">
        <f t="shared" si="465"/>
        <v>-10.263176358786609</v>
      </c>
      <c r="BJ552">
        <f t="shared" si="454"/>
        <v>0</v>
      </c>
      <c r="BK552">
        <f t="shared" si="466"/>
        <v>0</v>
      </c>
      <c r="BM552">
        <f t="shared" si="467"/>
        <v>-54.463611717650586</v>
      </c>
      <c r="BN552">
        <f t="shared" si="455"/>
        <v>-94.022428018303501</v>
      </c>
      <c r="BQ552" s="56">
        <f t="shared" si="468"/>
        <v>14.56460415702789</v>
      </c>
    </row>
    <row r="553" spans="1:69" x14ac:dyDescent="0.25">
      <c r="A553">
        <f t="shared" si="472"/>
        <v>1695000</v>
      </c>
      <c r="B553">
        <f t="shared" si="456"/>
        <v>1695</v>
      </c>
      <c r="C553">
        <f t="shared" si="425"/>
        <v>14.093520851292874</v>
      </c>
      <c r="D553">
        <f t="shared" si="426"/>
        <v>1.499782063602654</v>
      </c>
      <c r="F553">
        <f t="shared" si="427"/>
        <v>8.9211153466622633E-6</v>
      </c>
      <c r="G553">
        <f t="shared" si="428"/>
        <v>1.0160351565275327E-3</v>
      </c>
      <c r="H553">
        <f t="shared" si="429"/>
        <v>-3.1405766148434728</v>
      </c>
      <c r="J553">
        <f t="shared" si="430"/>
        <v>15</v>
      </c>
      <c r="M553">
        <f t="shared" si="431"/>
        <v>7.5057331491152279E-4</v>
      </c>
      <c r="N553">
        <f t="shared" si="432"/>
        <v>-1.5707963250000001</v>
      </c>
      <c r="O553">
        <f t="shared" si="433"/>
        <v>492.45697293921575</v>
      </c>
      <c r="P553">
        <f t="shared" si="434"/>
        <v>1.5687656911410268</v>
      </c>
      <c r="Q553">
        <f t="shared" si="435"/>
        <v>434.86191236927215</v>
      </c>
      <c r="R553">
        <f t="shared" si="436"/>
        <v>1.5684967442080959</v>
      </c>
      <c r="S553">
        <f t="shared" si="437"/>
        <v>7.5994476285945731E-2</v>
      </c>
      <c r="T553">
        <f t="shared" si="438"/>
        <v>-1.4947285130422538</v>
      </c>
      <c r="U553">
        <f t="shared" si="439"/>
        <v>9.3672556321221304E-2</v>
      </c>
      <c r="V553">
        <f t="shared" si="440"/>
        <v>-1.4769862376699603</v>
      </c>
      <c r="X553">
        <f t="shared" si="457"/>
        <v>-53.31925805413897</v>
      </c>
      <c r="Y553">
        <f t="shared" si="441"/>
        <v>-174.52541929288756</v>
      </c>
      <c r="Z553">
        <f t="shared" si="458"/>
        <v>5.4745807071124375</v>
      </c>
      <c r="AC553">
        <v>1</v>
      </c>
      <c r="AD553">
        <f t="shared" si="442"/>
        <v>492.45595762104006</v>
      </c>
      <c r="AE553">
        <f t="shared" si="443"/>
        <v>-0.78669832459922884</v>
      </c>
      <c r="AF553">
        <f t="shared" si="444"/>
        <v>7.4017493630325004E-2</v>
      </c>
      <c r="AG553">
        <f t="shared" si="473"/>
        <v>57.11916808213229</v>
      </c>
      <c r="AH553">
        <f t="shared" si="474"/>
        <v>-620.60401642531974</v>
      </c>
      <c r="AJ553">
        <f t="shared" si="445"/>
        <v>18000</v>
      </c>
      <c r="AK553">
        <f t="shared" si="446"/>
        <v>236174.37967569602</v>
      </c>
      <c r="AL553">
        <v>1</v>
      </c>
      <c r="AM553">
        <f t="shared" si="447"/>
        <v>434.86076257747203</v>
      </c>
      <c r="AN553">
        <f t="shared" si="475"/>
        <v>543.19576157994254</v>
      </c>
      <c r="AO553">
        <f t="shared" si="476"/>
        <v>-40.143433808448208</v>
      </c>
      <c r="AQ553">
        <f t="shared" si="448"/>
        <v>8.7016290580808507E-4</v>
      </c>
      <c r="AR553">
        <f t="shared" si="449"/>
        <v>-2.9498522506894083</v>
      </c>
      <c r="AT553">
        <f t="shared" si="470"/>
        <v>-1830.6404516578402</v>
      </c>
      <c r="AU553">
        <f t="shared" si="471"/>
        <v>-169.03313311887339</v>
      </c>
      <c r="AV553">
        <f t="shared" si="459"/>
        <v>-3.0495182148765454</v>
      </c>
      <c r="AW553">
        <f t="shared" si="460"/>
        <v>484.19602275080877</v>
      </c>
      <c r="AX553">
        <f t="shared" si="461"/>
        <v>-2364.4789584226492</v>
      </c>
      <c r="AY553">
        <f t="shared" si="469"/>
        <v>-1.3688096694428418</v>
      </c>
      <c r="BA553">
        <f t="shared" si="450"/>
        <v>0.76171219279547797</v>
      </c>
      <c r="BB553">
        <f t="shared" si="462"/>
        <v>-2.364181851204016</v>
      </c>
      <c r="BC553">
        <f t="shared" si="463"/>
        <v>-1.6807085454337036</v>
      </c>
      <c r="BD553">
        <f t="shared" si="451"/>
        <v>-276.29750635495873</v>
      </c>
      <c r="BF553">
        <f t="shared" si="452"/>
        <v>-56.853583529590793</v>
      </c>
      <c r="BG553">
        <f t="shared" si="453"/>
        <v>-190.30810929654231</v>
      </c>
      <c r="BH553">
        <f t="shared" si="464"/>
        <v>-10.308109296542312</v>
      </c>
      <c r="BI553">
        <f t="shared" si="465"/>
        <v>-10.308109296542312</v>
      </c>
      <c r="BJ553">
        <f t="shared" si="454"/>
        <v>0</v>
      </c>
      <c r="BK553">
        <f t="shared" si="466"/>
        <v>0</v>
      </c>
      <c r="BM553">
        <f t="shared" si="467"/>
        <v>-54.489401678386777</v>
      </c>
      <c r="BN553">
        <f t="shared" si="455"/>
        <v>-94.010602941583585</v>
      </c>
      <c r="BQ553" s="56">
        <f t="shared" si="468"/>
        <v>14.537778949081119</v>
      </c>
    </row>
    <row r="554" spans="1:69" x14ac:dyDescent="0.25">
      <c r="A554">
        <f t="shared" si="472"/>
        <v>1700000</v>
      </c>
      <c r="B554">
        <f t="shared" si="456"/>
        <v>1700</v>
      </c>
      <c r="C554">
        <f t="shared" si="425"/>
        <v>14.134885659794453</v>
      </c>
      <c r="D554">
        <f t="shared" si="426"/>
        <v>1.4999902306606672</v>
      </c>
      <c r="F554">
        <f t="shared" si="427"/>
        <v>8.8687149292764501E-6</v>
      </c>
      <c r="G554">
        <f t="shared" si="428"/>
        <v>1.0130467664835408E-3</v>
      </c>
      <c r="H554">
        <f t="shared" si="429"/>
        <v>-3.1405796032335167</v>
      </c>
      <c r="J554">
        <f t="shared" si="430"/>
        <v>15</v>
      </c>
      <c r="M554">
        <f t="shared" si="431"/>
        <v>7.4836574633825354E-4</v>
      </c>
      <c r="N554">
        <f t="shared" si="432"/>
        <v>-1.5707963250000001</v>
      </c>
      <c r="O554">
        <f t="shared" si="433"/>
        <v>493.90964239435203</v>
      </c>
      <c r="P554">
        <f t="shared" si="434"/>
        <v>1.5687716635824864</v>
      </c>
      <c r="Q554">
        <f t="shared" si="435"/>
        <v>436.14468409838844</v>
      </c>
      <c r="R554">
        <f t="shared" si="436"/>
        <v>1.5685035076625538</v>
      </c>
      <c r="S554">
        <f t="shared" si="437"/>
        <v>7.5772248288253116E-2</v>
      </c>
      <c r="T554">
        <f t="shared" si="438"/>
        <v>-1.4949513836430042</v>
      </c>
      <c r="U554">
        <f t="shared" si="439"/>
        <v>9.3399455694778255E-2</v>
      </c>
      <c r="V554">
        <f t="shared" si="440"/>
        <v>-1.4772605408705988</v>
      </c>
      <c r="X554">
        <f t="shared" si="457"/>
        <v>-53.370184749255813</v>
      </c>
      <c r="Y554">
        <f t="shared" si="441"/>
        <v>-174.54141966860476</v>
      </c>
      <c r="Z554">
        <f t="shared" si="458"/>
        <v>5.4585803313952397</v>
      </c>
      <c r="AC554">
        <v>1</v>
      </c>
      <c r="AD554">
        <f t="shared" si="442"/>
        <v>493.90863006239999</v>
      </c>
      <c r="AE554">
        <f t="shared" si="443"/>
        <v>-0.79134645820755867</v>
      </c>
      <c r="AF554">
        <f t="shared" si="444"/>
        <v>7.4235834319499996E-2</v>
      </c>
      <c r="AG554">
        <f t="shared" si="473"/>
        <v>56.786593815172886</v>
      </c>
      <c r="AH554">
        <f t="shared" si="474"/>
        <v>-618.80990912823256</v>
      </c>
      <c r="AJ554">
        <f t="shared" si="445"/>
        <v>18000</v>
      </c>
      <c r="AK554">
        <f t="shared" si="446"/>
        <v>236871.05926176001</v>
      </c>
      <c r="AL554">
        <v>1</v>
      </c>
      <c r="AM554">
        <f t="shared" si="447"/>
        <v>436.14353768832001</v>
      </c>
      <c r="AN554">
        <f t="shared" si="475"/>
        <v>543.19521936191518</v>
      </c>
      <c r="AO554">
        <f t="shared" si="476"/>
        <v>-40.025366128692227</v>
      </c>
      <c r="AQ554">
        <f t="shared" si="448"/>
        <v>8.6505182828271383E-4</v>
      </c>
      <c r="AR554">
        <f t="shared" si="449"/>
        <v>-2.9411762161612272</v>
      </c>
      <c r="AT554">
        <f t="shared" si="470"/>
        <v>-1819.9798637060462</v>
      </c>
      <c r="AU554">
        <f t="shared" si="471"/>
        <v>-167.55468176924558</v>
      </c>
      <c r="AV554">
        <f t="shared" si="459"/>
        <v>-3.0497874132393274</v>
      </c>
      <c r="AW554">
        <f t="shared" si="460"/>
        <v>484.54504240229522</v>
      </c>
      <c r="AX554">
        <f t="shared" si="461"/>
        <v>-2357.5549953543336</v>
      </c>
      <c r="AY554">
        <f t="shared" si="469"/>
        <v>-1.3680904748428326</v>
      </c>
      <c r="BA554">
        <f t="shared" si="450"/>
        <v>0.75936958675791966</v>
      </c>
      <c r="BB554">
        <f t="shared" si="462"/>
        <v>-2.3909360124445609</v>
      </c>
      <c r="BC554">
        <f t="shared" si="463"/>
        <v>-1.6816969383964948</v>
      </c>
      <c r="BD554">
        <f t="shared" si="451"/>
        <v>-276.35413710029178</v>
      </c>
      <c r="BF554">
        <f t="shared" si="452"/>
        <v>-56.906050928266311</v>
      </c>
      <c r="BG554">
        <f t="shared" si="453"/>
        <v>-190.35298417014121</v>
      </c>
      <c r="BH554">
        <f t="shared" si="464"/>
        <v>-10.352984170141212</v>
      </c>
      <c r="BI554">
        <f t="shared" si="465"/>
        <v>-10.352984170141212</v>
      </c>
      <c r="BJ554">
        <f t="shared" si="454"/>
        <v>0</v>
      </c>
      <c r="BK554">
        <f t="shared" si="466"/>
        <v>0</v>
      </c>
      <c r="BM554">
        <f t="shared" si="467"/>
        <v>-54.515114915821755</v>
      </c>
      <c r="BN554">
        <f t="shared" si="455"/>
        <v>-93.99884706984939</v>
      </c>
      <c r="BQ554" s="56">
        <f t="shared" si="468"/>
        <v>14.511024787840574</v>
      </c>
    </row>
    <row r="555" spans="1:69" x14ac:dyDescent="0.25">
      <c r="A555">
        <f t="shared" si="472"/>
        <v>1705000</v>
      </c>
      <c r="B555">
        <f t="shared" si="456"/>
        <v>1705</v>
      </c>
      <c r="C555">
        <f t="shared" si="425"/>
        <v>14.176251077235916</v>
      </c>
      <c r="D555">
        <f t="shared" si="426"/>
        <v>1.5001971828905925</v>
      </c>
      <c r="F555">
        <f t="shared" si="427"/>
        <v>8.8167748414818259E-6</v>
      </c>
      <c r="G555">
        <f t="shared" si="428"/>
        <v>1.0100759041036475E-3</v>
      </c>
      <c r="H555">
        <f t="shared" si="429"/>
        <v>-3.1405825740958964</v>
      </c>
      <c r="J555">
        <f t="shared" si="430"/>
        <v>15</v>
      </c>
      <c r="M555">
        <f t="shared" si="431"/>
        <v>7.4617112538124988E-4</v>
      </c>
      <c r="N555">
        <f t="shared" si="432"/>
        <v>-1.5707963250000001</v>
      </c>
      <c r="O555">
        <f t="shared" si="433"/>
        <v>495.36231186700269</v>
      </c>
      <c r="P555">
        <f t="shared" si="434"/>
        <v>1.5687776009951071</v>
      </c>
      <c r="Q555">
        <f t="shared" si="435"/>
        <v>437.42745584733888</v>
      </c>
      <c r="R555">
        <f t="shared" si="436"/>
        <v>1.5685102314488646</v>
      </c>
      <c r="S555">
        <f t="shared" si="437"/>
        <v>7.5551312488156691E-2</v>
      </c>
      <c r="T555">
        <f t="shared" si="438"/>
        <v>-1.495172954567932</v>
      </c>
      <c r="U555">
        <f t="shared" si="439"/>
        <v>9.3127935932711986E-2</v>
      </c>
      <c r="V555">
        <f t="shared" si="440"/>
        <v>-1.4775332492485349</v>
      </c>
      <c r="X555">
        <f t="shared" si="457"/>
        <v>-53.420963282668325</v>
      </c>
      <c r="Y555">
        <f t="shared" si="441"/>
        <v>-174.55732708185568</v>
      </c>
      <c r="Z555">
        <f t="shared" si="458"/>
        <v>5.442672918144325</v>
      </c>
      <c r="AC555">
        <v>1</v>
      </c>
      <c r="AD555">
        <f t="shared" si="442"/>
        <v>495.36130250375999</v>
      </c>
      <c r="AE555">
        <f t="shared" si="443"/>
        <v>-0.79600828293108228</v>
      </c>
      <c r="AF555">
        <f t="shared" si="444"/>
        <v>7.4454175008675003E-2</v>
      </c>
      <c r="AG555">
        <f t="shared" si="473"/>
        <v>56.456907295073442</v>
      </c>
      <c r="AH555">
        <f t="shared" si="474"/>
        <v>-617.02605435085411</v>
      </c>
      <c r="AJ555">
        <f t="shared" si="445"/>
        <v>18000</v>
      </c>
      <c r="AK555">
        <f t="shared" si="446"/>
        <v>237567.73884782399</v>
      </c>
      <c r="AL555">
        <v>1</v>
      </c>
      <c r="AM555">
        <f t="shared" si="447"/>
        <v>437.42631279916804</v>
      </c>
      <c r="AN555">
        <f t="shared" si="475"/>
        <v>543.19468190710325</v>
      </c>
      <c r="AO555">
        <f t="shared" si="476"/>
        <v>-39.907990917107213</v>
      </c>
      <c r="AQ555">
        <f t="shared" si="448"/>
        <v>8.5998565027943941E-4</v>
      </c>
      <c r="AR555">
        <f t="shared" si="449"/>
        <v>-2.9325510674528883</v>
      </c>
      <c r="AT555">
        <f t="shared" si="470"/>
        <v>-1809.4118622027081</v>
      </c>
      <c r="AU555">
        <f t="shared" si="471"/>
        <v>-166.09339730584665</v>
      </c>
      <c r="AV555">
        <f t="shared" si="459"/>
        <v>-3.0500550467196628</v>
      </c>
      <c r="AW555">
        <f t="shared" si="460"/>
        <v>484.89096115033288</v>
      </c>
      <c r="AX555">
        <f t="shared" si="461"/>
        <v>-2350.6713791469238</v>
      </c>
      <c r="AY555">
        <f t="shared" si="469"/>
        <v>-1.3673719192267908</v>
      </c>
      <c r="BA555">
        <f t="shared" si="450"/>
        <v>0.75704034022917344</v>
      </c>
      <c r="BB555">
        <f t="shared" si="462"/>
        <v>-2.417619554724022</v>
      </c>
      <c r="BC555">
        <f t="shared" si="463"/>
        <v>-1.682683127492872</v>
      </c>
      <c r="BD555">
        <f t="shared" si="451"/>
        <v>-276.41064157338059</v>
      </c>
      <c r="BF555">
        <f t="shared" si="452"/>
        <v>-56.958371441941907</v>
      </c>
      <c r="BG555">
        <f t="shared" si="453"/>
        <v>-190.39780137175697</v>
      </c>
      <c r="BH555">
        <f t="shared" si="464"/>
        <v>-10.39780137175697</v>
      </c>
      <c r="BI555">
        <f t="shared" si="465"/>
        <v>-10.39780137175697</v>
      </c>
      <c r="BJ555">
        <f t="shared" si="454"/>
        <v>0</v>
      </c>
      <c r="BK555">
        <f t="shared" si="466"/>
        <v>0</v>
      </c>
      <c r="BM555">
        <f t="shared" si="467"/>
        <v>-54.540751887217887</v>
      </c>
      <c r="BN555">
        <f t="shared" si="455"/>
        <v>-93.987159798376368</v>
      </c>
      <c r="BQ555" s="56">
        <f t="shared" si="468"/>
        <v>14.484341245561115</v>
      </c>
    </row>
    <row r="556" spans="1:69" x14ac:dyDescent="0.25">
      <c r="A556">
        <f t="shared" si="472"/>
        <v>1710000</v>
      </c>
      <c r="B556">
        <f t="shared" si="456"/>
        <v>1710</v>
      </c>
      <c r="C556">
        <f t="shared" si="425"/>
        <v>14.217617098302231</v>
      </c>
      <c r="D556">
        <f t="shared" si="426"/>
        <v>1.500402930878217</v>
      </c>
      <c r="F556">
        <f t="shared" si="427"/>
        <v>8.765289707110906E-6</v>
      </c>
      <c r="G556">
        <f t="shared" si="428"/>
        <v>1.0071224156311756E-3</v>
      </c>
      <c r="H556">
        <f t="shared" si="429"/>
        <v>-3.1405855275843688</v>
      </c>
      <c r="J556">
        <f t="shared" si="430"/>
        <v>15</v>
      </c>
      <c r="M556">
        <f t="shared" si="431"/>
        <v>7.4398933846493037E-4</v>
      </c>
      <c r="N556">
        <f t="shared" si="432"/>
        <v>-1.5707963250000001</v>
      </c>
      <c r="O556">
        <f t="shared" si="433"/>
        <v>496.81498135701412</v>
      </c>
      <c r="P556">
        <f t="shared" si="434"/>
        <v>1.5687835036861577</v>
      </c>
      <c r="Q556">
        <f t="shared" si="435"/>
        <v>438.71022761594952</v>
      </c>
      <c r="R556">
        <f t="shared" si="436"/>
        <v>1.5685169159149928</v>
      </c>
      <c r="S556">
        <f t="shared" si="437"/>
        <v>7.5331657679994293E-2</v>
      </c>
      <c r="T556">
        <f t="shared" si="438"/>
        <v>-1.4953932371310603</v>
      </c>
      <c r="U556">
        <f t="shared" si="439"/>
        <v>9.2857983408519792E-2</v>
      </c>
      <c r="V556">
        <f t="shared" si="440"/>
        <v>-1.4778043766318987</v>
      </c>
      <c r="X556">
        <f t="shared" si="457"/>
        <v>-53.471594509963708</v>
      </c>
      <c r="Y556">
        <f t="shared" si="441"/>
        <v>-174.57314233792624</v>
      </c>
      <c r="Z556">
        <f t="shared" si="458"/>
        <v>5.4268576620737576</v>
      </c>
      <c r="AC556">
        <v>1</v>
      </c>
      <c r="AD556">
        <f t="shared" si="442"/>
        <v>496.81397494511998</v>
      </c>
      <c r="AE556">
        <f t="shared" si="443"/>
        <v>-0.80068379876979989</v>
      </c>
      <c r="AF556">
        <f t="shared" si="444"/>
        <v>7.4672515697849995E-2</v>
      </c>
      <c r="AG556">
        <f t="shared" si="473"/>
        <v>56.130075283112959</v>
      </c>
      <c r="AH556">
        <f t="shared" si="474"/>
        <v>-615.2523652586749</v>
      </c>
      <c r="AJ556">
        <f t="shared" si="445"/>
        <v>18000</v>
      </c>
      <c r="AK556">
        <f t="shared" si="446"/>
        <v>238264.418433888</v>
      </c>
      <c r="AL556">
        <v>1</v>
      </c>
      <c r="AM556">
        <f t="shared" si="447"/>
        <v>438.70908791001597</v>
      </c>
      <c r="AN556">
        <f t="shared" si="475"/>
        <v>543.19414915987863</v>
      </c>
      <c r="AO556">
        <f t="shared" si="476"/>
        <v>-39.791302099537774</v>
      </c>
      <c r="AQ556">
        <f t="shared" si="448"/>
        <v>8.549638474262297E-4</v>
      </c>
      <c r="AR556">
        <f t="shared" si="449"/>
        <v>-2.9239763581977054</v>
      </c>
      <c r="AT556">
        <f t="shared" si="470"/>
        <v>-1798.9353811564645</v>
      </c>
      <c r="AU556">
        <f t="shared" si="471"/>
        <v>-164.64903164101929</v>
      </c>
      <c r="AV556">
        <f t="shared" si="459"/>
        <v>-3.0503211288830485</v>
      </c>
      <c r="AW556">
        <f t="shared" si="460"/>
        <v>485.23381571105125</v>
      </c>
      <c r="AX556">
        <f t="shared" si="461"/>
        <v>-2343.8277588950668</v>
      </c>
      <c r="AY556">
        <f t="shared" si="469"/>
        <v>-1.3666539989689075</v>
      </c>
      <c r="BA556">
        <f t="shared" si="450"/>
        <v>0.75472433756967061</v>
      </c>
      <c r="BB556">
        <f t="shared" si="462"/>
        <v>-2.4442329020724194</v>
      </c>
      <c r="BC556">
        <f t="shared" si="463"/>
        <v>-1.683667129914141</v>
      </c>
      <c r="BD556">
        <f t="shared" si="451"/>
        <v>-276.46702075921439</v>
      </c>
      <c r="BF556">
        <f t="shared" si="452"/>
        <v>-57.010545947816539</v>
      </c>
      <c r="BG556">
        <f t="shared" si="453"/>
        <v>-190.4425612886676</v>
      </c>
      <c r="BH556">
        <f t="shared" si="464"/>
        <v>-10.442561288667605</v>
      </c>
      <c r="BI556">
        <f t="shared" si="465"/>
        <v>-10.442561288667605</v>
      </c>
      <c r="BJ556">
        <f t="shared" si="454"/>
        <v>0</v>
      </c>
      <c r="BK556">
        <f t="shared" si="466"/>
        <v>0</v>
      </c>
      <c r="BM556">
        <f t="shared" si="467"/>
        <v>-54.566313045744124</v>
      </c>
      <c r="BN556">
        <f t="shared" si="455"/>
        <v>-93.975540529453212</v>
      </c>
      <c r="BQ556" s="56">
        <f t="shared" si="468"/>
        <v>14.457727898212717</v>
      </c>
    </row>
    <row r="557" spans="1:69" x14ac:dyDescent="0.25">
      <c r="A557">
        <f t="shared" si="472"/>
        <v>1715000</v>
      </c>
      <c r="B557">
        <f t="shared" si="456"/>
        <v>1715</v>
      </c>
      <c r="C557">
        <f t="shared" si="425"/>
        <v>14.258983717739959</v>
      </c>
      <c r="D557">
        <f t="shared" si="426"/>
        <v>1.5006074850868969</v>
      </c>
      <c r="F557">
        <f t="shared" si="427"/>
        <v>8.714254228252892E-6</v>
      </c>
      <c r="G557">
        <f t="shared" si="428"/>
        <v>1.0041861491026051E-3</v>
      </c>
      <c r="H557">
        <f t="shared" si="429"/>
        <v>-3.1405884638508974</v>
      </c>
      <c r="J557">
        <f t="shared" si="430"/>
        <v>15</v>
      </c>
      <c r="M557">
        <f t="shared" si="431"/>
        <v>7.418202733382106E-4</v>
      </c>
      <c r="N557">
        <f t="shared" si="432"/>
        <v>-1.5707963250000001</v>
      </c>
      <c r="O557">
        <f t="shared" si="433"/>
        <v>498.26765086423455</v>
      </c>
      <c r="P557">
        <f t="shared" si="434"/>
        <v>1.5687893719593236</v>
      </c>
      <c r="Q557">
        <f t="shared" si="435"/>
        <v>439.99299940404825</v>
      </c>
      <c r="R557">
        <f t="shared" si="436"/>
        <v>1.5685235614048441</v>
      </c>
      <c r="S557">
        <f t="shared" si="437"/>
        <v>7.5113272786919899E-2</v>
      </c>
      <c r="T557">
        <f t="shared" si="438"/>
        <v>-1.4956122425157186</v>
      </c>
      <c r="U557">
        <f t="shared" si="439"/>
        <v>9.2589584651159962E-2</v>
      </c>
      <c r="V557">
        <f t="shared" si="440"/>
        <v>-1.4780739366898796</v>
      </c>
      <c r="X557">
        <f t="shared" si="457"/>
        <v>-53.522079279373862</v>
      </c>
      <c r="Y557">
        <f t="shared" si="441"/>
        <v>-174.58886623285727</v>
      </c>
      <c r="Z557">
        <f t="shared" si="458"/>
        <v>5.4111337671427293</v>
      </c>
      <c r="AC557">
        <v>1</v>
      </c>
      <c r="AD557">
        <f t="shared" si="442"/>
        <v>498.26664738647997</v>
      </c>
      <c r="AE557">
        <f t="shared" si="443"/>
        <v>-0.80537300572371151</v>
      </c>
      <c r="AF557">
        <f t="shared" si="444"/>
        <v>7.4890856387025001E-2</v>
      </c>
      <c r="AG557">
        <f t="shared" si="473"/>
        <v>55.806065016030928</v>
      </c>
      <c r="AH557">
        <f t="shared" si="474"/>
        <v>-613.48875598562006</v>
      </c>
      <c r="AJ557">
        <f t="shared" si="445"/>
        <v>18000</v>
      </c>
      <c r="AK557">
        <f t="shared" si="446"/>
        <v>238961.09801995198</v>
      </c>
      <c r="AL557">
        <v>1</v>
      </c>
      <c r="AM557">
        <f t="shared" si="447"/>
        <v>439.991863020864</v>
      </c>
      <c r="AN557">
        <f t="shared" si="475"/>
        <v>543.19362106542292</v>
      </c>
      <c r="AO557">
        <f t="shared" si="476"/>
        <v>-39.675293672662278</v>
      </c>
      <c r="AQ557">
        <f t="shared" si="448"/>
        <v>8.49985902983799E-4</v>
      </c>
      <c r="AR557">
        <f t="shared" si="449"/>
        <v>-2.9154516472344305</v>
      </c>
      <c r="AT557">
        <f t="shared" si="470"/>
        <v>-1788.5493698295129</v>
      </c>
      <c r="AU557">
        <f t="shared" si="471"/>
        <v>-163.22134097088593</v>
      </c>
      <c r="AV557">
        <f t="shared" si="459"/>
        <v>-3.0505856731391052</v>
      </c>
      <c r="AW557">
        <f t="shared" si="460"/>
        <v>485.57364225752701</v>
      </c>
      <c r="AX557">
        <f t="shared" si="461"/>
        <v>-2337.023787742648</v>
      </c>
      <c r="AY557">
        <f t="shared" si="469"/>
        <v>-1.3659367104923004</v>
      </c>
      <c r="BA557">
        <f t="shared" si="450"/>
        <v>0.75242146447249647</v>
      </c>
      <c r="BB557">
        <f t="shared" si="462"/>
        <v>-2.4707764748468626</v>
      </c>
      <c r="BC557">
        <f t="shared" si="463"/>
        <v>-1.6846489626468049</v>
      </c>
      <c r="BD557">
        <f t="shared" si="451"/>
        <v>-276.52327563104814</v>
      </c>
      <c r="BF557">
        <f t="shared" si="452"/>
        <v>-57.062575315371774</v>
      </c>
      <c r="BG557">
        <f t="shared" si="453"/>
        <v>-190.48726430332871</v>
      </c>
      <c r="BH557">
        <f t="shared" si="464"/>
        <v>-10.487264303328715</v>
      </c>
      <c r="BI557">
        <f t="shared" si="465"/>
        <v>-10.487264303328715</v>
      </c>
      <c r="BJ557">
        <f t="shared" si="454"/>
        <v>0</v>
      </c>
      <c r="BK557">
        <f t="shared" si="466"/>
        <v>0</v>
      </c>
      <c r="BM557">
        <f t="shared" si="467"/>
        <v>-54.591798840524916</v>
      </c>
      <c r="BN557">
        <f t="shared" si="455"/>
        <v>-93.963988672280635</v>
      </c>
      <c r="BQ557" s="56">
        <f t="shared" si="468"/>
        <v>14.431184325438275</v>
      </c>
    </row>
    <row r="558" spans="1:69" x14ac:dyDescent="0.25">
      <c r="A558">
        <f t="shared" si="472"/>
        <v>1720000</v>
      </c>
      <c r="B558">
        <f t="shared" si="456"/>
        <v>1720</v>
      </c>
      <c r="C558">
        <f t="shared" si="425"/>
        <v>14.300350930356373</v>
      </c>
      <c r="D558">
        <f t="shared" si="426"/>
        <v>1.5008108558593196</v>
      </c>
      <c r="F558">
        <f t="shared" si="427"/>
        <v>8.6636631838906735E-6</v>
      </c>
      <c r="G558">
        <f t="shared" si="428"/>
        <v>1.0012669543215079E-3</v>
      </c>
      <c r="H558">
        <f t="shared" si="429"/>
        <v>-3.1405913830456789</v>
      </c>
      <c r="J558">
        <f t="shared" si="430"/>
        <v>15</v>
      </c>
      <c r="M558">
        <f t="shared" si="431"/>
        <v>7.3966381905525059E-4</v>
      </c>
      <c r="N558">
        <f t="shared" si="432"/>
        <v>-1.5707963250000001</v>
      </c>
      <c r="O558">
        <f t="shared" si="433"/>
        <v>499.72032038851393</v>
      </c>
      <c r="P558">
        <f t="shared" si="434"/>
        <v>1.5687952061147592</v>
      </c>
      <c r="Q558">
        <f t="shared" si="435"/>
        <v>441.27577121146521</v>
      </c>
      <c r="R558">
        <f t="shared" si="436"/>
        <v>1.5685301682583253</v>
      </c>
      <c r="S558">
        <f t="shared" si="437"/>
        <v>7.4896146859063317E-2</v>
      </c>
      <c r="T558">
        <f t="shared" si="438"/>
        <v>-1.4958299817764216</v>
      </c>
      <c r="U558">
        <f t="shared" si="439"/>
        <v>9.23227263428512E-2</v>
      </c>
      <c r="V558">
        <f t="shared" si="440"/>
        <v>-1.4783419429349969</v>
      </c>
      <c r="X558">
        <f t="shared" si="457"/>
        <v>-53.572418431859099</v>
      </c>
      <c r="Y558">
        <f t="shared" si="441"/>
        <v>-174.60449955357666</v>
      </c>
      <c r="Z558">
        <f t="shared" si="458"/>
        <v>5.3955004464233411</v>
      </c>
      <c r="AC558">
        <v>1</v>
      </c>
      <c r="AD558">
        <f t="shared" si="442"/>
        <v>499.71931982784002</v>
      </c>
      <c r="AE558">
        <f t="shared" si="443"/>
        <v>-0.81007590379281691</v>
      </c>
      <c r="AF558">
        <f t="shared" si="444"/>
        <v>7.5109197076200007E-2</v>
      </c>
      <c r="AG558">
        <f t="shared" si="473"/>
        <v>55.484844197913311</v>
      </c>
      <c r="AH558">
        <f t="shared" si="474"/>
        <v>-611.73514162072638</v>
      </c>
      <c r="AJ558">
        <f t="shared" si="445"/>
        <v>18000</v>
      </c>
      <c r="AK558">
        <f t="shared" si="446"/>
        <v>239657.77760601597</v>
      </c>
      <c r="AL558">
        <v>1</v>
      </c>
      <c r="AM558">
        <f t="shared" si="447"/>
        <v>441.27463813171198</v>
      </c>
      <c r="AN558">
        <f t="shared" si="475"/>
        <v>543.19309756971325</v>
      </c>
      <c r="AO558">
        <f t="shared" si="476"/>
        <v>-39.559959702963411</v>
      </c>
      <c r="AQ558">
        <f t="shared" si="448"/>
        <v>8.4505130771267347E-4</v>
      </c>
      <c r="AR558">
        <f t="shared" si="449"/>
        <v>-2.9069764985315967</v>
      </c>
      <c r="AT558">
        <f t="shared" si="470"/>
        <v>-1778.2527924772019</v>
      </c>
      <c r="AU558">
        <f t="shared" si="471"/>
        <v>-161.81008568942161</v>
      </c>
      <c r="AV558">
        <f t="shared" si="459"/>
        <v>-3.0508486927438003</v>
      </c>
      <c r="AW558">
        <f t="shared" si="460"/>
        <v>485.91047642941413</v>
      </c>
      <c r="AX558">
        <f t="shared" si="461"/>
        <v>-2330.2591228246733</v>
      </c>
      <c r="AY558">
        <f t="shared" si="469"/>
        <v>-1.3652200502682494</v>
      </c>
      <c r="BA558">
        <f t="shared" si="450"/>
        <v>0.75013160794430522</v>
      </c>
      <c r="BB558">
        <f t="shared" si="462"/>
        <v>-2.4972506897731757</v>
      </c>
      <c r="BC558">
        <f t="shared" si="463"/>
        <v>-1.6856286424755509</v>
      </c>
      <c r="BD558">
        <f t="shared" si="451"/>
        <v>-276.5794071505735</v>
      </c>
      <c r="BF558">
        <f t="shared" si="452"/>
        <v>-57.114460406461561</v>
      </c>
      <c r="BG558">
        <f t="shared" si="453"/>
        <v>-190.53191079344541</v>
      </c>
      <c r="BH558">
        <f t="shared" si="464"/>
        <v>-10.531910793445405</v>
      </c>
      <c r="BI558">
        <f t="shared" si="465"/>
        <v>-10.531910793445405</v>
      </c>
      <c r="BJ558">
        <f t="shared" si="454"/>
        <v>0</v>
      </c>
      <c r="BK558">
        <f t="shared" si="466"/>
        <v>0</v>
      </c>
      <c r="BM558">
        <f t="shared" si="467"/>
        <v>-54.617209716688393</v>
      </c>
      <c r="BN558">
        <f t="shared" si="455"/>
        <v>-93.952503642871903</v>
      </c>
      <c r="BQ558" s="56">
        <f t="shared" si="468"/>
        <v>14.40471011051196</v>
      </c>
    </row>
    <row r="559" spans="1:69" x14ac:dyDescent="0.25">
      <c r="A559">
        <f t="shared" si="472"/>
        <v>1725000</v>
      </c>
      <c r="B559">
        <f t="shared" si="456"/>
        <v>1725</v>
      </c>
      <c r="C559">
        <f t="shared" si="425"/>
        <v>14.341718731018585</v>
      </c>
      <c r="D559">
        <f t="shared" si="426"/>
        <v>1.5010130534192354</v>
      </c>
      <c r="F559">
        <f t="shared" si="427"/>
        <v>8.613511428565476E-6</v>
      </c>
      <c r="G559">
        <f t="shared" si="428"/>
        <v>9.9836468283293739E-4</v>
      </c>
      <c r="H559">
        <f t="shared" si="429"/>
        <v>-3.1405942853171673</v>
      </c>
      <c r="J559">
        <f t="shared" si="430"/>
        <v>15</v>
      </c>
      <c r="M559">
        <f t="shared" si="431"/>
        <v>7.3751986595653972E-4</v>
      </c>
      <c r="N559">
        <f t="shared" si="432"/>
        <v>-1.5707963250000001</v>
      </c>
      <c r="O559">
        <f t="shared" si="433"/>
        <v>501.17298992970382</v>
      </c>
      <c r="P559">
        <f t="shared" si="434"/>
        <v>1.5688010064491391</v>
      </c>
      <c r="Q559">
        <f t="shared" si="435"/>
        <v>442.55854303803255</v>
      </c>
      <c r="R559">
        <f t="shared" si="436"/>
        <v>1.5685367368114029</v>
      </c>
      <c r="S559">
        <f t="shared" si="437"/>
        <v>7.4680269071721234E-2</v>
      </c>
      <c r="T559">
        <f t="shared" si="438"/>
        <v>-1.4960464658407153</v>
      </c>
      <c r="U559">
        <f t="shared" si="439"/>
        <v>9.2057395316908999E-2</v>
      </c>
      <c r="V559">
        <f t="shared" si="440"/>
        <v>-1.4786084087253308</v>
      </c>
      <c r="X559">
        <f t="shared" si="457"/>
        <v>-53.622612801190563</v>
      </c>
      <c r="Y559">
        <f t="shared" si="441"/>
        <v>-174.62004307802874</v>
      </c>
      <c r="Z559">
        <f t="shared" si="458"/>
        <v>5.3799569219712566</v>
      </c>
      <c r="AC559">
        <v>1</v>
      </c>
      <c r="AD559">
        <f t="shared" si="442"/>
        <v>501.17199226920002</v>
      </c>
      <c r="AE559">
        <f t="shared" si="443"/>
        <v>-0.81479249297711631</v>
      </c>
      <c r="AF559">
        <f t="shared" si="444"/>
        <v>7.5327537765374999E-2</v>
      </c>
      <c r="AG559">
        <f t="shared" si="473"/>
        <v>55.166380992238985</v>
      </c>
      <c r="AH559">
        <f t="shared" si="474"/>
        <v>-609.99143819503365</v>
      </c>
      <c r="AJ559">
        <f t="shared" si="445"/>
        <v>18000</v>
      </c>
      <c r="AK559">
        <f t="shared" si="446"/>
        <v>240354.45719208001</v>
      </c>
      <c r="AL559">
        <v>1</v>
      </c>
      <c r="AM559">
        <f t="shared" si="447"/>
        <v>442.55741324256002</v>
      </c>
      <c r="AN559">
        <f t="shared" si="475"/>
        <v>543.19257861950871</v>
      </c>
      <c r="AO559">
        <f t="shared" si="476"/>
        <v>-39.445294325716425</v>
      </c>
      <c r="AQ559">
        <f t="shared" si="448"/>
        <v>8.4015955974294811E-4</v>
      </c>
      <c r="AR559">
        <f t="shared" si="449"/>
        <v>-2.8985504811131713</v>
      </c>
      <c r="AT559">
        <f t="shared" si="470"/>
        <v>-1768.0446280927631</v>
      </c>
      <c r="AU559">
        <f t="shared" si="471"/>
        <v>-160.41503030448771</v>
      </c>
      <c r="AV559">
        <f t="shared" si="459"/>
        <v>-3.0511102008016384</v>
      </c>
      <c r="AW559">
        <f t="shared" si="460"/>
        <v>486.24435334237495</v>
      </c>
      <c r="AX559">
        <f t="shared" si="461"/>
        <v>-2323.5334252101329</v>
      </c>
      <c r="AY559">
        <f t="shared" si="469"/>
        <v>-1.3645040148154453</v>
      </c>
      <c r="BA559">
        <f t="shared" si="450"/>
        <v>0.74785465628656045</v>
      </c>
      <c r="BB559">
        <f t="shared" si="462"/>
        <v>-2.5236559599869461</v>
      </c>
      <c r="BC559">
        <f t="shared" si="463"/>
        <v>-1.6866061859861932</v>
      </c>
      <c r="BD559">
        <f t="shared" si="451"/>
        <v>-276.63541626808774</v>
      </c>
      <c r="BF559">
        <f t="shared" si="452"/>
        <v>-57.166202075400747</v>
      </c>
      <c r="BG559">
        <f t="shared" si="453"/>
        <v>-190.57650113204284</v>
      </c>
      <c r="BH559">
        <f t="shared" si="464"/>
        <v>-10.576501132042836</v>
      </c>
      <c r="BI559">
        <f t="shared" si="465"/>
        <v>-10.576501132042836</v>
      </c>
      <c r="BJ559">
        <f t="shared" si="454"/>
        <v>0</v>
      </c>
      <c r="BK559">
        <f t="shared" si="466"/>
        <v>0</v>
      </c>
      <c r="BM559">
        <f t="shared" si="467"/>
        <v>-54.642546115413808</v>
      </c>
      <c r="BN559">
        <f t="shared" si="455"/>
        <v>-93.94108486395514</v>
      </c>
      <c r="BQ559" s="56">
        <f t="shared" si="468"/>
        <v>14.37830484029819</v>
      </c>
    </row>
    <row r="560" spans="1:69" x14ac:dyDescent="0.25">
      <c r="A560">
        <f t="shared" si="472"/>
        <v>1730000</v>
      </c>
      <c r="B560">
        <f t="shared" si="456"/>
        <v>1730</v>
      </c>
      <c r="C560">
        <f t="shared" si="425"/>
        <v>14.383087114652687</v>
      </c>
      <c r="D560">
        <f t="shared" si="426"/>
        <v>1.5012140878731592</v>
      </c>
      <c r="F560">
        <f t="shared" si="427"/>
        <v>8.5637938910684691E-6</v>
      </c>
      <c r="G560">
        <f t="shared" si="428"/>
        <v>9.9547918789825995E-4</v>
      </c>
      <c r="H560">
        <f t="shared" si="429"/>
        <v>-3.1405971708121019</v>
      </c>
      <c r="J560">
        <f t="shared" si="430"/>
        <v>15</v>
      </c>
      <c r="M560">
        <f t="shared" si="431"/>
        <v>7.3538830565030694E-4</v>
      </c>
      <c r="N560">
        <f t="shared" si="432"/>
        <v>-1.5707963250000001</v>
      </c>
      <c r="O560">
        <f t="shared" si="433"/>
        <v>502.62565948765769</v>
      </c>
      <c r="P560">
        <f t="shared" si="434"/>
        <v>1.5688067732557076</v>
      </c>
      <c r="Q560">
        <f t="shared" si="435"/>
        <v>443.841314883584</v>
      </c>
      <c r="R560">
        <f t="shared" si="436"/>
        <v>1.5685432673961588</v>
      </c>
      <c r="S560">
        <f t="shared" si="437"/>
        <v>7.4465628723579022E-2</v>
      </c>
      <c r="T560">
        <f t="shared" si="438"/>
        <v>-1.4962617055109901</v>
      </c>
      <c r="U560">
        <f t="shared" si="439"/>
        <v>9.1793578555618566E-2</v>
      </c>
      <c r="V560">
        <f t="shared" si="440"/>
        <v>-1.4788733472667173</v>
      </c>
      <c r="X560">
        <f t="shared" si="457"/>
        <v>-53.672663214031644</v>
      </c>
      <c r="Y560">
        <f t="shared" si="441"/>
        <v>-174.63549757530183</v>
      </c>
      <c r="Z560">
        <f t="shared" si="458"/>
        <v>5.3645024246981734</v>
      </c>
      <c r="AC560">
        <v>1</v>
      </c>
      <c r="AD560">
        <f t="shared" si="442"/>
        <v>502.62466471056001</v>
      </c>
      <c r="AE560">
        <f t="shared" si="443"/>
        <v>-0.81952277327660961</v>
      </c>
      <c r="AF560">
        <f t="shared" si="444"/>
        <v>7.5545878454550006E-2</v>
      </c>
      <c r="AG560">
        <f t="shared" si="473"/>
        <v>54.850644014083649</v>
      </c>
      <c r="AH560">
        <f t="shared" si="474"/>
        <v>-608.2575626686928</v>
      </c>
      <c r="AJ560">
        <f t="shared" si="445"/>
        <v>18000</v>
      </c>
      <c r="AK560">
        <f t="shared" si="446"/>
        <v>241051.13677814399</v>
      </c>
      <c r="AL560">
        <v>1</v>
      </c>
      <c r="AM560">
        <f t="shared" si="447"/>
        <v>443.840188353408</v>
      </c>
      <c r="AN560">
        <f t="shared" si="475"/>
        <v>543.19206416233669</v>
      </c>
      <c r="AO560">
        <f t="shared" si="476"/>
        <v>-39.33129174399518</v>
      </c>
      <c r="AQ560">
        <f t="shared" si="448"/>
        <v>8.3531016444667679E-4</v>
      </c>
      <c r="AR560">
        <f t="shared" si="449"/>
        <v>-2.8901731689855015</v>
      </c>
      <c r="AT560">
        <f t="shared" si="470"/>
        <v>-1757.9238701571019</v>
      </c>
      <c r="AU560">
        <f t="shared" si="471"/>
        <v>-159.03594335577847</v>
      </c>
      <c r="AV560">
        <f t="shared" si="459"/>
        <v>-3.0513702102678093</v>
      </c>
      <c r="AW560">
        <f t="shared" si="460"/>
        <v>486.57530759731696</v>
      </c>
      <c r="AX560">
        <f t="shared" si="461"/>
        <v>-2316.8463598458557</v>
      </c>
      <c r="AY560">
        <f t="shared" si="469"/>
        <v>-1.3637886006992532</v>
      </c>
      <c r="BA560">
        <f t="shared" si="450"/>
        <v>0.74559049907709707</v>
      </c>
      <c r="BB560">
        <f t="shared" si="462"/>
        <v>-2.5499926950739722</v>
      </c>
      <c r="BC560">
        <f t="shared" si="463"/>
        <v>-1.6875816095685561</v>
      </c>
      <c r="BD560">
        <f t="shared" si="451"/>
        <v>-276.69130392265851</v>
      </c>
      <c r="BF560">
        <f t="shared" si="452"/>
        <v>-57.217801169052265</v>
      </c>
      <c r="BG560">
        <f t="shared" si="453"/>
        <v>-190.62103568753565</v>
      </c>
      <c r="BH560">
        <f t="shared" si="464"/>
        <v>-10.621035687535652</v>
      </c>
      <c r="BI560">
        <f t="shared" si="465"/>
        <v>-10.621035687535652</v>
      </c>
      <c r="BJ560">
        <f t="shared" si="454"/>
        <v>0</v>
      </c>
      <c r="BK560">
        <f t="shared" si="466"/>
        <v>0</v>
      </c>
      <c r="BM560">
        <f t="shared" si="467"/>
        <v>-54.66780847397829</v>
      </c>
      <c r="BN560">
        <f t="shared" si="455"/>
        <v>-93.929731764877175</v>
      </c>
      <c r="BQ560" s="56">
        <f t="shared" si="468"/>
        <v>14.351968105211165</v>
      </c>
    </row>
    <row r="561" spans="1:69" x14ac:dyDescent="0.25">
      <c r="A561">
        <f t="shared" si="472"/>
        <v>1735000</v>
      </c>
      <c r="B561">
        <f t="shared" si="456"/>
        <v>1735</v>
      </c>
      <c r="C561">
        <f t="shared" si="425"/>
        <v>14.424456076242901</v>
      </c>
      <c r="D561">
        <f t="shared" si="426"/>
        <v>1.5014139692120436</v>
      </c>
      <c r="F561">
        <f t="shared" si="427"/>
        <v>8.5145055731587367E-6</v>
      </c>
      <c r="G561">
        <f t="shared" si="428"/>
        <v>9.9261032447042394E-4</v>
      </c>
      <c r="H561">
        <f t="shared" si="429"/>
        <v>-3.1406000396755296</v>
      </c>
      <c r="J561">
        <f t="shared" si="430"/>
        <v>15</v>
      </c>
      <c r="M561">
        <f t="shared" si="431"/>
        <v>7.3326903099425419E-4</v>
      </c>
      <c r="N561">
        <f t="shared" si="432"/>
        <v>-1.5707963250000001</v>
      </c>
      <c r="O561">
        <f t="shared" si="433"/>
        <v>504.07832906223058</v>
      </c>
      <c r="P561">
        <f t="shared" si="434"/>
        <v>1.5688125068243293</v>
      </c>
      <c r="Q561">
        <f t="shared" si="435"/>
        <v>445.12408674795557</v>
      </c>
      <c r="R561">
        <f t="shared" si="436"/>
        <v>1.5685497603408474</v>
      </c>
      <c r="S561">
        <f t="shared" si="437"/>
        <v>7.4252215234962629E-2</v>
      </c>
      <c r="T561">
        <f t="shared" si="438"/>
        <v>-1.4964757114662661</v>
      </c>
      <c r="U561">
        <f t="shared" si="439"/>
        <v>9.1531263188143377E-2</v>
      </c>
      <c r="V561">
        <f t="shared" si="440"/>
        <v>-1.4791367716149035</v>
      </c>
      <c r="X561">
        <f t="shared" si="457"/>
        <v>-53.722570490018114</v>
      </c>
      <c r="Y561">
        <f t="shared" si="441"/>
        <v>-174.65086380575349</v>
      </c>
      <c r="Z561">
        <f t="shared" si="458"/>
        <v>5.3491361942465119</v>
      </c>
      <c r="AC561">
        <v>1</v>
      </c>
      <c r="AD561">
        <f t="shared" si="442"/>
        <v>504.07733715192001</v>
      </c>
      <c r="AE561">
        <f t="shared" si="443"/>
        <v>-0.82426674469129679</v>
      </c>
      <c r="AF561">
        <f t="shared" si="444"/>
        <v>7.5764219143724998E-2</v>
      </c>
      <c r="AG561">
        <f t="shared" si="473"/>
        <v>54.537602322476594</v>
      </c>
      <c r="AH561">
        <f t="shared" si="474"/>
        <v>-606.53343291827855</v>
      </c>
      <c r="AJ561">
        <f t="shared" si="445"/>
        <v>18000</v>
      </c>
      <c r="AK561">
        <f t="shared" si="446"/>
        <v>241747.81636420797</v>
      </c>
      <c r="AL561">
        <v>1</v>
      </c>
      <c r="AM561">
        <f t="shared" si="447"/>
        <v>445.12296346425603</v>
      </c>
      <c r="AN561">
        <f t="shared" si="475"/>
        <v>543.19155414647912</v>
      </c>
      <c r="AO561">
        <f t="shared" si="476"/>
        <v>-39.217946227695187</v>
      </c>
      <c r="AQ561">
        <f t="shared" si="448"/>
        <v>8.3050263431283088E-4</v>
      </c>
      <c r="AR561">
        <f t="shared" si="449"/>
        <v>-2.8818441410655233</v>
      </c>
      <c r="AT561">
        <f t="shared" si="470"/>
        <v>-1747.8895263935019</v>
      </c>
      <c r="AU561">
        <f t="shared" si="471"/>
        <v>-157.67259733462808</v>
      </c>
      <c r="AV561">
        <f t="shared" si="459"/>
        <v>-3.051628733950305</v>
      </c>
      <c r="AW561">
        <f t="shared" si="460"/>
        <v>486.90337328943832</v>
      </c>
      <c r="AX561">
        <f t="shared" si="461"/>
        <v>-2310.1975955013086</v>
      </c>
      <c r="AY561">
        <f t="shared" si="469"/>
        <v>-1.3630738045309889</v>
      </c>
      <c r="BA561">
        <f t="shared" si="450"/>
        <v>0.74333902715199474</v>
      </c>
      <c r="BB561">
        <f t="shared" si="462"/>
        <v>-2.5762613011101685</v>
      </c>
      <c r="BC561">
        <f t="shared" si="463"/>
        <v>-1.6885549294193161</v>
      </c>
      <c r="BD561">
        <f t="shared" si="451"/>
        <v>-276.74707104228708</v>
      </c>
      <c r="BF561">
        <f t="shared" si="452"/>
        <v>-57.269258526913099</v>
      </c>
      <c r="BG561">
        <f t="shared" si="453"/>
        <v>-190.66551482379623</v>
      </c>
      <c r="BH561">
        <f t="shared" si="464"/>
        <v>-10.665514823796229</v>
      </c>
      <c r="BI561">
        <f t="shared" si="465"/>
        <v>-10.665514823796229</v>
      </c>
      <c r="BJ561">
        <f t="shared" si="454"/>
        <v>0</v>
      </c>
      <c r="BK561">
        <f t="shared" si="466"/>
        <v>0</v>
      </c>
      <c r="BM561">
        <f t="shared" si="467"/>
        <v>-54.692997225802941</v>
      </c>
      <c r="BN561">
        <f t="shared" si="455"/>
        <v>-93.918443781509183</v>
      </c>
      <c r="BQ561" s="56">
        <f t="shared" si="468"/>
        <v>14.325699499174966</v>
      </c>
    </row>
    <row r="562" spans="1:69" x14ac:dyDescent="0.25">
      <c r="A562">
        <f t="shared" si="472"/>
        <v>1740000</v>
      </c>
      <c r="B562">
        <f t="shared" si="456"/>
        <v>1740</v>
      </c>
      <c r="C562">
        <f t="shared" si="425"/>
        <v>14.465825610830763</v>
      </c>
      <c r="D562">
        <f t="shared" si="426"/>
        <v>1.5016127073129228</v>
      </c>
      <c r="F562">
        <f t="shared" si="427"/>
        <v>8.4656415483069879E-6</v>
      </c>
      <c r="G562">
        <f t="shared" si="428"/>
        <v>9.8975794916965299E-4</v>
      </c>
      <c r="H562">
        <f t="shared" si="429"/>
        <v>-3.1406028920508304</v>
      </c>
      <c r="J562">
        <f t="shared" si="430"/>
        <v>15</v>
      </c>
      <c r="M562">
        <f t="shared" si="431"/>
        <v>7.3116193607760402E-4</v>
      </c>
      <c r="N562">
        <f t="shared" si="432"/>
        <v>-1.5707963250000001</v>
      </c>
      <c r="O562">
        <f t="shared" si="433"/>
        <v>505.53099865327914</v>
      </c>
      <c r="P562">
        <f t="shared" si="434"/>
        <v>1.5688182074415362</v>
      </c>
      <c r="Q562">
        <f t="shared" si="435"/>
        <v>446.40685863098491</v>
      </c>
      <c r="R562">
        <f t="shared" si="436"/>
        <v>1.5685562159699495</v>
      </c>
      <c r="S562">
        <f t="shared" si="437"/>
        <v>7.4040018146120171E-2</v>
      </c>
      <c r="T562">
        <f t="shared" si="438"/>
        <v>-1.4966884942639438</v>
      </c>
      <c r="U562">
        <f t="shared" si="439"/>
        <v>9.1270436488468609E-2</v>
      </c>
      <c r="V562">
        <f t="shared" si="440"/>
        <v>-1.4793986946776692</v>
      </c>
      <c r="X562">
        <f t="shared" si="457"/>
        <v>-53.772335441837214</v>
      </c>
      <c r="Y562">
        <f t="shared" si="441"/>
        <v>-174.66614252113374</v>
      </c>
      <c r="Z562">
        <f t="shared" si="458"/>
        <v>5.333857478866264</v>
      </c>
      <c r="AC562">
        <v>1</v>
      </c>
      <c r="AD562">
        <f t="shared" si="442"/>
        <v>505.53000959328006</v>
      </c>
      <c r="AE562">
        <f t="shared" si="443"/>
        <v>-0.82902440722117798</v>
      </c>
      <c r="AF562">
        <f t="shared" si="444"/>
        <v>7.5982559832900004E-2</v>
      </c>
      <c r="AG562">
        <f t="shared" si="473"/>
        <v>54.22722541290802</v>
      </c>
      <c r="AH562">
        <f t="shared" si="474"/>
        <v>-604.81896772431094</v>
      </c>
      <c r="AJ562">
        <f t="shared" si="445"/>
        <v>18000</v>
      </c>
      <c r="AK562">
        <f t="shared" si="446"/>
        <v>242444.49595027202</v>
      </c>
      <c r="AL562">
        <v>1</v>
      </c>
      <c r="AM562">
        <f t="shared" si="447"/>
        <v>446.40573857510401</v>
      </c>
      <c r="AN562">
        <f t="shared" si="475"/>
        <v>543.19104852096063</v>
      </c>
      <c r="AO562">
        <f t="shared" si="476"/>
        <v>-39.105252112573545</v>
      </c>
      <c r="AQ562">
        <f t="shared" si="448"/>
        <v>8.2573648882477133E-4</v>
      </c>
      <c r="AR562">
        <f t="shared" si="449"/>
        <v>-2.8735629811102044</v>
      </c>
      <c r="AT562">
        <f t="shared" si="470"/>
        <v>-1737.9406185271562</v>
      </c>
      <c r="AU562">
        <f t="shared" si="471"/>
        <v>-156.32476860563429</v>
      </c>
      <c r="AV562">
        <f t="shared" si="459"/>
        <v>-3.0518857845119962</v>
      </c>
      <c r="AW562">
        <f t="shared" si="460"/>
        <v>487.22858401709203</v>
      </c>
      <c r="AX562">
        <f t="shared" si="461"/>
        <v>-2303.5868047143449</v>
      </c>
      <c r="AY562">
        <f t="shared" si="469"/>
        <v>-1.3623596229672075</v>
      </c>
      <c r="BA562">
        <f t="shared" si="450"/>
        <v>0.74110013258775875</v>
      </c>
      <c r="BB562">
        <f t="shared" si="462"/>
        <v>-2.6024621807009165</v>
      </c>
      <c r="BC562">
        <f t="shared" si="463"/>
        <v>-1.6895261615447887</v>
      </c>
      <c r="BD562">
        <f t="shared" si="451"/>
        <v>-276.80271854406777</v>
      </c>
      <c r="BF562">
        <f t="shared" si="452"/>
        <v>-57.320574981199059</v>
      </c>
      <c r="BG562">
        <f t="shared" si="453"/>
        <v>-190.7099389002216</v>
      </c>
      <c r="BH562">
        <f t="shared" si="464"/>
        <v>-10.709938900221601</v>
      </c>
      <c r="BI562">
        <f t="shared" si="465"/>
        <v>-10.709938900221601</v>
      </c>
      <c r="BJ562">
        <f t="shared" si="454"/>
        <v>0</v>
      </c>
      <c r="BK562">
        <f t="shared" si="466"/>
        <v>0</v>
      </c>
      <c r="BM562">
        <f t="shared" si="467"/>
        <v>-54.71811280049814</v>
      </c>
      <c r="BN562">
        <f t="shared" si="455"/>
        <v>-93.907220356153871</v>
      </c>
      <c r="BQ562" s="56">
        <f t="shared" si="468"/>
        <v>14.29949861958422</v>
      </c>
    </row>
    <row r="563" spans="1:69" x14ac:dyDescent="0.25">
      <c r="A563">
        <f t="shared" si="472"/>
        <v>1745000</v>
      </c>
      <c r="B563">
        <f t="shared" si="456"/>
        <v>1745</v>
      </c>
      <c r="C563">
        <f t="shared" si="425"/>
        <v>14.507195713514296</v>
      </c>
      <c r="D563">
        <f t="shared" si="426"/>
        <v>1.5018103119405299</v>
      </c>
      <c r="F563">
        <f t="shared" si="427"/>
        <v>8.4171969604644524E-6</v>
      </c>
      <c r="G563">
        <f t="shared" si="428"/>
        <v>9.8692192025956102E-4</v>
      </c>
      <c r="H563">
        <f t="shared" si="429"/>
        <v>-3.1406057280797408</v>
      </c>
      <c r="J563">
        <f t="shared" si="430"/>
        <v>15</v>
      </c>
      <c r="M563">
        <f t="shared" si="431"/>
        <v>7.290669162034562E-4</v>
      </c>
      <c r="N563">
        <f t="shared" si="432"/>
        <v>-1.5707963250000001</v>
      </c>
      <c r="O563">
        <f t="shared" si="433"/>
        <v>506.98366826066189</v>
      </c>
      <c r="P563">
        <f t="shared" si="434"/>
        <v>1.5688238753905772</v>
      </c>
      <c r="Q563">
        <f t="shared" si="435"/>
        <v>447.68963053251173</v>
      </c>
      <c r="R563">
        <f t="shared" si="436"/>
        <v>1.5685626346042276</v>
      </c>
      <c r="S563">
        <f t="shared" si="437"/>
        <v>7.3829027115532311E-2</v>
      </c>
      <c r="T563">
        <f t="shared" si="438"/>
        <v>-1.4969000643415287</v>
      </c>
      <c r="U563">
        <f t="shared" si="439"/>
        <v>9.1011085873378986E-2</v>
      </c>
      <c r="V563">
        <f t="shared" si="440"/>
        <v>-1.4796591292169097</v>
      </c>
      <c r="X563">
        <f t="shared" si="457"/>
        <v>-53.821958875305604</v>
      </c>
      <c r="Y563">
        <f t="shared" si="441"/>
        <v>-174.68133446470597</v>
      </c>
      <c r="Z563">
        <f t="shared" si="458"/>
        <v>5.3186655352940306</v>
      </c>
      <c r="AC563">
        <v>1</v>
      </c>
      <c r="AD563">
        <f t="shared" si="442"/>
        <v>506.98268203464005</v>
      </c>
      <c r="AE563">
        <f t="shared" si="443"/>
        <v>-0.83379576086625284</v>
      </c>
      <c r="AF563">
        <f t="shared" si="444"/>
        <v>7.6200900522074996E-2</v>
      </c>
      <c r="AG563">
        <f t="shared" si="473"/>
        <v>53.919483209982772</v>
      </c>
      <c r="AH563">
        <f t="shared" si="474"/>
        <v>-603.11408675897462</v>
      </c>
      <c r="AJ563">
        <f t="shared" si="445"/>
        <v>18000</v>
      </c>
      <c r="AK563">
        <f t="shared" si="446"/>
        <v>243141.175536336</v>
      </c>
      <c r="AL563">
        <v>1</v>
      </c>
      <c r="AM563">
        <f t="shared" si="447"/>
        <v>447.68851368595205</v>
      </c>
      <c r="AN563">
        <f t="shared" si="475"/>
        <v>543.19054723553427</v>
      </c>
      <c r="AO563">
        <f t="shared" si="476"/>
        <v>-38.993203799305427</v>
      </c>
      <c r="AQ563">
        <f t="shared" si="448"/>
        <v>8.2101125434017334E-4</v>
      </c>
      <c r="AR563">
        <f t="shared" si="449"/>
        <v>-2.8653292776472052</v>
      </c>
      <c r="AT563">
        <f t="shared" si="470"/>
        <v>-1728.0761820494029</v>
      </c>
      <c r="AU563">
        <f t="shared" si="471"/>
        <v>-154.99223733005076</v>
      </c>
      <c r="AV563">
        <f t="shared" si="459"/>
        <v>-3.0521413744726775</v>
      </c>
      <c r="AW563">
        <f t="shared" si="460"/>
        <v>487.55097289046307</v>
      </c>
      <c r="AX563">
        <f t="shared" si="461"/>
        <v>-2297.0136637378614</v>
      </c>
      <c r="AY563">
        <f t="shared" si="469"/>
        <v>-1.3616460527090075</v>
      </c>
      <c r="BA563">
        <f t="shared" si="450"/>
        <v>0.73887370868380342</v>
      </c>
      <c r="BB563">
        <f t="shared" si="462"/>
        <v>-2.6285957330198411</v>
      </c>
      <c r="BC563">
        <f t="shared" si="463"/>
        <v>-1.69049532176367</v>
      </c>
      <c r="BD563">
        <f t="shared" si="451"/>
        <v>-276.85824733434509</v>
      </c>
      <c r="BF563">
        <f t="shared" si="452"/>
        <v>-57.3717513569282</v>
      </c>
      <c r="BG563">
        <f t="shared" si="453"/>
        <v>-190.75430827179918</v>
      </c>
      <c r="BH563">
        <f t="shared" si="464"/>
        <v>-10.754308271799175</v>
      </c>
      <c r="BI563">
        <f t="shared" si="465"/>
        <v>-10.754308271799175</v>
      </c>
      <c r="BJ563">
        <f t="shared" si="454"/>
        <v>0</v>
      </c>
      <c r="BK563">
        <f t="shared" si="466"/>
        <v>0</v>
      </c>
      <c r="BM563">
        <f t="shared" si="467"/>
        <v>-54.743155623908358</v>
      </c>
      <c r="BN563">
        <f t="shared" si="455"/>
        <v>-93.896060937454109</v>
      </c>
      <c r="BQ563" s="56">
        <f t="shared" si="468"/>
        <v>14.273365067265296</v>
      </c>
    </row>
    <row r="564" spans="1:69" x14ac:dyDescent="0.25">
      <c r="A564">
        <f t="shared" si="472"/>
        <v>1750000</v>
      </c>
      <c r="B564">
        <f t="shared" si="456"/>
        <v>1750</v>
      </c>
      <c r="C564">
        <f t="shared" si="425"/>
        <v>14.548566379447209</v>
      </c>
      <c r="D564">
        <f t="shared" si="426"/>
        <v>1.5020067927488856</v>
      </c>
      <c r="F564">
        <f t="shared" si="427"/>
        <v>8.369167022856343E-6</v>
      </c>
      <c r="G564">
        <f t="shared" si="428"/>
        <v>9.841020976236708E-4</v>
      </c>
      <c r="H564">
        <f t="shared" si="429"/>
        <v>-3.1406085479023766</v>
      </c>
      <c r="J564">
        <f t="shared" si="430"/>
        <v>15</v>
      </c>
      <c r="M564">
        <f t="shared" si="431"/>
        <v>7.2698386787144642E-4</v>
      </c>
      <c r="N564">
        <f t="shared" si="432"/>
        <v>-1.5707963250000001</v>
      </c>
      <c r="O564">
        <f t="shared" si="433"/>
        <v>508.4363378842387</v>
      </c>
      <c r="P564">
        <f t="shared" si="434"/>
        <v>1.5688295109514638</v>
      </c>
      <c r="Q564">
        <f t="shared" si="435"/>
        <v>448.97240245237754</v>
      </c>
      <c r="R564">
        <f t="shared" si="436"/>
        <v>1.5685690165607782</v>
      </c>
      <c r="S564">
        <f t="shared" si="437"/>
        <v>7.3619231918251149E-2</v>
      </c>
      <c r="T564">
        <f t="shared" si="438"/>
        <v>-1.4971104320183251</v>
      </c>
      <c r="U564">
        <f t="shared" si="439"/>
        <v>9.0753198900470219E-2</v>
      </c>
      <c r="V564">
        <f t="shared" si="440"/>
        <v>-1.4799180878506857</v>
      </c>
      <c r="X564">
        <f t="shared" si="457"/>
        <v>-53.871441589446256</v>
      </c>
      <c r="Y564">
        <f t="shared" si="441"/>
        <v>-174.69644037136601</v>
      </c>
      <c r="Z564">
        <f t="shared" si="458"/>
        <v>5.303559628633991</v>
      </c>
      <c r="AC564">
        <v>1</v>
      </c>
      <c r="AD564">
        <f t="shared" si="442"/>
        <v>508.43535447600004</v>
      </c>
      <c r="AE564">
        <f t="shared" si="443"/>
        <v>-0.83858080562652182</v>
      </c>
      <c r="AF564">
        <f t="shared" si="444"/>
        <v>7.6419241211250002E-2</v>
      </c>
      <c r="AG564">
        <f t="shared" si="473"/>
        <v>53.614346060217557</v>
      </c>
      <c r="AH564">
        <f t="shared" si="474"/>
        <v>-601.41871057403819</v>
      </c>
      <c r="AJ564">
        <f t="shared" si="445"/>
        <v>18000</v>
      </c>
      <c r="AK564">
        <f t="shared" si="446"/>
        <v>243837.85512239998</v>
      </c>
      <c r="AL564">
        <v>1</v>
      </c>
      <c r="AM564">
        <f t="shared" si="447"/>
        <v>448.97128879680002</v>
      </c>
      <c r="AN564">
        <f t="shared" si="475"/>
        <v>543.19005024067087</v>
      </c>
      <c r="AO564">
        <f t="shared" si="476"/>
        <v>-38.881795752556705</v>
      </c>
      <c r="AQ564">
        <f t="shared" si="448"/>
        <v>8.163264639733499E-4</v>
      </c>
      <c r="AR564">
        <f t="shared" si="449"/>
        <v>-2.8571426239067246</v>
      </c>
      <c r="AT564">
        <f t="shared" si="470"/>
        <v>-1718.2952659865689</v>
      </c>
      <c r="AU564">
        <f t="shared" si="471"/>
        <v>-153.67478739090348</v>
      </c>
      <c r="AV564">
        <f t="shared" si="459"/>
        <v>-3.0523955162110754</v>
      </c>
      <c r="AW564">
        <f t="shared" si="460"/>
        <v>487.87057254007578</v>
      </c>
      <c r="AX564">
        <f t="shared" si="461"/>
        <v>-2290.4778524873709</v>
      </c>
      <c r="AY564">
        <f t="shared" si="469"/>
        <v>-1.3609330905013448</v>
      </c>
      <c r="BA564">
        <f t="shared" si="450"/>
        <v>0.73665964994522815</v>
      </c>
      <c r="BB564">
        <f t="shared" si="462"/>
        <v>-2.6546623538470904</v>
      </c>
      <c r="BC564">
        <f t="shared" si="463"/>
        <v>-1.6914624257097306</v>
      </c>
      <c r="BD564">
        <f t="shared" si="451"/>
        <v>-276.91365830886809</v>
      </c>
      <c r="BF564">
        <f t="shared" si="452"/>
        <v>-57.422788472003219</v>
      </c>
      <c r="BG564">
        <f t="shared" si="453"/>
        <v>-190.79862328917142</v>
      </c>
      <c r="BH564">
        <f t="shared" si="464"/>
        <v>-10.798623289171417</v>
      </c>
      <c r="BI564">
        <f t="shared" si="465"/>
        <v>-10.798623289171417</v>
      </c>
      <c r="BJ564">
        <f t="shared" si="454"/>
        <v>0</v>
      </c>
      <c r="BK564">
        <f t="shared" si="466"/>
        <v>0</v>
      </c>
      <c r="BM564">
        <f t="shared" si="467"/>
        <v>-54.768126118156133</v>
      </c>
      <c r="BN564">
        <f t="shared" si="455"/>
        <v>-93.884964980303351</v>
      </c>
      <c r="BQ564" s="56">
        <f t="shared" si="468"/>
        <v>14.247298446438046</v>
      </c>
    </row>
    <row r="565" spans="1:69" x14ac:dyDescent="0.25">
      <c r="A565">
        <f t="shared" si="472"/>
        <v>1755000</v>
      </c>
      <c r="B565">
        <f t="shared" si="456"/>
        <v>1755</v>
      </c>
      <c r="C565">
        <f t="shared" si="425"/>
        <v>14.589937603838118</v>
      </c>
      <c r="D565">
        <f t="shared" si="426"/>
        <v>1.5022021592828594</v>
      </c>
      <c r="F565">
        <f t="shared" si="427"/>
        <v>8.3215470167993519E-6</v>
      </c>
      <c r="G565">
        <f t="shared" si="428"/>
        <v>9.8129834274233909E-4</v>
      </c>
      <c r="H565">
        <f t="shared" si="429"/>
        <v>-3.1406113516572578</v>
      </c>
      <c r="J565">
        <f t="shared" si="430"/>
        <v>15</v>
      </c>
      <c r="M565">
        <f t="shared" si="431"/>
        <v>7.2491268876070144E-4</v>
      </c>
      <c r="N565">
        <f t="shared" si="432"/>
        <v>-1.5707963250000001</v>
      </c>
      <c r="O565">
        <f t="shared" si="433"/>
        <v>509.88900752387121</v>
      </c>
      <c r="P565">
        <f t="shared" si="434"/>
        <v>1.568835114401016</v>
      </c>
      <c r="Q565">
        <f t="shared" si="435"/>
        <v>450.25517439042545</v>
      </c>
      <c r="R565">
        <f t="shared" si="436"/>
        <v>1.5685753621530836</v>
      </c>
      <c r="S565">
        <f t="shared" si="437"/>
        <v>7.3410622444266882E-2</v>
      </c>
      <c r="T565">
        <f t="shared" si="438"/>
        <v>-1.4973196074971016</v>
      </c>
      <c r="U565">
        <f t="shared" si="439"/>
        <v>9.0496763266193339E-2</v>
      </c>
      <c r="V565">
        <f t="shared" si="440"/>
        <v>-1.4801755830552397</v>
      </c>
      <c r="X565">
        <f t="shared" si="457"/>
        <v>-53.920784376564271</v>
      </c>
      <c r="Y565">
        <f t="shared" si="441"/>
        <v>-174.71146096775951</v>
      </c>
      <c r="Z565">
        <f t="shared" si="458"/>
        <v>5.288539032240493</v>
      </c>
      <c r="AC565">
        <v>1</v>
      </c>
      <c r="AD565">
        <f t="shared" si="442"/>
        <v>509.88802691736004</v>
      </c>
      <c r="AE565">
        <f t="shared" si="443"/>
        <v>-0.84337954150198458</v>
      </c>
      <c r="AF565">
        <f t="shared" si="444"/>
        <v>7.6637581900424995E-2</v>
      </c>
      <c r="AG565">
        <f t="shared" si="473"/>
        <v>53.311784724978494</v>
      </c>
      <c r="AH565">
        <f t="shared" si="474"/>
        <v>-599.73276058896613</v>
      </c>
      <c r="AJ565">
        <f t="shared" si="445"/>
        <v>18000</v>
      </c>
      <c r="AK565">
        <f t="shared" si="446"/>
        <v>244534.53470846399</v>
      </c>
      <c r="AL565">
        <v>1</v>
      </c>
      <c r="AM565">
        <f t="shared" si="447"/>
        <v>450.25406390764795</v>
      </c>
      <c r="AN565">
        <f t="shared" si="475"/>
        <v>543.18955748754502</v>
      </c>
      <c r="AO565">
        <f t="shared" si="476"/>
        <v>-38.771022500072405</v>
      </c>
      <c r="AQ565">
        <f t="shared" si="448"/>
        <v>8.1168165747991835E-4</v>
      </c>
      <c r="AR565">
        <f t="shared" si="449"/>
        <v>-2.8490026177545134</v>
      </c>
      <c r="AT565">
        <f t="shared" si="470"/>
        <v>-1708.5969326733166</v>
      </c>
      <c r="AU565">
        <f t="shared" si="471"/>
        <v>-152.37220631978866</v>
      </c>
      <c r="AV565">
        <f t="shared" si="459"/>
        <v>-3.0526482219668245</v>
      </c>
      <c r="AW565">
        <f t="shared" si="460"/>
        <v>488.18741512512247</v>
      </c>
      <c r="AX565">
        <f t="shared" si="461"/>
        <v>-2283.9790544894449</v>
      </c>
      <c r="AY565">
        <f t="shared" si="469"/>
        <v>-1.3602207331323608</v>
      </c>
      <c r="BA565">
        <f t="shared" si="450"/>
        <v>0.73445785206588488</v>
      </c>
      <c r="BB565">
        <f t="shared" si="462"/>
        <v>-2.6806624356070547</v>
      </c>
      <c r="BC565">
        <f t="shared" si="463"/>
        <v>-1.6924274888344637</v>
      </c>
      <c r="BD565">
        <f t="shared" si="451"/>
        <v>-276.96895235294221</v>
      </c>
      <c r="BF565">
        <f t="shared" si="452"/>
        <v>-57.473687137292551</v>
      </c>
      <c r="BG565">
        <f t="shared" si="453"/>
        <v>-190.84288429869963</v>
      </c>
      <c r="BH565">
        <f t="shared" si="464"/>
        <v>-10.84288429869963</v>
      </c>
      <c r="BI565">
        <f t="shared" si="465"/>
        <v>-10.84288429869963</v>
      </c>
      <c r="BJ565">
        <f t="shared" si="454"/>
        <v>0</v>
      </c>
      <c r="BK565">
        <f t="shared" si="466"/>
        <v>0</v>
      </c>
      <c r="BM565">
        <f t="shared" si="467"/>
        <v>-54.793024701685496</v>
      </c>
      <c r="BN565">
        <f t="shared" si="455"/>
        <v>-93.87393194575742</v>
      </c>
      <c r="BQ565" s="56">
        <f t="shared" si="468"/>
        <v>14.221298364678081</v>
      </c>
    </row>
    <row r="566" spans="1:69" x14ac:dyDescent="0.25">
      <c r="A566">
        <f t="shared" si="472"/>
        <v>1760000</v>
      </c>
      <c r="B566">
        <f t="shared" si="456"/>
        <v>1760</v>
      </c>
      <c r="C566">
        <f t="shared" si="425"/>
        <v>14.631309381949771</v>
      </c>
      <c r="D566">
        <f t="shared" si="426"/>
        <v>1.5023964209797067</v>
      </c>
      <c r="F566">
        <f t="shared" si="427"/>
        <v>8.2743322905426302E-6</v>
      </c>
      <c r="G566">
        <f t="shared" si="428"/>
        <v>9.7851051867007318E-4</v>
      </c>
      <c r="H566">
        <f t="shared" si="429"/>
        <v>-3.1406141394813303</v>
      </c>
      <c r="J566">
        <f t="shared" si="430"/>
        <v>15</v>
      </c>
      <c r="M566">
        <f t="shared" si="431"/>
        <v>7.2285327771308579E-4</v>
      </c>
      <c r="N566">
        <f t="shared" si="432"/>
        <v>-1.5707963250000001</v>
      </c>
      <c r="O566">
        <f t="shared" si="433"/>
        <v>511.34167717942262</v>
      </c>
      <c r="P566">
        <f t="shared" si="434"/>
        <v>1.5688406860129089</v>
      </c>
      <c r="Q566">
        <f t="shared" si="435"/>
        <v>451.53794634650052</v>
      </c>
      <c r="R566">
        <f t="shared" si="436"/>
        <v>1.5685816716910648</v>
      </c>
      <c r="S566">
        <f t="shared" si="437"/>
        <v>7.3203188696901858E-2</v>
      </c>
      <c r="T566">
        <f t="shared" si="438"/>
        <v>-1.4975276008657283</v>
      </c>
      <c r="U566">
        <f t="shared" si="439"/>
        <v>9.0241766803931645E-2</v>
      </c>
      <c r="V566">
        <f t="shared" si="440"/>
        <v>-1.4804316271669746</v>
      </c>
      <c r="X566">
        <f t="shared" si="457"/>
        <v>-53.969988022321644</v>
      </c>
      <c r="Y566">
        <f t="shared" si="441"/>
        <v>-174.7263969723966</v>
      </c>
      <c r="Z566">
        <f t="shared" si="458"/>
        <v>5.2736030276034001</v>
      </c>
      <c r="AC566">
        <v>1</v>
      </c>
      <c r="AD566">
        <f t="shared" si="442"/>
        <v>511.34069935871997</v>
      </c>
      <c r="AE566">
        <f t="shared" si="443"/>
        <v>-0.84819196849264133</v>
      </c>
      <c r="AF566">
        <f t="shared" si="444"/>
        <v>7.6855922589599987E-2</v>
      </c>
      <c r="AG566">
        <f t="shared" si="473"/>
        <v>53.011770373555677</v>
      </c>
      <c r="AH566">
        <f t="shared" si="474"/>
        <v>-598.05615907922061</v>
      </c>
      <c r="AJ566">
        <f t="shared" si="445"/>
        <v>18000</v>
      </c>
      <c r="AK566">
        <f t="shared" si="446"/>
        <v>245231.21429452798</v>
      </c>
      <c r="AL566">
        <v>1</v>
      </c>
      <c r="AM566">
        <f t="shared" si="447"/>
        <v>451.53683901849598</v>
      </c>
      <c r="AN566">
        <f t="shared" si="475"/>
        <v>543.18906892802374</v>
      </c>
      <c r="AO566">
        <f t="shared" si="476"/>
        <v>-38.660878631780704</v>
      </c>
      <c r="AQ566">
        <f t="shared" si="448"/>
        <v>8.0707638114375794E-4</v>
      </c>
      <c r="AR566">
        <f t="shared" si="449"/>
        <v>-2.8409088616260281</v>
      </c>
      <c r="AT566">
        <f t="shared" si="470"/>
        <v>-1698.9802575303922</v>
      </c>
      <c r="AU566">
        <f t="shared" si="471"/>
        <v>-151.08428522530886</v>
      </c>
      <c r="AV566">
        <f t="shared" si="459"/>
        <v>-3.0528995038424109</v>
      </c>
      <c r="AW566">
        <f t="shared" si="460"/>
        <v>488.50153234162661</v>
      </c>
      <c r="AX566">
        <f t="shared" si="461"/>
        <v>-2277.5169568310284</v>
      </c>
      <c r="AY566">
        <f t="shared" si="469"/>
        <v>-1.3595089774327214</v>
      </c>
      <c r="BA566">
        <f t="shared" si="450"/>
        <v>0.73226821191172964</v>
      </c>
      <c r="BB566">
        <f t="shared" si="462"/>
        <v>-2.7065963674055658</v>
      </c>
      <c r="BC566">
        <f t="shared" si="463"/>
        <v>-1.6933905264096896</v>
      </c>
      <c r="BD566">
        <f t="shared" si="451"/>
        <v>-277.0241303415782</v>
      </c>
      <c r="BF566">
        <f t="shared" si="452"/>
        <v>-57.52444815671037</v>
      </c>
      <c r="BG566">
        <f t="shared" si="453"/>
        <v>-190.88709164252606</v>
      </c>
      <c r="BH566">
        <f t="shared" si="464"/>
        <v>-10.887091642526059</v>
      </c>
      <c r="BI566">
        <f t="shared" si="465"/>
        <v>-10.887091642526059</v>
      </c>
      <c r="BJ566">
        <f t="shared" si="454"/>
        <v>0</v>
      </c>
      <c r="BK566">
        <f t="shared" si="466"/>
        <v>0</v>
      </c>
      <c r="BM566">
        <f t="shared" si="467"/>
        <v>-54.817851789304804</v>
      </c>
      <c r="BN566">
        <f t="shared" si="455"/>
        <v>-93.862961300947859</v>
      </c>
      <c r="BQ566" s="56">
        <f t="shared" si="468"/>
        <v>14.195364432879572</v>
      </c>
    </row>
    <row r="567" spans="1:69" x14ac:dyDescent="0.25">
      <c r="A567">
        <f t="shared" si="472"/>
        <v>1765000</v>
      </c>
      <c r="B567">
        <f t="shared" si="456"/>
        <v>1765</v>
      </c>
      <c r="C567">
        <f t="shared" si="425"/>
        <v>14.672681709098272</v>
      </c>
      <c r="D567">
        <f t="shared" si="426"/>
        <v>1.5025895871705786</v>
      </c>
      <c r="F567">
        <f t="shared" si="427"/>
        <v>8.2275182581317284E-6</v>
      </c>
      <c r="G567">
        <f t="shared" si="428"/>
        <v>9.7573849001323211E-4</v>
      </c>
      <c r="H567">
        <f t="shared" si="429"/>
        <v>-3.1406169115099871</v>
      </c>
      <c r="J567">
        <f t="shared" si="430"/>
        <v>15</v>
      </c>
      <c r="M567">
        <f t="shared" si="431"/>
        <v>7.2080553471673143E-4</v>
      </c>
      <c r="N567">
        <f t="shared" si="432"/>
        <v>-1.5707963250000001</v>
      </c>
      <c r="O567">
        <f t="shared" si="433"/>
        <v>512.79434685075751</v>
      </c>
      <c r="P567">
        <f t="shared" si="434"/>
        <v>1.5688462260577158</v>
      </c>
      <c r="Q567">
        <f t="shared" si="435"/>
        <v>452.82071832044971</v>
      </c>
      <c r="R567">
        <f t="shared" si="436"/>
        <v>1.5685879454811302</v>
      </c>
      <c r="S567">
        <f t="shared" si="437"/>
        <v>7.2996920791231421E-2</v>
      </c>
      <c r="T567">
        <f t="shared" si="438"/>
        <v>-1.4977344220987867</v>
      </c>
      <c r="U567">
        <f t="shared" si="439"/>
        <v>8.9988197482109053E-2</v>
      </c>
      <c r="V567">
        <f t="shared" si="440"/>
        <v>-1.480686232384405</v>
      </c>
      <c r="X567">
        <f t="shared" si="457"/>
        <v>-54.019053305810935</v>
      </c>
      <c r="Y567">
        <f t="shared" si="441"/>
        <v>-174.7412490957654</v>
      </c>
      <c r="Z567">
        <f t="shared" si="458"/>
        <v>5.2587509042346028</v>
      </c>
      <c r="AC567">
        <v>1</v>
      </c>
      <c r="AD567">
        <f t="shared" si="442"/>
        <v>512.79337180007997</v>
      </c>
      <c r="AE567">
        <f t="shared" si="443"/>
        <v>-0.85301808659849188</v>
      </c>
      <c r="AF567">
        <f t="shared" si="444"/>
        <v>7.7074263278774993E-2</v>
      </c>
      <c r="AG567">
        <f t="shared" si="473"/>
        <v>52.714274576372041</v>
      </c>
      <c r="AH567">
        <f t="shared" si="474"/>
        <v>-596.38882916475131</v>
      </c>
      <c r="AJ567">
        <f t="shared" si="445"/>
        <v>18000</v>
      </c>
      <c r="AK567">
        <f t="shared" si="446"/>
        <v>245927.89388059202</v>
      </c>
      <c r="AL567">
        <v>1</v>
      </c>
      <c r="AM567">
        <f t="shared" si="447"/>
        <v>452.81961412934402</v>
      </c>
      <c r="AN567">
        <f t="shared" si="475"/>
        <v>543.18858451465576</v>
      </c>
      <c r="AO567">
        <f t="shared" si="476"/>
        <v>-38.551358798912268</v>
      </c>
      <c r="AQ567">
        <f t="shared" si="448"/>
        <v>8.0251018766620483E-4</v>
      </c>
      <c r="AR567">
        <f t="shared" si="449"/>
        <v>-2.8328609624617034</v>
      </c>
      <c r="AT567">
        <f t="shared" si="470"/>
        <v>-1689.4443288466828</v>
      </c>
      <c r="AU567">
        <f t="shared" si="471"/>
        <v>-149.81081872310685</v>
      </c>
      <c r="AV567">
        <f t="shared" si="459"/>
        <v>-3.0531493738050801</v>
      </c>
      <c r="AW567">
        <f t="shared" si="460"/>
        <v>488.81295543044217</v>
      </c>
      <c r="AX567">
        <f t="shared" si="461"/>
        <v>-2271.0912501096145</v>
      </c>
      <c r="AY567">
        <f t="shared" si="469"/>
        <v>-1.3587978202749691</v>
      </c>
      <c r="BA567">
        <f t="shared" si="450"/>
        <v>0.73009062750444909</v>
      </c>
      <c r="BB567">
        <f t="shared" si="462"/>
        <v>-2.7324645350666241</v>
      </c>
      <c r="BC567">
        <f t="shared" si="463"/>
        <v>-1.694351553530111</v>
      </c>
      <c r="BD567">
        <f t="shared" si="451"/>
        <v>-277.0791931396389</v>
      </c>
      <c r="BF567">
        <f t="shared" si="452"/>
        <v>-57.575072327295445</v>
      </c>
      <c r="BG567">
        <f t="shared" si="453"/>
        <v>-190.93124565863542</v>
      </c>
      <c r="BH567">
        <f t="shared" si="464"/>
        <v>-10.931245658635419</v>
      </c>
      <c r="BI567">
        <f t="shared" si="465"/>
        <v>-10.931245658635419</v>
      </c>
      <c r="BJ567">
        <f t="shared" si="454"/>
        <v>0</v>
      </c>
      <c r="BK567">
        <f t="shared" si="466"/>
        <v>0</v>
      </c>
      <c r="BM567">
        <f t="shared" si="467"/>
        <v>-54.842607792228819</v>
      </c>
      <c r="BN567">
        <f t="shared" si="455"/>
        <v>-93.85205251899653</v>
      </c>
      <c r="BQ567" s="56">
        <f t="shared" si="468"/>
        <v>14.169496265218513</v>
      </c>
    </row>
    <row r="568" spans="1:69" x14ac:dyDescent="0.25">
      <c r="A568">
        <f t="shared" si="472"/>
        <v>1770000</v>
      </c>
      <c r="B568">
        <f t="shared" si="456"/>
        <v>1770</v>
      </c>
      <c r="C568">
        <f t="shared" si="425"/>
        <v>14.71405458065235</v>
      </c>
      <c r="D568">
        <f t="shared" si="426"/>
        <v>1.5027816670820051</v>
      </c>
      <c r="F568">
        <f t="shared" si="427"/>
        <v>8.1811003982949482E-6</v>
      </c>
      <c r="G568">
        <f t="shared" si="428"/>
        <v>9.7298212290810844E-4</v>
      </c>
      <c r="H568">
        <f t="shared" si="429"/>
        <v>-3.1406196678770919</v>
      </c>
      <c r="J568">
        <f t="shared" si="430"/>
        <v>15</v>
      </c>
      <c r="M568">
        <f t="shared" si="431"/>
        <v>7.1876936088984813E-4</v>
      </c>
      <c r="N568">
        <f t="shared" si="432"/>
        <v>-1.5707963250000001</v>
      </c>
      <c r="O568">
        <f t="shared" si="433"/>
        <v>514.24701653774241</v>
      </c>
      <c r="P568">
        <f t="shared" si="434"/>
        <v>1.5688517348029534</v>
      </c>
      <c r="Q568">
        <f t="shared" si="435"/>
        <v>454.10349031212138</v>
      </c>
      <c r="R568">
        <f t="shared" si="436"/>
        <v>1.5685941838262265</v>
      </c>
      <c r="S568">
        <f t="shared" si="437"/>
        <v>7.2791808952530804E-2</v>
      </c>
      <c r="T568">
        <f t="shared" si="438"/>
        <v>-1.4979400810591532</v>
      </c>
      <c r="U568">
        <f t="shared" si="439"/>
        <v>8.9736043402329838E-2</v>
      </c>
      <c r="V568">
        <f t="shared" si="440"/>
        <v>-1.4809394107700704</v>
      </c>
      <c r="X568">
        <f t="shared" si="457"/>
        <v>-54.067980999628055</v>
      </c>
      <c r="Y568">
        <f t="shared" si="441"/>
        <v>-174.75601804044311</v>
      </c>
      <c r="Z568">
        <f t="shared" si="458"/>
        <v>5.2439819595568906</v>
      </c>
      <c r="AC568">
        <v>1</v>
      </c>
      <c r="AD568">
        <f t="shared" si="442"/>
        <v>514.24604424144002</v>
      </c>
      <c r="AE568">
        <f t="shared" si="443"/>
        <v>-0.85785789581953642</v>
      </c>
      <c r="AF568">
        <f t="shared" si="444"/>
        <v>7.7292603967949999E-2</v>
      </c>
      <c r="AG568">
        <f t="shared" si="473"/>
        <v>52.419269298323144</v>
      </c>
      <c r="AH568">
        <f t="shared" si="474"/>
        <v>-594.73069479866717</v>
      </c>
      <c r="AJ568">
        <f t="shared" si="445"/>
        <v>18000</v>
      </c>
      <c r="AK568">
        <f t="shared" si="446"/>
        <v>246624.573466656</v>
      </c>
      <c r="AL568">
        <v>1</v>
      </c>
      <c r="AM568">
        <f t="shared" si="447"/>
        <v>454.102389240192</v>
      </c>
      <c r="AN568">
        <f t="shared" si="475"/>
        <v>543.1881042006579</v>
      </c>
      <c r="AO568">
        <f t="shared" si="476"/>
        <v>-38.442457713134317</v>
      </c>
      <c r="AQ568">
        <f t="shared" si="448"/>
        <v>7.9798263605743592E-4</v>
      </c>
      <c r="AR568">
        <f t="shared" si="449"/>
        <v>-2.824858531643323</v>
      </c>
      <c r="AT568">
        <f t="shared" si="470"/>
        <v>-1679.9882475654813</v>
      </c>
      <c r="AU568">
        <f t="shared" si="471"/>
        <v>-148.55160486745675</v>
      </c>
      <c r="AV568">
        <f t="shared" si="459"/>
        <v>-3.0533978436887179</v>
      </c>
      <c r="AW568">
        <f t="shared" si="460"/>
        <v>489.12171518508802</v>
      </c>
      <c r="AX568">
        <f t="shared" si="461"/>
        <v>-2264.7016283842281</v>
      </c>
      <c r="AY568">
        <f t="shared" si="469"/>
        <v>-1.3580872585728854</v>
      </c>
      <c r="BA568">
        <f t="shared" si="450"/>
        <v>0.72792499800536481</v>
      </c>
      <c r="BB568">
        <f t="shared" si="462"/>
        <v>-2.7582673211685602</v>
      </c>
      <c r="BC568">
        <f t="shared" si="463"/>
        <v>-1.6953105851158325</v>
      </c>
      <c r="BD568">
        <f t="shared" si="451"/>
        <v>-277.13414160198329</v>
      </c>
      <c r="BF568">
        <f t="shared" si="452"/>
        <v>-57.62556043928889</v>
      </c>
      <c r="BG568">
        <f t="shared" si="453"/>
        <v>-190.97534668091529</v>
      </c>
      <c r="BH568">
        <f t="shared" si="464"/>
        <v>-10.975346680915294</v>
      </c>
      <c r="BI568">
        <f t="shared" si="465"/>
        <v>-10.975346680915294</v>
      </c>
      <c r="BJ568">
        <f t="shared" si="454"/>
        <v>0</v>
      </c>
      <c r="BK568">
        <f t="shared" si="466"/>
        <v>0</v>
      </c>
      <c r="BM568">
        <f t="shared" si="467"/>
        <v>-54.86729311812033</v>
      </c>
      <c r="BN568">
        <f t="shared" si="455"/>
        <v>-93.841205078932049</v>
      </c>
      <c r="BQ568" s="56">
        <f t="shared" si="468"/>
        <v>14.143693479116575</v>
      </c>
    </row>
    <row r="569" spans="1:69" x14ac:dyDescent="0.25">
      <c r="A569">
        <f t="shared" si="472"/>
        <v>1775000</v>
      </c>
      <c r="B569">
        <f t="shared" si="456"/>
        <v>1775</v>
      </c>
      <c r="C569">
        <f t="shared" si="425"/>
        <v>14.755427992032617</v>
      </c>
      <c r="D569">
        <f t="shared" si="426"/>
        <v>1.5029726698373576</v>
      </c>
      <c r="F569">
        <f t="shared" si="427"/>
        <v>8.1350742533516474E-6</v>
      </c>
      <c r="G569">
        <f t="shared" si="428"/>
        <v>9.702412849993769E-4</v>
      </c>
      <c r="H569">
        <f t="shared" si="429"/>
        <v>-3.140622408715001</v>
      </c>
      <c r="J569">
        <f t="shared" si="430"/>
        <v>15</v>
      </c>
      <c r="M569">
        <f t="shared" si="431"/>
        <v>7.1674465846480629E-4</v>
      </c>
      <c r="N569">
        <f t="shared" si="432"/>
        <v>-1.5707963250000001</v>
      </c>
      <c r="O569">
        <f t="shared" si="433"/>
        <v>515.69968624024466</v>
      </c>
      <c r="P569">
        <f t="shared" si="434"/>
        <v>1.5688572125131237</v>
      </c>
      <c r="Q569">
        <f t="shared" si="435"/>
        <v>455.38626232136579</v>
      </c>
      <c r="R569">
        <f t="shared" si="436"/>
        <v>1.5686003870258864</v>
      </c>
      <c r="S569">
        <f t="shared" si="437"/>
        <v>7.2587843514748077E-2</v>
      </c>
      <c r="T569">
        <f t="shared" si="438"/>
        <v>-1.4981445874995549</v>
      </c>
      <c r="U569">
        <f t="shared" si="439"/>
        <v>8.9485292797548757E-2</v>
      </c>
      <c r="V569">
        <f t="shared" si="440"/>
        <v>-1.4811911742524215</v>
      </c>
      <c r="X569">
        <f t="shared" si="457"/>
        <v>-54.116771869943967</v>
      </c>
      <c r="Y569">
        <f t="shared" si="441"/>
        <v>-174.7707045012057</v>
      </c>
      <c r="Z569">
        <f t="shared" si="458"/>
        <v>5.2292954987943006</v>
      </c>
      <c r="AC569">
        <v>1</v>
      </c>
      <c r="AD569">
        <f t="shared" si="442"/>
        <v>515.69871668279995</v>
      </c>
      <c r="AE569">
        <f t="shared" si="443"/>
        <v>-0.86271139615577486</v>
      </c>
      <c r="AF569">
        <f t="shared" si="444"/>
        <v>7.7510944657124992E-2</v>
      </c>
      <c r="AG569">
        <f t="shared" si="473"/>
        <v>52.126726892245394</v>
      </c>
      <c r="AH569">
        <f t="shared" si="474"/>
        <v>-593.08168075608774</v>
      </c>
      <c r="AJ569">
        <f t="shared" si="445"/>
        <v>18000</v>
      </c>
      <c r="AK569">
        <f t="shared" si="446"/>
        <v>247321.25305271999</v>
      </c>
      <c r="AL569">
        <v>1</v>
      </c>
      <c r="AM569">
        <f t="shared" si="447"/>
        <v>455.38516435104003</v>
      </c>
      <c r="AN569">
        <f t="shared" si="475"/>
        <v>543.18762793990606</v>
      </c>
      <c r="AO569">
        <f t="shared" si="476"/>
        <v>-38.334170145699495</v>
      </c>
      <c r="AQ569">
        <f t="shared" si="448"/>
        <v>7.9349329152999073E-4</v>
      </c>
      <c r="AR569">
        <f t="shared" si="449"/>
        <v>-2.8169011849314671</v>
      </c>
      <c r="AT569">
        <f t="shared" si="470"/>
        <v>-1670.6111270748711</v>
      </c>
      <c r="AU569">
        <f t="shared" si="471"/>
        <v>-147.3064450843743</v>
      </c>
      <c r="AV569">
        <f t="shared" si="459"/>
        <v>-3.0536449251956967</v>
      </c>
      <c r="AW569">
        <f t="shared" si="460"/>
        <v>489.4278419594296</v>
      </c>
      <c r="AX569">
        <f t="shared" si="461"/>
        <v>-2258.3477891272555</v>
      </c>
      <c r="AY569">
        <f t="shared" si="469"/>
        <v>-1.3573772892808658</v>
      </c>
      <c r="BA569">
        <f t="shared" si="450"/>
        <v>0.7257712236995999</v>
      </c>
      <c r="BB569">
        <f t="shared" si="462"/>
        <v>-2.7840051050797681</v>
      </c>
      <c r="BC569">
        <f t="shared" si="463"/>
        <v>-1.696267635914831</v>
      </c>
      <c r="BD569">
        <f t="shared" si="451"/>
        <v>-277.18897657360816</v>
      </c>
      <c r="BF569">
        <f t="shared" si="452"/>
        <v>-57.675913276210778</v>
      </c>
      <c r="BG569">
        <f t="shared" si="453"/>
        <v>-191.01939503921531</v>
      </c>
      <c r="BH569">
        <f t="shared" si="464"/>
        <v>-11.019395039215311</v>
      </c>
      <c r="BI569">
        <f t="shared" si="465"/>
        <v>-11.019395039215311</v>
      </c>
      <c r="BJ569">
        <f t="shared" si="454"/>
        <v>0</v>
      </c>
      <c r="BK569">
        <f t="shared" si="466"/>
        <v>0</v>
      </c>
      <c r="BM569">
        <f t="shared" si="467"/>
        <v>-54.891908171131014</v>
      </c>
      <c r="BN569">
        <f t="shared" si="455"/>
        <v>-93.830418465607181</v>
      </c>
      <c r="BQ569" s="56">
        <f t="shared" si="468"/>
        <v>14.117955695205369</v>
      </c>
    </row>
    <row r="570" spans="1:69" x14ac:dyDescent="0.25">
      <c r="A570">
        <f t="shared" si="472"/>
        <v>1780000</v>
      </c>
      <c r="B570">
        <f t="shared" si="456"/>
        <v>1780</v>
      </c>
      <c r="C570">
        <f t="shared" si="425"/>
        <v>14.796801938710839</v>
      </c>
      <c r="D570">
        <f t="shared" si="426"/>
        <v>1.5031626044582815</v>
      </c>
      <c r="F570">
        <f t="shared" si="427"/>
        <v>8.0894354281419612E-6</v>
      </c>
      <c r="G570">
        <f t="shared" si="428"/>
        <v>9.6751584541890975E-4</v>
      </c>
      <c r="H570">
        <f t="shared" si="429"/>
        <v>-3.1406251341545812</v>
      </c>
      <c r="J570">
        <f t="shared" si="430"/>
        <v>15</v>
      </c>
      <c r="M570">
        <f t="shared" si="431"/>
        <v>7.1473133077248928E-4</v>
      </c>
      <c r="N570">
        <f t="shared" si="432"/>
        <v>-1.5707963250000001</v>
      </c>
      <c r="O570">
        <f t="shared" si="433"/>
        <v>517.15235595813385</v>
      </c>
      <c r="P570">
        <f t="shared" si="434"/>
        <v>1.5688626594497566</v>
      </c>
      <c r="Q570">
        <f t="shared" si="435"/>
        <v>456.66903434803487</v>
      </c>
      <c r="R570">
        <f t="shared" si="436"/>
        <v>1.5686065553762778</v>
      </c>
      <c r="S570">
        <f t="shared" si="437"/>
        <v>7.2385014919002136E-2</v>
      </c>
      <c r="T570">
        <f t="shared" si="438"/>
        <v>-1.4983479510641013</v>
      </c>
      <c r="U570">
        <f t="shared" si="439"/>
        <v>8.9235934030271219E-2</v>
      </c>
      <c r="V570">
        <f t="shared" si="440"/>
        <v>-1.4814415346276717</v>
      </c>
      <c r="X570">
        <f t="shared" si="457"/>
        <v>-54.165426676575379</v>
      </c>
      <c r="Y570">
        <f t="shared" si="441"/>
        <v>-174.78530916513535</v>
      </c>
      <c r="Z570">
        <f t="shared" si="458"/>
        <v>5.2146908348646548</v>
      </c>
      <c r="AC570">
        <v>1</v>
      </c>
      <c r="AD570">
        <f t="shared" si="442"/>
        <v>517.15138912416</v>
      </c>
      <c r="AE570">
        <f t="shared" si="443"/>
        <v>-0.86757858760720707</v>
      </c>
      <c r="AF570">
        <f t="shared" si="444"/>
        <v>7.7729285346299998E-2</v>
      </c>
      <c r="AG570">
        <f t="shared" si="473"/>
        <v>51.836620092509904</v>
      </c>
      <c r="AH570">
        <f t="shared" si="474"/>
        <v>-591.44171262317479</v>
      </c>
      <c r="AJ570">
        <f t="shared" si="445"/>
        <v>18000</v>
      </c>
      <c r="AK570">
        <f t="shared" si="446"/>
        <v>248017.932638784</v>
      </c>
      <c r="AL570">
        <v>1</v>
      </c>
      <c r="AM570">
        <f t="shared" si="447"/>
        <v>456.66793946188801</v>
      </c>
      <c r="AN570">
        <f t="shared" si="475"/>
        <v>543.18715568692232</v>
      </c>
      <c r="AO570">
        <f t="shared" si="476"/>
        <v>-38.226490926608967</v>
      </c>
      <c r="AQ570">
        <f t="shared" si="448"/>
        <v>7.8904172539438473E-4</v>
      </c>
      <c r="AR570">
        <f t="shared" si="449"/>
        <v>-2.8089885424040095</v>
      </c>
      <c r="AT570">
        <f t="shared" si="470"/>
        <v>-1661.3120930021466</v>
      </c>
      <c r="AU570">
        <f t="shared" si="471"/>
        <v>-146.07514410620817</v>
      </c>
      <c r="AV570">
        <f t="shared" si="459"/>
        <v>-3.0538906298986919</v>
      </c>
      <c r="AW570">
        <f t="shared" si="460"/>
        <v>489.73136567520407</v>
      </c>
      <c r="AX570">
        <f t="shared" si="461"/>
        <v>-2252.0294331770524</v>
      </c>
      <c r="AY570">
        <f t="shared" si="469"/>
        <v>-1.3566679093933052</v>
      </c>
      <c r="BA570">
        <f t="shared" si="450"/>
        <v>0.72362920598051395</v>
      </c>
      <c r="BB570">
        <f t="shared" si="462"/>
        <v>-2.8096782629938799</v>
      </c>
      <c r="BC570">
        <f t="shared" si="463"/>
        <v>-1.6972227205053867</v>
      </c>
      <c r="BD570">
        <f t="shared" si="451"/>
        <v>-277.24369888978754</v>
      </c>
      <c r="BF570">
        <f t="shared" si="452"/>
        <v>-57.726131614935746</v>
      </c>
      <c r="BG570">
        <f t="shared" si="453"/>
        <v>-191.06339105940532</v>
      </c>
      <c r="BH570">
        <f t="shared" si="464"/>
        <v>-11.063391059405319</v>
      </c>
      <c r="BI570">
        <f t="shared" si="465"/>
        <v>-11.063391059405319</v>
      </c>
      <c r="BJ570">
        <f t="shared" si="454"/>
        <v>0</v>
      </c>
      <c r="BK570">
        <f t="shared" si="466"/>
        <v>0</v>
      </c>
      <c r="BM570">
        <f t="shared" si="467"/>
        <v>-54.916453351941868</v>
      </c>
      <c r="BN570">
        <f t="shared" si="455"/>
        <v>-93.819692169617824</v>
      </c>
      <c r="BQ570" s="56">
        <f t="shared" si="468"/>
        <v>14.092282537291256</v>
      </c>
    </row>
    <row r="571" spans="1:69" x14ac:dyDescent="0.25">
      <c r="A571">
        <f t="shared" si="472"/>
        <v>1785000</v>
      </c>
      <c r="B571">
        <f t="shared" si="456"/>
        <v>1785</v>
      </c>
      <c r="C571">
        <f t="shared" si="425"/>
        <v>14.83817641620923</v>
      </c>
      <c r="D571">
        <f t="shared" si="426"/>
        <v>1.5033514798661107</v>
      </c>
      <c r="F571">
        <f t="shared" si="427"/>
        <v>8.0441795889774913E-6</v>
      </c>
      <c r="G571">
        <f t="shared" si="428"/>
        <v>9.6480567476494574E-4</v>
      </c>
      <c r="H571">
        <f t="shared" si="429"/>
        <v>-3.1406278443252353</v>
      </c>
      <c r="J571">
        <f t="shared" si="430"/>
        <v>15</v>
      </c>
      <c r="M571">
        <f t="shared" si="431"/>
        <v>7.1272928222690813E-4</v>
      </c>
      <c r="N571">
        <f t="shared" si="432"/>
        <v>-1.5707963250000001</v>
      </c>
      <c r="O571">
        <f t="shared" si="433"/>
        <v>518.60502569128039</v>
      </c>
      <c r="P571">
        <f t="shared" si="434"/>
        <v>1.5688680758714519</v>
      </c>
      <c r="Q571">
        <f t="shared" si="435"/>
        <v>457.95180639198219</v>
      </c>
      <c r="R571">
        <f t="shared" si="436"/>
        <v>1.5686126891702494</v>
      </c>
      <c r="S571">
        <f t="shared" si="437"/>
        <v>7.218331371210554E-2</v>
      </c>
      <c r="T571">
        <f t="shared" si="438"/>
        <v>-1.4985501812897888</v>
      </c>
      <c r="U571">
        <f t="shared" si="439"/>
        <v>8.8987955590782805E-2</v>
      </c>
      <c r="V571">
        <f t="shared" si="440"/>
        <v>-1.4816905035616204</v>
      </c>
      <c r="X571">
        <f t="shared" si="457"/>
        <v>-54.213946173054552</v>
      </c>
      <c r="Y571">
        <f t="shared" si="441"/>
        <v>-174.79983271172657</v>
      </c>
      <c r="Z571">
        <f t="shared" si="458"/>
        <v>5.200167288273434</v>
      </c>
      <c r="AC571">
        <v>1</v>
      </c>
      <c r="AD571">
        <f t="shared" si="442"/>
        <v>518.60406156552006</v>
      </c>
      <c r="AE571">
        <f t="shared" si="443"/>
        <v>-0.8724594701738333</v>
      </c>
      <c r="AF571">
        <f t="shared" si="444"/>
        <v>7.794762603547499E-2</v>
      </c>
      <c r="AG571">
        <f t="shared" si="473"/>
        <v>51.548922008738643</v>
      </c>
      <c r="AH571">
        <f t="shared" si="474"/>
        <v>-589.81071678633077</v>
      </c>
      <c r="AJ571">
        <f t="shared" si="445"/>
        <v>18000</v>
      </c>
      <c r="AK571">
        <f t="shared" si="446"/>
        <v>248714.61222484798</v>
      </c>
      <c r="AL571">
        <v>1</v>
      </c>
      <c r="AM571">
        <f t="shared" si="447"/>
        <v>457.95071457273605</v>
      </c>
      <c r="AN571">
        <f t="shared" si="475"/>
        <v>543.18668739686518</v>
      </c>
      <c r="AO571">
        <f t="shared" si="476"/>
        <v>-38.119414943789721</v>
      </c>
      <c r="AQ571">
        <f t="shared" si="448"/>
        <v>7.8462751495676579E-4</v>
      </c>
      <c r="AR571">
        <f t="shared" si="449"/>
        <v>-2.801120228395654</v>
      </c>
      <c r="AT571">
        <f t="shared" si="470"/>
        <v>-1652.0902830121568</v>
      </c>
      <c r="AU571">
        <f t="shared" si="471"/>
        <v>-144.85750990767465</v>
      </c>
      <c r="AV571">
        <f t="shared" si="459"/>
        <v>-3.0541349692424697</v>
      </c>
      <c r="AW571">
        <f t="shared" si="460"/>
        <v>490.03231582939611</v>
      </c>
      <c r="AX571">
        <f t="shared" si="461"/>
        <v>-2245.7462646913491</v>
      </c>
      <c r="AY571">
        <f t="shared" si="469"/>
        <v>-1.3559591159439934</v>
      </c>
      <c r="BA571">
        <f t="shared" si="450"/>
        <v>0.72149884733438718</v>
      </c>
      <c r="BB571">
        <f t="shared" si="462"/>
        <v>-2.8352871679645562</v>
      </c>
      <c r="BC571">
        <f t="shared" si="463"/>
        <v>-1.6981758532984763</v>
      </c>
      <c r="BD571">
        <f t="shared" si="451"/>
        <v>-277.29830937620943</v>
      </c>
      <c r="BF571">
        <f t="shared" si="452"/>
        <v>-57.77621622576752</v>
      </c>
      <c r="BG571">
        <f t="shared" si="453"/>
        <v>-191.10733506343291</v>
      </c>
      <c r="BH571">
        <f t="shared" si="464"/>
        <v>-11.107335063432913</v>
      </c>
      <c r="BI571">
        <f t="shared" si="465"/>
        <v>-11.107335063432913</v>
      </c>
      <c r="BJ571">
        <f t="shared" si="454"/>
        <v>0</v>
      </c>
      <c r="BK571">
        <f t="shared" si="466"/>
        <v>0</v>
      </c>
      <c r="BM571">
        <f t="shared" si="467"/>
        <v>-54.940929057802961</v>
      </c>
      <c r="BN571">
        <f t="shared" si="455"/>
        <v>-93.809025687223468</v>
      </c>
      <c r="BQ571" s="56">
        <f t="shared" si="468"/>
        <v>14.066673632320581</v>
      </c>
    </row>
    <row r="572" spans="1:69" x14ac:dyDescent="0.25">
      <c r="A572">
        <f t="shared" si="472"/>
        <v>1790000</v>
      </c>
      <c r="B572">
        <f t="shared" si="456"/>
        <v>1790</v>
      </c>
      <c r="C572">
        <f t="shared" si="425"/>
        <v>14.879551420099752</v>
      </c>
      <c r="D572">
        <f t="shared" si="426"/>
        <v>1.5035393048832537</v>
      </c>
      <c r="F572">
        <f t="shared" si="427"/>
        <v>7.9993024626124824E-6</v>
      </c>
      <c r="G572">
        <f t="shared" si="428"/>
        <v>9.6211064508161049E-4</v>
      </c>
      <c r="H572">
        <f t="shared" si="429"/>
        <v>-3.1406305393549188</v>
      </c>
      <c r="J572">
        <f t="shared" si="430"/>
        <v>15</v>
      </c>
      <c r="M572">
        <f t="shared" si="431"/>
        <v>7.1073841831007325E-4</v>
      </c>
      <c r="N572">
        <f t="shared" si="432"/>
        <v>-1.5707963250000001</v>
      </c>
      <c r="O572">
        <f t="shared" si="433"/>
        <v>520.05769543955671</v>
      </c>
      <c r="P572">
        <f t="shared" si="434"/>
        <v>1.5688734620339206</v>
      </c>
      <c r="Q572">
        <f t="shared" si="435"/>
        <v>459.23457845306308</v>
      </c>
      <c r="R572">
        <f t="shared" si="436"/>
        <v>1.5686187886973786</v>
      </c>
      <c r="S572">
        <f t="shared" si="437"/>
        <v>7.1982730545111617E-2</v>
      </c>
      <c r="T572">
        <f t="shared" si="438"/>
        <v>-1.4987512876079805</v>
      </c>
      <c r="U572">
        <f t="shared" si="439"/>
        <v>8.8741346095407528E-2</v>
      </c>
      <c r="V572">
        <f t="shared" si="440"/>
        <v>-1.4819380925914445</v>
      </c>
      <c r="X572">
        <f t="shared" si="457"/>
        <v>-54.262331106698085</v>
      </c>
      <c r="Y572">
        <f t="shared" si="441"/>
        <v>-174.81427581299005</v>
      </c>
      <c r="Z572">
        <f t="shared" si="458"/>
        <v>5.1857241870099529</v>
      </c>
      <c r="AC572">
        <v>1</v>
      </c>
      <c r="AD572">
        <f t="shared" si="442"/>
        <v>520.05673400687999</v>
      </c>
      <c r="AE572">
        <f t="shared" si="443"/>
        <v>-0.87735404385565352</v>
      </c>
      <c r="AF572">
        <f t="shared" si="444"/>
        <v>7.8165966724649996E-2</v>
      </c>
      <c r="AG572">
        <f t="shared" si="473"/>
        <v>51.263606119641146</v>
      </c>
      <c r="AH572">
        <f t="shared" si="474"/>
        <v>-588.18862042157457</v>
      </c>
      <c r="AJ572">
        <f t="shared" si="445"/>
        <v>18000</v>
      </c>
      <c r="AK572">
        <f t="shared" si="446"/>
        <v>249411.29181091196</v>
      </c>
      <c r="AL572">
        <v>1</v>
      </c>
      <c r="AM572">
        <f t="shared" si="447"/>
        <v>459.23348968358403</v>
      </c>
      <c r="AN572">
        <f t="shared" si="475"/>
        <v>543.18622302551819</v>
      </c>
      <c r="AO572">
        <f t="shared" si="476"/>
        <v>-38.012937142285466</v>
      </c>
      <c r="AQ572">
        <f t="shared" si="448"/>
        <v>7.8025024341856972E-4</v>
      </c>
      <c r="AR572">
        <f t="shared" si="449"/>
        <v>-2.7932958714384797</v>
      </c>
      <c r="AT572">
        <f t="shared" si="470"/>
        <v>-1642.9448466095259</v>
      </c>
      <c r="AU572">
        <f t="shared" si="471"/>
        <v>-143.65335364330198</v>
      </c>
      <c r="AV572">
        <f t="shared" si="459"/>
        <v>-3.0543779545456431</v>
      </c>
      <c r="AW572">
        <f t="shared" si="460"/>
        <v>490.33072150146705</v>
      </c>
      <c r="AX572">
        <f t="shared" si="461"/>
        <v>-2239.497991101422</v>
      </c>
      <c r="AY572">
        <f t="shared" si="469"/>
        <v>-1.3552509060055242</v>
      </c>
      <c r="BA572">
        <f t="shared" si="450"/>
        <v>0.71938005132536775</v>
      </c>
      <c r="BB572">
        <f t="shared" si="462"/>
        <v>-2.8608321899396829</v>
      </c>
      <c r="BC572">
        <f t="shared" si="463"/>
        <v>-1.6991270485401189</v>
      </c>
      <c r="BD572">
        <f t="shared" si="451"/>
        <v>-277.35280884911077</v>
      </c>
      <c r="BF572">
        <f t="shared" si="452"/>
        <v>-57.826167872512279</v>
      </c>
      <c r="BG572">
        <f t="shared" si="453"/>
        <v>-191.15122736937937</v>
      </c>
      <c r="BH572">
        <f t="shared" si="464"/>
        <v>-11.15122736937937</v>
      </c>
      <c r="BI572">
        <f t="shared" si="465"/>
        <v>-11.15122736937937</v>
      </c>
      <c r="BJ572">
        <f t="shared" si="454"/>
        <v>0</v>
      </c>
      <c r="BK572">
        <f t="shared" si="466"/>
        <v>0</v>
      </c>
      <c r="BM572">
        <f t="shared" si="467"/>
        <v>-54.965335682572594</v>
      </c>
      <c r="BN572">
        <f t="shared" si="455"/>
        <v>-93.798418520268598</v>
      </c>
      <c r="BQ572" s="56">
        <f t="shared" si="468"/>
        <v>14.041128610345453</v>
      </c>
    </row>
    <row r="573" spans="1:69" x14ac:dyDescent="0.25">
      <c r="A573">
        <f t="shared" si="472"/>
        <v>1795000</v>
      </c>
      <c r="B573">
        <f t="shared" si="456"/>
        <v>1795</v>
      </c>
      <c r="C573">
        <f t="shared" si="425"/>
        <v>14.920926946003428</v>
      </c>
      <c r="D573">
        <f t="shared" si="426"/>
        <v>1.5037260882345593</v>
      </c>
      <c r="F573">
        <f t="shared" si="427"/>
        <v>7.9547998352350313E-6</v>
      </c>
      <c r="G573">
        <f t="shared" si="428"/>
        <v>9.5943062983877558E-4</v>
      </c>
      <c r="H573">
        <f t="shared" si="429"/>
        <v>-3.1406332193701614</v>
      </c>
      <c r="J573">
        <f t="shared" si="430"/>
        <v>15</v>
      </c>
      <c r="M573">
        <f t="shared" si="431"/>
        <v>7.0875864555712033E-4</v>
      </c>
      <c r="N573">
        <f t="shared" si="432"/>
        <v>-1.5707963250000001</v>
      </c>
      <c r="O573">
        <f t="shared" si="433"/>
        <v>521.51036520283606</v>
      </c>
      <c r="P573">
        <f t="shared" si="434"/>
        <v>1.5688788181900237</v>
      </c>
      <c r="Q573">
        <f t="shared" si="435"/>
        <v>460.51735053113413</v>
      </c>
      <c r="R573">
        <f t="shared" si="436"/>
        <v>1.568624854244016</v>
      </c>
      <c r="S573">
        <f t="shared" si="437"/>
        <v>7.1783256171885468E-2</v>
      </c>
      <c r="T573">
        <f t="shared" si="438"/>
        <v>-1.4989512793458641</v>
      </c>
      <c r="U573">
        <f t="shared" si="439"/>
        <v>8.8496094284794602E-2</v>
      </c>
      <c r="V573">
        <f t="shared" si="440"/>
        <v>-1.4821843131274628</v>
      </c>
      <c r="X573">
        <f t="shared" si="457"/>
        <v>-54.310582218674824</v>
      </c>
      <c r="Y573">
        <f t="shared" si="441"/>
        <v>-174.82863913355541</v>
      </c>
      <c r="Z573">
        <f t="shared" si="458"/>
        <v>5.1713608664445871</v>
      </c>
      <c r="AC573">
        <v>1</v>
      </c>
      <c r="AD573">
        <f t="shared" si="442"/>
        <v>521.50940644824004</v>
      </c>
      <c r="AE573">
        <f t="shared" si="443"/>
        <v>-0.88226230865266753</v>
      </c>
      <c r="AF573">
        <f t="shared" si="444"/>
        <v>7.8384307413825002E-2</v>
      </c>
      <c r="AG573">
        <f t="shared" si="473"/>
        <v>50.980646266968456</v>
      </c>
      <c r="AH573">
        <f t="shared" si="474"/>
        <v>-586.57535148408022</v>
      </c>
      <c r="AJ573">
        <f t="shared" si="445"/>
        <v>18000</v>
      </c>
      <c r="AK573">
        <f t="shared" si="446"/>
        <v>250107.97139697601</v>
      </c>
      <c r="AL573">
        <v>1</v>
      </c>
      <c r="AM573">
        <f t="shared" si="447"/>
        <v>460.51626479443195</v>
      </c>
      <c r="AN573">
        <f t="shared" si="475"/>
        <v>543.18576252928028</v>
      </c>
      <c r="AO573">
        <f t="shared" si="476"/>
        <v>-37.907052523461246</v>
      </c>
      <c r="AQ573">
        <f t="shared" si="448"/>
        <v>7.7590949977812869E-4</v>
      </c>
      <c r="AR573">
        <f t="shared" si="449"/>
        <v>-2.785515104203482</v>
      </c>
      <c r="AT573">
        <f t="shared" si="470"/>
        <v>-1633.8749449446284</v>
      </c>
      <c r="AU573">
        <f t="shared" si="471"/>
        <v>-142.4624895862477</v>
      </c>
      <c r="AV573">
        <f t="shared" si="459"/>
        <v>-3.0546195970024028</v>
      </c>
      <c r="AW573">
        <f t="shared" si="460"/>
        <v>490.62661136044096</v>
      </c>
      <c r="AX573">
        <f t="shared" si="461"/>
        <v>-2233.2843230670264</v>
      </c>
      <c r="AY573">
        <f t="shared" si="469"/>
        <v>-1.3545432766887107</v>
      </c>
      <c r="BA573">
        <f t="shared" si="450"/>
        <v>0.71727272258065644</v>
      </c>
      <c r="BB573">
        <f t="shared" si="462"/>
        <v>-2.8863136957952209</v>
      </c>
      <c r="BC573">
        <f t="shared" si="463"/>
        <v>-1.7000763203136922</v>
      </c>
      <c r="BD573">
        <f t="shared" si="451"/>
        <v>-277.40719811540959</v>
      </c>
      <c r="BF573">
        <f t="shared" si="452"/>
        <v>-57.875987312551224</v>
      </c>
      <c r="BG573">
        <f t="shared" si="453"/>
        <v>-191.19506829151541</v>
      </c>
      <c r="BH573">
        <f t="shared" si="464"/>
        <v>-11.195068291515412</v>
      </c>
      <c r="BI573">
        <f t="shared" si="465"/>
        <v>-11.195068291515412</v>
      </c>
      <c r="BJ573">
        <f t="shared" si="454"/>
        <v>0</v>
      </c>
      <c r="BK573">
        <f t="shared" si="466"/>
        <v>0</v>
      </c>
      <c r="BM573">
        <f t="shared" si="467"/>
        <v>-54.989673616756008</v>
      </c>
      <c r="BN573">
        <f t="shared" si="455"/>
        <v>-93.787870176105855</v>
      </c>
      <c r="BQ573" s="56">
        <f t="shared" si="468"/>
        <v>14.015647104489917</v>
      </c>
    </row>
    <row r="574" spans="1:69" x14ac:dyDescent="0.25">
      <c r="A574">
        <f t="shared" si="472"/>
        <v>1800000</v>
      </c>
      <c r="B574">
        <f t="shared" si="456"/>
        <v>1800</v>
      </c>
      <c r="C574">
        <f t="shared" si="425"/>
        <v>14.962302989589658</v>
      </c>
      <c r="D574">
        <f t="shared" si="426"/>
        <v>1.5039118385486605</v>
      </c>
      <c r="F574">
        <f t="shared" si="427"/>
        <v>7.9106675514778766E-6</v>
      </c>
      <c r="G574">
        <f t="shared" si="428"/>
        <v>9.5676550391225875E-4</v>
      </c>
      <c r="H574">
        <f t="shared" si="429"/>
        <v>-3.140635884496088</v>
      </c>
      <c r="J574">
        <f t="shared" si="430"/>
        <v>15</v>
      </c>
      <c r="M574">
        <f t="shared" si="431"/>
        <v>7.0678987154168386E-4</v>
      </c>
      <c r="N574">
        <f t="shared" si="432"/>
        <v>-1.5707963250000001</v>
      </c>
      <c r="O574">
        <f t="shared" si="433"/>
        <v>522.96303498099383</v>
      </c>
      <c r="P574">
        <f t="shared" si="434"/>
        <v>1.5688841445898132</v>
      </c>
      <c r="Q574">
        <f t="shared" si="435"/>
        <v>461.80012262605391</v>
      </c>
      <c r="R574">
        <f t="shared" si="436"/>
        <v>1.5686308860933305</v>
      </c>
      <c r="S574">
        <f t="shared" si="437"/>
        <v>7.1584881447698312E-2</v>
      </c>
      <c r="T574">
        <f t="shared" si="438"/>
        <v>-1.4991501657278816</v>
      </c>
      <c r="U574">
        <f t="shared" si="439"/>
        <v>8.825218902223271E-2</v>
      </c>
      <c r="V574">
        <f t="shared" si="440"/>
        <v>-1.4824291764548689</v>
      </c>
      <c r="X574">
        <f t="shared" si="457"/>
        <v>-54.3587002440728</v>
      </c>
      <c r="Y574">
        <f t="shared" si="441"/>
        <v>-174.84292333077178</v>
      </c>
      <c r="Z574">
        <f t="shared" si="458"/>
        <v>5.1570766692282177</v>
      </c>
      <c r="AC574">
        <v>1</v>
      </c>
      <c r="AD574">
        <f t="shared" si="442"/>
        <v>522.96207888959998</v>
      </c>
      <c r="AE574">
        <f t="shared" si="443"/>
        <v>-0.88718426456487542</v>
      </c>
      <c r="AF574">
        <f t="shared" si="444"/>
        <v>7.8602648102999995E-2</v>
      </c>
      <c r="AG574">
        <f t="shared" si="473"/>
        <v>50.700016649581833</v>
      </c>
      <c r="AH574">
        <f t="shared" si="474"/>
        <v>-584.97083869787969</v>
      </c>
      <c r="AJ574">
        <f t="shared" si="445"/>
        <v>18000</v>
      </c>
      <c r="AK574">
        <f t="shared" si="446"/>
        <v>250804.65098303999</v>
      </c>
      <c r="AL574">
        <v>1</v>
      </c>
      <c r="AM574">
        <f t="shared" si="447"/>
        <v>461.79903990527998</v>
      </c>
      <c r="AN574">
        <f t="shared" si="475"/>
        <v>543.18530586515465</v>
      </c>
      <c r="AO574">
        <f t="shared" si="476"/>
        <v>-37.801756144221152</v>
      </c>
      <c r="AQ574">
        <f t="shared" si="448"/>
        <v>7.7160487873419148E-4</v>
      </c>
      <c r="AR574">
        <f t="shared" si="449"/>
        <v>-2.7777775634430895</v>
      </c>
      <c r="AT574">
        <f t="shared" si="470"/>
        <v>-1624.8797506232581</v>
      </c>
      <c r="AU574">
        <f t="shared" si="471"/>
        <v>-141.28473506845603</v>
      </c>
      <c r="AV574">
        <f t="shared" si="459"/>
        <v>-3.0548599076842153</v>
      </c>
      <c r="AW574">
        <f t="shared" si="460"/>
        <v>490.92001367184992</v>
      </c>
      <c r="AX574">
        <f t="shared" si="461"/>
        <v>-2227.1049744320608</v>
      </c>
      <c r="AY574">
        <f t="shared" si="469"/>
        <v>-1.3538362251420142</v>
      </c>
      <c r="BA574">
        <f t="shared" si="450"/>
        <v>0.71517676677594011</v>
      </c>
      <c r="BB574">
        <f t="shared" si="462"/>
        <v>-2.9117320493685317</v>
      </c>
      <c r="BC574">
        <f t="shared" si="463"/>
        <v>-1.7010236825422012</v>
      </c>
      <c r="BD574">
        <f t="shared" si="451"/>
        <v>-277.46147797283527</v>
      </c>
      <c r="BF574">
        <f t="shared" si="452"/>
        <v>-57.925675296911969</v>
      </c>
      <c r="BG574">
        <f t="shared" si="453"/>
        <v>-191.23885814035538</v>
      </c>
      <c r="BH574">
        <f t="shared" si="464"/>
        <v>-11.238858140355376</v>
      </c>
      <c r="BI574">
        <f t="shared" si="465"/>
        <v>-11.238858140355376</v>
      </c>
      <c r="BJ574">
        <f t="shared" si="454"/>
        <v>0</v>
      </c>
      <c r="BK574">
        <f t="shared" si="466"/>
        <v>0</v>
      </c>
      <c r="BM574">
        <f t="shared" si="467"/>
        <v>-55.01394324754343</v>
      </c>
      <c r="BN574">
        <f t="shared" si="455"/>
        <v>-93.777380167520107</v>
      </c>
      <c r="BQ574" s="56">
        <f t="shared" si="468"/>
        <v>13.990228750916604</v>
      </c>
    </row>
    <row r="575" spans="1:69" x14ac:dyDescent="0.25">
      <c r="A575">
        <f t="shared" si="472"/>
        <v>1805000</v>
      </c>
      <c r="B575">
        <f t="shared" si="456"/>
        <v>1805</v>
      </c>
      <c r="C575">
        <f t="shared" si="425"/>
        <v>15.003679546575562</v>
      </c>
      <c r="D575">
        <f t="shared" si="426"/>
        <v>1.5040965643592938</v>
      </c>
      <c r="F575">
        <f t="shared" si="427"/>
        <v>7.8669015134483607E-6</v>
      </c>
      <c r="G575">
        <f t="shared" si="428"/>
        <v>9.5411514356434667E-4</v>
      </c>
      <c r="H575">
        <f t="shared" si="429"/>
        <v>-3.1406385348564361</v>
      </c>
      <c r="J575">
        <f t="shared" si="430"/>
        <v>15</v>
      </c>
      <c r="M575">
        <f t="shared" si="431"/>
        <v>7.0483200486151296E-4</v>
      </c>
      <c r="N575">
        <f t="shared" si="432"/>
        <v>-1.5707963250000001</v>
      </c>
      <c r="O575">
        <f t="shared" si="433"/>
        <v>524.41570477390599</v>
      </c>
      <c r="P575">
        <f t="shared" si="434"/>
        <v>1.5688894414805701</v>
      </c>
      <c r="Q575">
        <f t="shared" si="435"/>
        <v>463.08289473768241</v>
      </c>
      <c r="R575">
        <f t="shared" si="436"/>
        <v>1.5686368845253535</v>
      </c>
      <c r="S575">
        <f t="shared" si="437"/>
        <v>7.1387597327844679E-2</v>
      </c>
      <c r="T575">
        <f t="shared" si="438"/>
        <v>-1.4993479558771392</v>
      </c>
      <c r="U575">
        <f t="shared" si="439"/>
        <v>8.800961929199172E-2</v>
      </c>
      <c r="V575">
        <f t="shared" si="440"/>
        <v>-1.482672693735438</v>
      </c>
      <c r="X575">
        <f t="shared" si="457"/>
        <v>-54.406685911965297</v>
      </c>
      <c r="Y575">
        <f t="shared" si="441"/>
        <v>-174.85712905480702</v>
      </c>
      <c r="Z575">
        <f t="shared" si="458"/>
        <v>5.1428709451929819</v>
      </c>
      <c r="AC575">
        <v>1</v>
      </c>
      <c r="AD575">
        <f t="shared" si="442"/>
        <v>524.41475133096003</v>
      </c>
      <c r="AE575">
        <f t="shared" si="443"/>
        <v>-0.89211991159227733</v>
      </c>
      <c r="AF575">
        <f t="shared" si="444"/>
        <v>7.8820988792175001E-2</v>
      </c>
      <c r="AG575">
        <f t="shared" si="473"/>
        <v>50.421691817634212</v>
      </c>
      <c r="AH575">
        <f t="shared" si="474"/>
        <v>-583.37501154572931</v>
      </c>
      <c r="AJ575">
        <f t="shared" si="445"/>
        <v>18000</v>
      </c>
      <c r="AK575">
        <f t="shared" si="446"/>
        <v>251501.33056910397</v>
      </c>
      <c r="AL575">
        <v>1</v>
      </c>
      <c r="AM575">
        <f t="shared" si="447"/>
        <v>463.08181501612796</v>
      </c>
      <c r="AN575">
        <f t="shared" si="475"/>
        <v>543.18485299073939</v>
      </c>
      <c r="AO575">
        <f t="shared" si="476"/>
        <v>-37.697043116239158</v>
      </c>
      <c r="AQ575">
        <f t="shared" si="448"/>
        <v>7.6733598059131069E-4</v>
      </c>
      <c r="AR575">
        <f t="shared" si="449"/>
        <v>-2.7700828899346313</v>
      </c>
      <c r="AT575">
        <f t="shared" si="470"/>
        <v>-1615.9584475199088</v>
      </c>
      <c r="AU575">
        <f t="shared" si="471"/>
        <v>-140.11991042212244</v>
      </c>
      <c r="AV575">
        <f t="shared" si="459"/>
        <v>-3.0550988975414968</v>
      </c>
      <c r="AW575">
        <f t="shared" si="460"/>
        <v>491.21095630454261</v>
      </c>
      <c r="AX575">
        <f t="shared" si="461"/>
        <v>-2220.9596621809669</v>
      </c>
      <c r="AY575">
        <f t="shared" si="469"/>
        <v>-1.3531297485509819</v>
      </c>
      <c r="BA575">
        <f t="shared" si="450"/>
        <v>0.71309209062106171</v>
      </c>
      <c r="BB575">
        <f t="shared" si="462"/>
        <v>-2.9370876114912745</v>
      </c>
      <c r="BC575">
        <f t="shared" si="463"/>
        <v>-1.7019691489905149</v>
      </c>
      <c r="BD575">
        <f t="shared" si="451"/>
        <v>-277.51564921005678</v>
      </c>
      <c r="BF575">
        <f t="shared" si="452"/>
        <v>-57.975232570338939</v>
      </c>
      <c r="BG575">
        <f t="shared" si="453"/>
        <v>-191.28259722271065</v>
      </c>
      <c r="BH575">
        <f t="shared" si="464"/>
        <v>-11.282597222710649</v>
      </c>
      <c r="BI575">
        <f t="shared" si="465"/>
        <v>-11.282597222710649</v>
      </c>
      <c r="BJ575">
        <f t="shared" si="454"/>
        <v>0</v>
      </c>
      <c r="BK575">
        <f t="shared" si="466"/>
        <v>0</v>
      </c>
      <c r="BM575">
        <f t="shared" si="467"/>
        <v>-55.038144958847667</v>
      </c>
      <c r="BN575">
        <f t="shared" si="455"/>
        <v>-93.766948012653899</v>
      </c>
      <c r="BQ575" s="56">
        <f t="shared" si="468"/>
        <v>13.964873188793863</v>
      </c>
    </row>
    <row r="576" spans="1:69" x14ac:dyDescent="0.25">
      <c r="A576">
        <f t="shared" si="472"/>
        <v>1810000</v>
      </c>
      <c r="B576">
        <f t="shared" si="456"/>
        <v>1810</v>
      </c>
      <c r="C576">
        <f t="shared" si="425"/>
        <v>15.045056612725324</v>
      </c>
      <c r="D576">
        <f t="shared" si="426"/>
        <v>1.5042802741065995</v>
      </c>
      <c r="F576">
        <f t="shared" si="427"/>
        <v>7.8234976797771039E-6</v>
      </c>
      <c r="G576">
        <f t="shared" si="428"/>
        <v>9.5147942642464633E-4</v>
      </c>
      <c r="H576">
        <f t="shared" si="429"/>
        <v>-3.1406411705735757</v>
      </c>
      <c r="J576">
        <f t="shared" si="430"/>
        <v>15</v>
      </c>
      <c r="M576">
        <f t="shared" si="431"/>
        <v>7.0288495512432661E-4</v>
      </c>
      <c r="N576">
        <f t="shared" si="432"/>
        <v>-1.5707963250000001</v>
      </c>
      <c r="O576">
        <f t="shared" si="433"/>
        <v>525.86837458145055</v>
      </c>
      <c r="P576">
        <f t="shared" si="434"/>
        <v>1.5688947091068435</v>
      </c>
      <c r="Q576">
        <f t="shared" si="435"/>
        <v>464.36566686588111</v>
      </c>
      <c r="R576">
        <f t="shared" si="436"/>
        <v>1.5686428498170224</v>
      </c>
      <c r="S576">
        <f t="shared" si="437"/>
        <v>7.1191394866282301E-2</v>
      </c>
      <c r="T576">
        <f t="shared" si="438"/>
        <v>-1.499544658816792</v>
      </c>
      <c r="U576">
        <f t="shared" si="439"/>
        <v>8.7768374197691013E-2</v>
      </c>
      <c r="V576">
        <f t="shared" si="440"/>
        <v>-1.4829148760092048</v>
      </c>
      <c r="X576">
        <f t="shared" si="457"/>
        <v>-54.454539945475986</v>
      </c>
      <c r="Y576">
        <f t="shared" si="441"/>
        <v>-174.87125694874516</v>
      </c>
      <c r="Z576">
        <f t="shared" si="458"/>
        <v>5.128743051254844</v>
      </c>
      <c r="AC576">
        <v>1</v>
      </c>
      <c r="AD576">
        <f t="shared" si="442"/>
        <v>525.86742377232008</v>
      </c>
      <c r="AE576">
        <f t="shared" si="443"/>
        <v>-0.8970692497348729</v>
      </c>
      <c r="AF576">
        <f t="shared" si="444"/>
        <v>7.9039329481349993E-2</v>
      </c>
      <c r="AG576">
        <f t="shared" si="473"/>
        <v>50.145646666861488</v>
      </c>
      <c r="AH576">
        <f t="shared" si="474"/>
        <v>-581.78780025913306</v>
      </c>
      <c r="AJ576">
        <f t="shared" si="445"/>
        <v>18000</v>
      </c>
      <c r="AK576">
        <f t="shared" si="446"/>
        <v>252198.01015516801</v>
      </c>
      <c r="AL576">
        <v>1</v>
      </c>
      <c r="AM576">
        <f t="shared" si="447"/>
        <v>464.364590126976</v>
      </c>
      <c r="AN576">
        <f t="shared" si="475"/>
        <v>543.18440386421776</v>
      </c>
      <c r="AO576">
        <f t="shared" si="476"/>
        <v>-37.592908605202624</v>
      </c>
      <c r="AQ576">
        <f t="shared" si="448"/>
        <v>7.6310241116705753E-4</v>
      </c>
      <c r="AR576">
        <f t="shared" si="449"/>
        <v>-2.7624307284247482</v>
      </c>
      <c r="AT576">
        <f t="shared" si="470"/>
        <v>-1607.1102305945878</v>
      </c>
      <c r="AU576">
        <f t="shared" si="471"/>
        <v>-138.96783892243354</v>
      </c>
      <c r="AV576">
        <f t="shared" si="459"/>
        <v>-3.0553365774052583</v>
      </c>
      <c r="AW576">
        <f t="shared" si="460"/>
        <v>491.49946673735946</v>
      </c>
      <c r="AX576">
        <f t="shared" si="461"/>
        <v>-2214.8481063958443</v>
      </c>
      <c r="AY576">
        <f t="shared" si="469"/>
        <v>-1.3524238441376946</v>
      </c>
      <c r="BA576">
        <f t="shared" si="450"/>
        <v>0.7110186018459248</v>
      </c>
      <c r="BB576">
        <f t="shared" si="462"/>
        <v>-2.9623807400218545</v>
      </c>
      <c r="BC576">
        <f t="shared" si="463"/>
        <v>-1.7029127332675638</v>
      </c>
      <c r="BD576">
        <f t="shared" si="451"/>
        <v>-277.56971260680837</v>
      </c>
      <c r="BF576">
        <f t="shared" si="452"/>
        <v>-58.024659871362928</v>
      </c>
      <c r="BG576">
        <f t="shared" si="453"/>
        <v>-191.32628584174245</v>
      </c>
      <c r="BH576">
        <f t="shared" si="464"/>
        <v>-11.326285841742447</v>
      </c>
      <c r="BI576">
        <f t="shared" si="465"/>
        <v>-11.326285841742447</v>
      </c>
      <c r="BJ576">
        <f t="shared" si="454"/>
        <v>0</v>
      </c>
      <c r="BK576">
        <f t="shared" si="466"/>
        <v>0</v>
      </c>
      <c r="BM576">
        <f t="shared" si="467"/>
        <v>-55.062279131341072</v>
      </c>
      <c r="BN576">
        <f t="shared" si="455"/>
        <v>-93.756573234934109</v>
      </c>
      <c r="BQ576" s="56">
        <f t="shared" si="468"/>
        <v>13.939580060263282</v>
      </c>
    </row>
    <row r="577" spans="1:69" x14ac:dyDescent="0.25">
      <c r="A577">
        <f t="shared" si="472"/>
        <v>1815000</v>
      </c>
      <c r="B577">
        <f t="shared" si="456"/>
        <v>1815</v>
      </c>
      <c r="C577">
        <f t="shared" si="425"/>
        <v>15.086434183849539</v>
      </c>
      <c r="D577">
        <f t="shared" si="426"/>
        <v>1.5044629761383981</v>
      </c>
      <c r="F577">
        <f t="shared" si="427"/>
        <v>7.780452064685021E-6</v>
      </c>
      <c r="G577">
        <f t="shared" si="428"/>
        <v>9.4885823147124984E-4</v>
      </c>
      <c r="H577">
        <f t="shared" si="429"/>
        <v>-3.1406437917685288</v>
      </c>
      <c r="J577">
        <f t="shared" si="430"/>
        <v>15</v>
      </c>
      <c r="M577">
        <f t="shared" si="431"/>
        <v>7.0094863293390143E-4</v>
      </c>
      <c r="N577">
        <f t="shared" si="432"/>
        <v>-1.5707963250000001</v>
      </c>
      <c r="O577">
        <f t="shared" si="433"/>
        <v>527.32104440350645</v>
      </c>
      <c r="P577">
        <f t="shared" si="434"/>
        <v>1.568899947710487</v>
      </c>
      <c r="Q577">
        <f t="shared" si="435"/>
        <v>465.64843901051313</v>
      </c>
      <c r="R577">
        <f t="shared" si="436"/>
        <v>1.5686487822422222</v>
      </c>
      <c r="S577">
        <f t="shared" si="437"/>
        <v>7.0996265214293905E-2</v>
      </c>
      <c r="T577">
        <f t="shared" si="438"/>
        <v>-1.4997402834714066</v>
      </c>
      <c r="U577">
        <f t="shared" si="439"/>
        <v>8.7528442960693967E-2</v>
      </c>
      <c r="V577">
        <f t="shared" si="440"/>
        <v>-1.4831557341961137</v>
      </c>
      <c r="X577">
        <f t="shared" si="457"/>
        <v>-54.502263061843266</v>
      </c>
      <c r="Y577">
        <f t="shared" si="441"/>
        <v>-174.88530764868244</v>
      </c>
      <c r="Z577">
        <f t="shared" si="458"/>
        <v>5.114692351317558</v>
      </c>
      <c r="AC577">
        <v>1</v>
      </c>
      <c r="AD577">
        <f t="shared" si="442"/>
        <v>527.32009621368002</v>
      </c>
      <c r="AE577">
        <f t="shared" si="443"/>
        <v>-0.90203227899266258</v>
      </c>
      <c r="AF577">
        <f t="shared" si="444"/>
        <v>7.9257670170524999E-2</v>
      </c>
      <c r="AG577">
        <f t="shared" si="473"/>
        <v>49.87185643298136</v>
      </c>
      <c r="AH577">
        <f t="shared" si="474"/>
        <v>-580.20913580852039</v>
      </c>
      <c r="AJ577">
        <f t="shared" si="445"/>
        <v>18000</v>
      </c>
      <c r="AK577">
        <f t="shared" si="446"/>
        <v>252894.689741232</v>
      </c>
      <c r="AL577">
        <v>1</v>
      </c>
      <c r="AM577">
        <f t="shared" si="447"/>
        <v>465.64736523782403</v>
      </c>
      <c r="AN577">
        <f t="shared" si="475"/>
        <v>543.18395844434747</v>
      </c>
      <c r="AO577">
        <f t="shared" si="476"/>
        <v>-37.489347830068326</v>
      </c>
      <c r="AQ577">
        <f t="shared" si="448"/>
        <v>7.5890378170102358E-4</v>
      </c>
      <c r="AR577">
        <f t="shared" si="449"/>
        <v>-2.7548207275747156</v>
      </c>
      <c r="AT577">
        <f t="shared" si="470"/>
        <v>-1598.3343057130778</v>
      </c>
      <c r="AU577">
        <f t="shared" si="471"/>
        <v>-137.82834673155003</v>
      </c>
      <c r="AV577">
        <f t="shared" si="459"/>
        <v>-3.0555729579887245</v>
      </c>
      <c r="AW577">
        <f t="shared" si="460"/>
        <v>491.78557206567547</v>
      </c>
      <c r="AX577">
        <f t="shared" si="461"/>
        <v>-2208.7700302142525</v>
      </c>
      <c r="AY577">
        <f t="shared" si="469"/>
        <v>-1.351718509160224</v>
      </c>
      <c r="BA577">
        <f t="shared" si="450"/>
        <v>0.70895620918662539</v>
      </c>
      <c r="BB577">
        <f t="shared" si="462"/>
        <v>-2.9876117898774535</v>
      </c>
      <c r="BC577">
        <f t="shared" si="463"/>
        <v>-1.7038544488285006</v>
      </c>
      <c r="BD577">
        <f t="shared" si="451"/>
        <v>-277.62366893401349</v>
      </c>
      <c r="BF577">
        <f t="shared" si="452"/>
        <v>-58.073957932369552</v>
      </c>
      <c r="BG577">
        <f t="shared" si="453"/>
        <v>-191.36992429701334</v>
      </c>
      <c r="BH577">
        <f t="shared" si="464"/>
        <v>-11.369924297013341</v>
      </c>
      <c r="BI577">
        <f t="shared" si="465"/>
        <v>-11.369924297013341</v>
      </c>
      <c r="BJ577">
        <f t="shared" si="454"/>
        <v>0</v>
      </c>
      <c r="BK577">
        <f t="shared" si="466"/>
        <v>0</v>
      </c>
      <c r="BM577">
        <f t="shared" si="467"/>
        <v>-55.086346142492097</v>
      </c>
      <c r="BN577">
        <f t="shared" si="455"/>
        <v>-93.746255362999875</v>
      </c>
      <c r="BQ577" s="56">
        <f t="shared" si="468"/>
        <v>13.914349010407683</v>
      </c>
    </row>
    <row r="578" spans="1:69" x14ac:dyDescent="0.25">
      <c r="A578">
        <f t="shared" si="472"/>
        <v>1820000</v>
      </c>
      <c r="B578">
        <f t="shared" si="456"/>
        <v>1820</v>
      </c>
      <c r="C578">
        <f t="shared" si="425"/>
        <v>15.127812255804592</v>
      </c>
      <c r="D578">
        <f t="shared" si="426"/>
        <v>1.5046446787114485</v>
      </c>
      <c r="F578">
        <f t="shared" si="427"/>
        <v>7.737760737068226E-6</v>
      </c>
      <c r="G578">
        <f t="shared" si="428"/>
        <v>9.4625143901221054E-4</v>
      </c>
      <c r="H578">
        <f t="shared" si="429"/>
        <v>-3.140646398560988</v>
      </c>
      <c r="J578">
        <f t="shared" si="430"/>
        <v>15</v>
      </c>
      <c r="M578">
        <f t="shared" si="431"/>
        <v>6.9902294987639064E-4</v>
      </c>
      <c r="N578">
        <f t="shared" si="432"/>
        <v>-1.5707963250000001</v>
      </c>
      <c r="O578">
        <f t="shared" si="433"/>
        <v>528.77371423995385</v>
      </c>
      <c r="P578">
        <f t="shared" si="434"/>
        <v>1.5689051575306974</v>
      </c>
      <c r="Q578">
        <f t="shared" si="435"/>
        <v>466.9312111714429</v>
      </c>
      <c r="R578">
        <f t="shared" si="436"/>
        <v>1.5686546820718292</v>
      </c>
      <c r="S578">
        <f t="shared" si="437"/>
        <v>7.0802199619170766E-2</v>
      </c>
      <c r="T578">
        <f t="shared" si="438"/>
        <v>-1.4999348386683022</v>
      </c>
      <c r="U578">
        <f t="shared" si="439"/>
        <v>8.7289814918528386E-2</v>
      </c>
      <c r="V578">
        <f t="shared" si="440"/>
        <v>-1.4833952790976443</v>
      </c>
      <c r="X578">
        <f t="shared" si="457"/>
        <v>-54.549855972483662</v>
      </c>
      <c r="Y578">
        <f t="shared" si="441"/>
        <v>-174.89928178382155</v>
      </c>
      <c r="Z578">
        <f t="shared" si="458"/>
        <v>5.1007182161784499</v>
      </c>
      <c r="AC578">
        <v>1</v>
      </c>
      <c r="AD578">
        <f t="shared" si="442"/>
        <v>528.77276865503995</v>
      </c>
      <c r="AE578">
        <f t="shared" si="443"/>
        <v>-0.90700899936564605</v>
      </c>
      <c r="AF578">
        <f t="shared" si="444"/>
        <v>7.9476010859699991E-2</v>
      </c>
      <c r="AG578">
        <f t="shared" si="473"/>
        <v>49.600296686197858</v>
      </c>
      <c r="AH578">
        <f t="shared" si="474"/>
        <v>-578.63894989357902</v>
      </c>
      <c r="AJ578">
        <f t="shared" si="445"/>
        <v>18000</v>
      </c>
      <c r="AK578">
        <f t="shared" si="446"/>
        <v>253591.36932729598</v>
      </c>
      <c r="AL578">
        <v>1</v>
      </c>
      <c r="AM578">
        <f t="shared" si="447"/>
        <v>466.93014034867201</v>
      </c>
      <c r="AN578">
        <f t="shared" si="475"/>
        <v>543.18351669045273</v>
      </c>
      <c r="AO578">
        <f t="shared" si="476"/>
        <v>-37.386356062330805</v>
      </c>
      <c r="AQ578">
        <f t="shared" si="448"/>
        <v>7.547397087655696E-4</v>
      </c>
      <c r="AR578">
        <f t="shared" si="449"/>
        <v>-2.7472525399066736</v>
      </c>
      <c r="AT578">
        <f t="shared" si="470"/>
        <v>-1589.6298894705897</v>
      </c>
      <c r="AU578">
        <f t="shared" si="471"/>
        <v>-136.70126284380473</v>
      </c>
      <c r="AV578">
        <f t="shared" si="459"/>
        <v>-3.0558080498889262</v>
      </c>
      <c r="AW578">
        <f t="shared" si="460"/>
        <v>492.06929900781762</v>
      </c>
      <c r="AX578">
        <f t="shared" si="461"/>
        <v>-2202.7251597877148</v>
      </c>
      <c r="AY578">
        <f t="shared" si="469"/>
        <v>-1.3510137409120981</v>
      </c>
      <c r="BA578">
        <f t="shared" si="450"/>
        <v>0.70690482237181151</v>
      </c>
      <c r="BB578">
        <f t="shared" si="462"/>
        <v>-3.0127811130656079</v>
      </c>
      <c r="BC578">
        <f t="shared" si="463"/>
        <v>-1.704794308976828</v>
      </c>
      <c r="BD578">
        <f t="shared" si="451"/>
        <v>-277.67751895390671</v>
      </c>
      <c r="BF578">
        <f t="shared" si="452"/>
        <v>-58.123127479666856</v>
      </c>
      <c r="BG578">
        <f t="shared" si="453"/>
        <v>-191.41351288453839</v>
      </c>
      <c r="BH578">
        <f t="shared" si="464"/>
        <v>-11.413512884538392</v>
      </c>
      <c r="BI578">
        <f t="shared" si="465"/>
        <v>-11.413512884538392</v>
      </c>
      <c r="BJ578">
        <f t="shared" si="454"/>
        <v>0</v>
      </c>
      <c r="BK578">
        <f t="shared" si="466"/>
        <v>0</v>
      </c>
      <c r="BM578">
        <f t="shared" si="467"/>
        <v>-55.110346366601242</v>
      </c>
      <c r="BN578">
        <f t="shared" si="455"/>
        <v>-93.735993930631679</v>
      </c>
      <c r="BQ578" s="56">
        <f t="shared" si="468"/>
        <v>13.889179687219528</v>
      </c>
    </row>
    <row r="579" spans="1:69" x14ac:dyDescent="0.25">
      <c r="A579">
        <f t="shared" si="472"/>
        <v>1825000</v>
      </c>
      <c r="B579">
        <f t="shared" si="456"/>
        <v>1825</v>
      </c>
      <c r="C579">
        <f t="shared" si="425"/>
        <v>15.169190824492032</v>
      </c>
      <c r="D579">
        <f t="shared" si="426"/>
        <v>1.5048253899926838</v>
      </c>
      <c r="F579">
        <f t="shared" si="427"/>
        <v>7.6954198196004973E-6</v>
      </c>
      <c r="G579">
        <f t="shared" si="428"/>
        <v>9.4365893066732304E-4</v>
      </c>
      <c r="H579">
        <f t="shared" si="429"/>
        <v>-3.1406489910693329</v>
      </c>
      <c r="J579">
        <f t="shared" si="430"/>
        <v>15</v>
      </c>
      <c r="M579">
        <f t="shared" si="431"/>
        <v>6.9710781850686632E-4</v>
      </c>
      <c r="N579">
        <f t="shared" si="432"/>
        <v>-1.5707963250000001</v>
      </c>
      <c r="O579">
        <f t="shared" si="433"/>
        <v>530.22638409067497</v>
      </c>
      <c r="P579">
        <f t="shared" si="434"/>
        <v>1.5689103388040493</v>
      </c>
      <c r="Q579">
        <f t="shared" si="435"/>
        <v>468.21398334853654</v>
      </c>
      <c r="R579">
        <f t="shared" si="436"/>
        <v>1.5686605495737507</v>
      </c>
      <c r="S579">
        <f t="shared" si="437"/>
        <v>7.060918942291744E-2</v>
      </c>
      <c r="T579">
        <f t="shared" si="438"/>
        <v>-1.5001283331388695</v>
      </c>
      <c r="U579">
        <f t="shared" si="439"/>
        <v>8.7052479523332033E-2</v>
      </c>
      <c r="V579">
        <f t="shared" si="440"/>
        <v>-1.4836335213984082</v>
      </c>
      <c r="X579">
        <f t="shared" si="457"/>
        <v>-54.597319383054355</v>
      </c>
      <c r="Y579">
        <f t="shared" si="441"/>
        <v>-174.91317997656466</v>
      </c>
      <c r="Z579">
        <f t="shared" si="458"/>
        <v>5.0868200234353367</v>
      </c>
      <c r="AC579">
        <v>1</v>
      </c>
      <c r="AD579">
        <f t="shared" si="442"/>
        <v>530.2254410964</v>
      </c>
      <c r="AE579">
        <f t="shared" si="443"/>
        <v>-0.91199941085382352</v>
      </c>
      <c r="AF579">
        <f t="shared" si="444"/>
        <v>7.9694351548874998E-2</v>
      </c>
      <c r="AG579">
        <f t="shared" si="473"/>
        <v>49.330943325808519</v>
      </c>
      <c r="AH579">
        <f t="shared" si="474"/>
        <v>-577.07717493373514</v>
      </c>
      <c r="AJ579">
        <f t="shared" si="445"/>
        <v>18000</v>
      </c>
      <c r="AK579">
        <f t="shared" si="446"/>
        <v>254288.04891335999</v>
      </c>
      <c r="AL579">
        <v>1</v>
      </c>
      <c r="AM579">
        <f t="shared" si="447"/>
        <v>468.21291545952005</v>
      </c>
      <c r="AN579">
        <f t="shared" si="475"/>
        <v>543.18307856241381</v>
      </c>
      <c r="AO579">
        <f t="shared" si="476"/>
        <v>-37.2839286253026</v>
      </c>
      <c r="AQ579">
        <f t="shared" si="448"/>
        <v>7.5060981417828378E-4</v>
      </c>
      <c r="AR579">
        <f t="shared" si="449"/>
        <v>-2.7397258217507359</v>
      </c>
      <c r="AT579">
        <f t="shared" si="470"/>
        <v>-1580.9962090187175</v>
      </c>
      <c r="AU579">
        <f t="shared" si="471"/>
        <v>-135.58641903208328</v>
      </c>
      <c r="AV579">
        <f t="shared" si="459"/>
        <v>-3.0560418635882671</v>
      </c>
      <c r="AW579">
        <f t="shared" si="460"/>
        <v>492.35067391135431</v>
      </c>
      <c r="AX579">
        <f t="shared" si="461"/>
        <v>-2196.7132242408843</v>
      </c>
      <c r="AY579">
        <f t="shared" si="469"/>
        <v>-1.3503095367217788</v>
      </c>
      <c r="BA579">
        <f t="shared" si="450"/>
        <v>0.70486435210926091</v>
      </c>
      <c r="BB579">
        <f t="shared" si="462"/>
        <v>-3.0378890587153951</v>
      </c>
      <c r="BC579">
        <f t="shared" si="463"/>
        <v>-1.7057323268664883</v>
      </c>
      <c r="BD579">
        <f t="shared" si="451"/>
        <v>-277.73126342015343</v>
      </c>
      <c r="BF579">
        <f t="shared" si="452"/>
        <v>-58.172169233551955</v>
      </c>
      <c r="BG579">
        <f t="shared" si="453"/>
        <v>-191.45705189683477</v>
      </c>
      <c r="BH579">
        <f t="shared" si="464"/>
        <v>-11.45705189683477</v>
      </c>
      <c r="BI579">
        <f t="shared" si="465"/>
        <v>-11.45705189683477</v>
      </c>
      <c r="BJ579">
        <f t="shared" si="454"/>
        <v>0</v>
      </c>
      <c r="BK579">
        <f t="shared" si="466"/>
        <v>0</v>
      </c>
      <c r="BM579">
        <f t="shared" si="467"/>
        <v>-55.134280174836555</v>
      </c>
      <c r="BN579">
        <f t="shared" si="455"/>
        <v>-93.725788476681359</v>
      </c>
      <c r="BQ579" s="56">
        <f t="shared" si="468"/>
        <v>13.864071741569742</v>
      </c>
    </row>
    <row r="580" spans="1:69" x14ac:dyDescent="0.25">
      <c r="A580">
        <f t="shared" si="472"/>
        <v>1830000</v>
      </c>
      <c r="B580">
        <f t="shared" si="456"/>
        <v>1830</v>
      </c>
      <c r="C580">
        <f t="shared" si="425"/>
        <v>15.210569885857948</v>
      </c>
      <c r="D580">
        <f t="shared" si="426"/>
        <v>1.505005118060428</v>
      </c>
      <c r="F580">
        <f t="shared" si="427"/>
        <v>7.6534254878528513E-6</v>
      </c>
      <c r="G580">
        <f t="shared" si="428"/>
        <v>9.4108058935020314E-4</v>
      </c>
      <c r="H580">
        <f t="shared" si="429"/>
        <v>-3.1406515694106498</v>
      </c>
      <c r="J580">
        <f t="shared" si="430"/>
        <v>15</v>
      </c>
      <c r="M580">
        <f t="shared" si="431"/>
        <v>6.9520315233608258E-4</v>
      </c>
      <c r="N580">
        <f t="shared" si="432"/>
        <v>-1.5707963250000001</v>
      </c>
      <c r="O580">
        <f t="shared" si="433"/>
        <v>531.67905395555238</v>
      </c>
      <c r="P580">
        <f t="shared" si="434"/>
        <v>1.5689154917645327</v>
      </c>
      <c r="Q580">
        <f t="shared" si="435"/>
        <v>469.49675554166168</v>
      </c>
      <c r="R580">
        <f t="shared" si="436"/>
        <v>1.5686663850129661</v>
      </c>
      <c r="S580">
        <f t="shared" si="437"/>
        <v>7.0417226060977445E-2</v>
      </c>
      <c r="T580">
        <f t="shared" si="438"/>
        <v>-1.5003207755198666</v>
      </c>
      <c r="U580">
        <f t="shared" si="439"/>
        <v>8.6816426340322952E-2</v>
      </c>
      <c r="V580">
        <f t="shared" si="440"/>
        <v>-1.4838704716677222</v>
      </c>
      <c r="X580">
        <f t="shared" si="457"/>
        <v>-54.644653993515028</v>
      </c>
      <c r="Y580">
        <f t="shared" si="441"/>
        <v>-174.92700284260471</v>
      </c>
      <c r="Z580">
        <f t="shared" si="458"/>
        <v>5.0729971573952923</v>
      </c>
      <c r="AC580">
        <v>1</v>
      </c>
      <c r="AD580">
        <f t="shared" si="442"/>
        <v>531.67811353775994</v>
      </c>
      <c r="AE580">
        <f t="shared" si="443"/>
        <v>-0.91700351345719477</v>
      </c>
      <c r="AF580">
        <f t="shared" si="444"/>
        <v>7.9912692238050004E-2</v>
      </c>
      <c r="AG580">
        <f t="shared" si="473"/>
        <v>49.063772574912782</v>
      </c>
      <c r="AH580">
        <f t="shared" si="474"/>
        <v>-575.52374405878288</v>
      </c>
      <c r="AJ580">
        <f t="shared" si="445"/>
        <v>18000</v>
      </c>
      <c r="AK580">
        <f t="shared" si="446"/>
        <v>254984.72849942397</v>
      </c>
      <c r="AL580">
        <v>1</v>
      </c>
      <c r="AM580">
        <f t="shared" si="447"/>
        <v>469.49569057036803</v>
      </c>
      <c r="AN580">
        <f t="shared" si="475"/>
        <v>543.18264402065836</v>
      </c>
      <c r="AO580">
        <f t="shared" si="476"/>
        <v>-37.182060893406458</v>
      </c>
      <c r="AQ580">
        <f t="shared" si="448"/>
        <v>7.4651372491611235E-4</v>
      </c>
      <c r="AR580">
        <f t="shared" si="449"/>
        <v>-2.7322402331929712</v>
      </c>
      <c r="AT580">
        <f t="shared" si="470"/>
        <v>-1572.4325018956376</v>
      </c>
      <c r="AU580">
        <f t="shared" si="471"/>
        <v>-134.4836497953616</v>
      </c>
      <c r="AV580">
        <f t="shared" si="459"/>
        <v>-3.0562744094560657</v>
      </c>
      <c r="AW580">
        <f t="shared" si="460"/>
        <v>492.62972275926433</v>
      </c>
      <c r="AX580">
        <f t="shared" si="461"/>
        <v>-2190.7339556313768</v>
      </c>
      <c r="AY580">
        <f t="shared" si="469"/>
        <v>-1.3496058939521456</v>
      </c>
      <c r="BA580">
        <f t="shared" si="450"/>
        <v>0.7028347100726785</v>
      </c>
      <c r="BB580">
        <f t="shared" si="462"/>
        <v>-3.0629359731081611</v>
      </c>
      <c r="BC580">
        <f t="shared" si="463"/>
        <v>-1.7066685155039201</v>
      </c>
      <c r="BD580">
        <f t="shared" si="451"/>
        <v>-277.78490307796767</v>
      </c>
      <c r="BF580">
        <f t="shared" si="452"/>
        <v>-58.221083908376741</v>
      </c>
      <c r="BG580">
        <f t="shared" si="453"/>
        <v>-191.50054162297121</v>
      </c>
      <c r="BH580">
        <f t="shared" si="464"/>
        <v>-11.500541622971213</v>
      </c>
      <c r="BI580">
        <f t="shared" si="465"/>
        <v>-11.500541622971213</v>
      </c>
      <c r="BJ580">
        <f t="shared" si="454"/>
        <v>0</v>
      </c>
      <c r="BK580">
        <f t="shared" si="466"/>
        <v>0</v>
      </c>
      <c r="BM580">
        <f t="shared" si="467"/>
        <v>-55.15814793526858</v>
      </c>
      <c r="BN580">
        <f t="shared" si="455"/>
        <v>-93.715638545003571</v>
      </c>
      <c r="BQ580" s="56">
        <f t="shared" si="468"/>
        <v>13.839024827176976</v>
      </c>
    </row>
    <row r="581" spans="1:69" x14ac:dyDescent="0.25">
      <c r="A581">
        <f t="shared" si="472"/>
        <v>1835000</v>
      </c>
      <c r="B581">
        <f t="shared" si="456"/>
        <v>1835</v>
      </c>
      <c r="C581">
        <f t="shared" si="425"/>
        <v>15.251949435892382</v>
      </c>
      <c r="D581">
        <f t="shared" si="426"/>
        <v>1.5051838709055925</v>
      </c>
      <c r="F581">
        <f t="shared" si="427"/>
        <v>7.6117739694299213E-6</v>
      </c>
      <c r="G581">
        <f t="shared" si="428"/>
        <v>9.3851629925065976E-4</v>
      </c>
      <c r="H581">
        <f t="shared" si="429"/>
        <v>-3.1406541337007496</v>
      </c>
      <c r="J581">
        <f t="shared" si="430"/>
        <v>15</v>
      </c>
      <c r="M581">
        <f t="shared" si="431"/>
        <v>6.9330886581745561E-4</v>
      </c>
      <c r="N581">
        <f t="shared" si="432"/>
        <v>-1.5707963250000001</v>
      </c>
      <c r="O581">
        <f t="shared" si="433"/>
        <v>533.13172383447056</v>
      </c>
      <c r="P581">
        <f t="shared" si="434"/>
        <v>1.5689206166435867</v>
      </c>
      <c r="Q581">
        <f t="shared" si="435"/>
        <v>470.77952775068707</v>
      </c>
      <c r="R581">
        <f t="shared" si="436"/>
        <v>1.5686721886515664</v>
      </c>
      <c r="S581">
        <f t="shared" si="437"/>
        <v>7.0226301060979338E-2</v>
      </c>
      <c r="T581">
        <f t="shared" si="438"/>
        <v>-1.5005121743546974</v>
      </c>
      <c r="U581">
        <f t="shared" si="439"/>
        <v>8.6581645046294189E-2</v>
      </c>
      <c r="V581">
        <f t="shared" si="440"/>
        <v>-1.4841061403611544</v>
      </c>
      <c r="X581">
        <f t="shared" si="457"/>
        <v>-54.691860498188696</v>
      </c>
      <c r="Y581">
        <f t="shared" si="441"/>
        <v>-174.94075099101534</v>
      </c>
      <c r="Z581">
        <f t="shared" si="458"/>
        <v>5.0592490089846649</v>
      </c>
      <c r="AC581">
        <v>1</v>
      </c>
      <c r="AD581">
        <f t="shared" si="442"/>
        <v>533.13078597911999</v>
      </c>
      <c r="AE581">
        <f t="shared" si="443"/>
        <v>-0.92202130717576003</v>
      </c>
      <c r="AF581">
        <f t="shared" si="444"/>
        <v>8.0131032927224996E-2</v>
      </c>
      <c r="AG581">
        <f t="shared" si="473"/>
        <v>48.79876097521894</v>
      </c>
      <c r="AH581">
        <f t="shared" si="474"/>
        <v>-573.97859109965702</v>
      </c>
      <c r="AJ581">
        <f t="shared" si="445"/>
        <v>18000</v>
      </c>
      <c r="AK581">
        <f t="shared" si="446"/>
        <v>255681.40808548802</v>
      </c>
      <c r="AL581">
        <v>1</v>
      </c>
      <c r="AM581">
        <f t="shared" si="447"/>
        <v>470.77846568121606</v>
      </c>
      <c r="AN581">
        <f t="shared" si="475"/>
        <v>543.18221302615245</v>
      </c>
      <c r="AO581">
        <f t="shared" si="476"/>
        <v>-37.080748291478976</v>
      </c>
      <c r="AQ581">
        <f t="shared" si="448"/>
        <v>7.4245107303112551E-4</v>
      </c>
      <c r="AR581">
        <f t="shared" si="449"/>
        <v>-2.724795438024231</v>
      </c>
      <c r="AT581">
        <f t="shared" si="470"/>
        <v>-1563.9380158594722</v>
      </c>
      <c r="AU581">
        <f t="shared" si="471"/>
        <v>-133.39279230737029</v>
      </c>
      <c r="AV581">
        <f t="shared" si="459"/>
        <v>-3.0565056977500715</v>
      </c>
      <c r="AW581">
        <f t="shared" si="460"/>
        <v>492.9064711759857</v>
      </c>
      <c r="AX581">
        <f t="shared" si="461"/>
        <v>-2184.787088910251</v>
      </c>
      <c r="AY581">
        <f t="shared" si="469"/>
        <v>-1.34890280999999</v>
      </c>
      <c r="BA581">
        <f t="shared" si="450"/>
        <v>0.70081580888870165</v>
      </c>
      <c r="BB581">
        <f t="shared" si="462"/>
        <v>-3.0879221997079114</v>
      </c>
      <c r="BC581">
        <f t="shared" si="463"/>
        <v>-1.7076028877500815</v>
      </c>
      <c r="BD581">
        <f t="shared" si="451"/>
        <v>-277.83843866422808</v>
      </c>
      <c r="BF581">
        <f t="shared" si="452"/>
        <v>-58.269872212612803</v>
      </c>
      <c r="BG581">
        <f t="shared" si="453"/>
        <v>-191.54398234861637</v>
      </c>
      <c r="BH581">
        <f t="shared" si="464"/>
        <v>-11.543982348616368</v>
      </c>
      <c r="BI581">
        <f t="shared" si="465"/>
        <v>-11.543982348616368</v>
      </c>
      <c r="BJ581">
        <f t="shared" si="454"/>
        <v>0</v>
      </c>
      <c r="BK581">
        <f t="shared" si="466"/>
        <v>0</v>
      </c>
      <c r="BM581">
        <f t="shared" si="467"/>
        <v>-55.181950012904892</v>
      </c>
      <c r="BN581">
        <f t="shared" si="455"/>
        <v>-93.705543684388331</v>
      </c>
      <c r="BQ581" s="56">
        <f t="shared" si="468"/>
        <v>13.814038600577225</v>
      </c>
    </row>
    <row r="582" spans="1:69" x14ac:dyDescent="0.25">
      <c r="A582">
        <f t="shared" si="472"/>
        <v>1840000</v>
      </c>
      <c r="B582">
        <f t="shared" si="456"/>
        <v>1840</v>
      </c>
      <c r="C582">
        <f t="shared" si="425"/>
        <v>15.293329470628723</v>
      </c>
      <c r="D582">
        <f t="shared" si="426"/>
        <v>1.5053616564328534</v>
      </c>
      <c r="F582">
        <f t="shared" si="427"/>
        <v>7.5704615431227077E-6</v>
      </c>
      <c r="G582">
        <f t="shared" si="428"/>
        <v>9.359659458173541E-4</v>
      </c>
      <c r="H582">
        <f t="shared" si="429"/>
        <v>-3.140656684054183</v>
      </c>
      <c r="J582">
        <f t="shared" si="430"/>
        <v>15</v>
      </c>
      <c r="M582">
        <f t="shared" si="431"/>
        <v>6.9142487433425598E-4</v>
      </c>
      <c r="N582">
        <f t="shared" si="432"/>
        <v>-1.5707963250000001</v>
      </c>
      <c r="O582">
        <f t="shared" si="433"/>
        <v>534.58439372731505</v>
      </c>
      <c r="P582">
        <f t="shared" si="434"/>
        <v>1.5689257136701349</v>
      </c>
      <c r="Q582">
        <f t="shared" si="435"/>
        <v>472.06229997548314</v>
      </c>
      <c r="R582">
        <f t="shared" si="436"/>
        <v>1.5686779607487946</v>
      </c>
      <c r="S582">
        <f t="shared" si="437"/>
        <v>7.0036406041502894E-2</v>
      </c>
      <c r="T582">
        <f t="shared" si="438"/>
        <v>-1.5007025380946664</v>
      </c>
      <c r="U582">
        <f t="shared" si="439"/>
        <v>8.6348125428132388E-2</v>
      </c>
      <c r="V582">
        <f t="shared" si="440"/>
        <v>-1.4843405378220469</v>
      </c>
      <c r="X582">
        <f t="shared" si="457"/>
        <v>-54.738939585821846</v>
      </c>
      <c r="Y582">
        <f t="shared" si="441"/>
        <v>-174.95442502433926</v>
      </c>
      <c r="Z582">
        <f t="shared" si="458"/>
        <v>5.0455749756607418</v>
      </c>
      <c r="AC582">
        <v>1</v>
      </c>
      <c r="AD582">
        <f t="shared" si="442"/>
        <v>534.58345842048004</v>
      </c>
      <c r="AE582">
        <f t="shared" si="443"/>
        <v>-0.92705279200951929</v>
      </c>
      <c r="AF582">
        <f t="shared" si="444"/>
        <v>8.0349373616400002E-2</v>
      </c>
      <c r="AG582">
        <f t="shared" si="473"/>
        <v>48.535885381947892</v>
      </c>
      <c r="AH582">
        <f t="shared" si="474"/>
        <v>-572.44165057934902</v>
      </c>
      <c r="AJ582">
        <f t="shared" si="445"/>
        <v>18000</v>
      </c>
      <c r="AK582">
        <f t="shared" si="446"/>
        <v>256378.087671552</v>
      </c>
      <c r="AL582">
        <v>1</v>
      </c>
      <c r="AM582">
        <f t="shared" si="447"/>
        <v>472.06124079206398</v>
      </c>
      <c r="AN582">
        <f t="shared" si="475"/>
        <v>543.18178554039162</v>
      </c>
      <c r="AO582">
        <f t="shared" si="476"/>
        <v>-36.979986294085684</v>
      </c>
      <c r="AQ582">
        <f t="shared" si="448"/>
        <v>7.3842149556788345E-4</v>
      </c>
      <c r="AR582">
        <f t="shared" si="449"/>
        <v>-2.7173911036898111</v>
      </c>
      <c r="AT582">
        <f t="shared" si="470"/>
        <v>-1555.5120087247619</v>
      </c>
      <c r="AU582">
        <f t="shared" si="471"/>
        <v>-132.31368636635972</v>
      </c>
      <c r="AV582">
        <f t="shared" si="459"/>
        <v>-3.056735738617959</v>
      </c>
      <c r="AW582">
        <f t="shared" si="460"/>
        <v>493.18094443334707</v>
      </c>
      <c r="AX582">
        <f t="shared" si="461"/>
        <v>-2178.8723618831227</v>
      </c>
      <c r="AY582">
        <f t="shared" si="469"/>
        <v>-1.3482002822955181</v>
      </c>
      <c r="BA582">
        <f t="shared" si="450"/>
        <v>0.69880756212411965</v>
      </c>
      <c r="BB582">
        <f t="shared" si="462"/>
        <v>-3.112848079191215</v>
      </c>
      <c r="BC582">
        <f t="shared" si="463"/>
        <v>-1.7085354563224409</v>
      </c>
      <c r="BD582">
        <f t="shared" si="451"/>
        <v>-277.89187090759185</v>
      </c>
      <c r="BF582">
        <f t="shared" si="452"/>
        <v>-58.318534848915284</v>
      </c>
      <c r="BG582">
        <f t="shared" si="453"/>
        <v>-191.58737435608612</v>
      </c>
      <c r="BH582">
        <f t="shared" si="464"/>
        <v>-11.587374356086116</v>
      </c>
      <c r="BI582">
        <f t="shared" si="465"/>
        <v>-11.587374356086116</v>
      </c>
      <c r="BJ582">
        <f t="shared" si="454"/>
        <v>0</v>
      </c>
      <c r="BK582">
        <f t="shared" si="466"/>
        <v>0</v>
      </c>
      <c r="BM582">
        <f t="shared" si="467"/>
        <v>-55.205686769724068</v>
      </c>
      <c r="BN582">
        <f t="shared" si="455"/>
        <v>-93.695503448494293</v>
      </c>
      <c r="BQ582" s="56">
        <f t="shared" si="468"/>
        <v>13.789112721093922</v>
      </c>
    </row>
    <row r="583" spans="1:69" x14ac:dyDescent="0.25">
      <c r="A583">
        <f t="shared" si="472"/>
        <v>1845000</v>
      </c>
      <c r="B583">
        <f t="shared" si="456"/>
        <v>1845</v>
      </c>
      <c r="C583">
        <f t="shared" si="425"/>
        <v>15.334709986143134</v>
      </c>
      <c r="D583">
        <f t="shared" si="426"/>
        <v>1.505538482461811</v>
      </c>
      <c r="F583">
        <f t="shared" si="427"/>
        <v>7.5294845380774062E-6</v>
      </c>
      <c r="G583">
        <f t="shared" si="428"/>
        <v>9.3342941574074245E-4</v>
      </c>
      <c r="H583">
        <f t="shared" si="429"/>
        <v>-3.1406592205842596</v>
      </c>
      <c r="J583">
        <f t="shared" si="430"/>
        <v>15</v>
      </c>
      <c r="M583">
        <f t="shared" si="431"/>
        <v>6.8955109418700872E-4</v>
      </c>
      <c r="N583">
        <f t="shared" si="432"/>
        <v>-1.5707963250000001</v>
      </c>
      <c r="O583">
        <f t="shared" si="433"/>
        <v>536.03706363397259</v>
      </c>
      <c r="P583">
        <f t="shared" si="434"/>
        <v>1.5689307830706192</v>
      </c>
      <c r="Q583">
        <f t="shared" si="435"/>
        <v>473.34507221592185</v>
      </c>
      <c r="R583">
        <f t="shared" si="436"/>
        <v>1.5686837015610831</v>
      </c>
      <c r="S583">
        <f t="shared" si="437"/>
        <v>6.9847532710864996E-2</v>
      </c>
      <c r="T583">
        <f t="shared" si="438"/>
        <v>-1.500891875100214</v>
      </c>
      <c r="U583">
        <f t="shared" si="439"/>
        <v>8.6115857381359753E-2</v>
      </c>
      <c r="V583">
        <f t="shared" si="440"/>
        <v>-1.484573674283014</v>
      </c>
      <c r="X583">
        <f t="shared" si="457"/>
        <v>-54.785891939643776</v>
      </c>
      <c r="Y583">
        <f t="shared" si="441"/>
        <v>-174.96802553867556</v>
      </c>
      <c r="Z583">
        <f t="shared" si="458"/>
        <v>5.0319744613244382</v>
      </c>
      <c r="AC583">
        <v>1</v>
      </c>
      <c r="AD583">
        <f t="shared" si="442"/>
        <v>536.03613086183998</v>
      </c>
      <c r="AE583">
        <f t="shared" si="443"/>
        <v>-0.93209796795847233</v>
      </c>
      <c r="AF583">
        <f t="shared" si="444"/>
        <v>8.0567714305574994E-2</v>
      </c>
      <c r="AG583">
        <f t="shared" si="473"/>
        <v>48.275122958831361</v>
      </c>
      <c r="AH583">
        <f t="shared" si="474"/>
        <v>-570.91285770396087</v>
      </c>
      <c r="AJ583">
        <f t="shared" si="445"/>
        <v>18000</v>
      </c>
      <c r="AK583">
        <f t="shared" si="446"/>
        <v>257074.76725761598</v>
      </c>
      <c r="AL583">
        <v>1</v>
      </c>
      <c r="AM583">
        <f t="shared" si="447"/>
        <v>473.34401590291196</v>
      </c>
      <c r="AN583">
        <f t="shared" si="475"/>
        <v>543.18136152539262</v>
      </c>
      <c r="AO583">
        <f t="shared" si="476"/>
        <v>-36.87977042484718</v>
      </c>
      <c r="AQ583">
        <f t="shared" si="448"/>
        <v>7.3442463448236759E-4</v>
      </c>
      <c r="AR583">
        <f t="shared" si="449"/>
        <v>-2.7100269012399365</v>
      </c>
      <c r="AT583">
        <f t="shared" si="470"/>
        <v>-1547.1537482019683</v>
      </c>
      <c r="AU583">
        <f t="shared" si="471"/>
        <v>-131.24617434593918</v>
      </c>
      <c r="AV583">
        <f t="shared" si="459"/>
        <v>-3.056964542098795</v>
      </c>
      <c r="AW583">
        <f t="shared" si="460"/>
        <v>493.4531674563861</v>
      </c>
      <c r="AX583">
        <f t="shared" si="461"/>
        <v>-2172.9895151719047</v>
      </c>
      <c r="AY583">
        <f t="shared" si="469"/>
        <v>-1.3474983083018608</v>
      </c>
      <c r="BA583">
        <f t="shared" si="450"/>
        <v>0.69680988427329282</v>
      </c>
      <c r="BB583">
        <f t="shared" si="462"/>
        <v>-3.1377139494767907</v>
      </c>
      <c r="BC583">
        <f t="shared" si="463"/>
        <v>-1.7094662337969342</v>
      </c>
      <c r="BD583">
        <f t="shared" si="451"/>
        <v>-277.94520052860707</v>
      </c>
      <c r="BF583">
        <f t="shared" si="452"/>
        <v>-58.367072514186056</v>
      </c>
      <c r="BG583">
        <f t="shared" si="453"/>
        <v>-191.63071792439061</v>
      </c>
      <c r="BH583">
        <f t="shared" si="464"/>
        <v>-11.630717924390609</v>
      </c>
      <c r="BI583">
        <f t="shared" si="465"/>
        <v>-11.630717924390609</v>
      </c>
      <c r="BJ583">
        <f t="shared" si="454"/>
        <v>0</v>
      </c>
      <c r="BK583">
        <f t="shared" si="466"/>
        <v>0</v>
      </c>
      <c r="BM583">
        <f t="shared" si="467"/>
        <v>-55.229358564709266</v>
      </c>
      <c r="BN583">
        <f t="shared" si="455"/>
        <v>-93.685517395783535</v>
      </c>
      <c r="BQ583" s="56">
        <f t="shared" si="468"/>
        <v>13.764246850808346</v>
      </c>
    </row>
    <row r="584" spans="1:69" x14ac:dyDescent="0.25">
      <c r="A584">
        <f t="shared" si="472"/>
        <v>1850000</v>
      </c>
      <c r="B584">
        <f t="shared" si="456"/>
        <v>1850</v>
      </c>
      <c r="C584">
        <f t="shared" si="425"/>
        <v>15.376090978553966</v>
      </c>
      <c r="D584">
        <f t="shared" si="426"/>
        <v>1.5057143567281281</v>
      </c>
      <c r="F584">
        <f t="shared" si="427"/>
        <v>7.4888393329799199E-6</v>
      </c>
      <c r="G584">
        <f t="shared" si="428"/>
        <v>9.3090659693629337E-4</v>
      </c>
      <c r="H584">
        <f t="shared" si="429"/>
        <v>-3.1406617434030637</v>
      </c>
      <c r="J584">
        <f t="shared" si="430"/>
        <v>15</v>
      </c>
      <c r="M584">
        <f t="shared" si="431"/>
        <v>6.8768744258109783E-4</v>
      </c>
      <c r="N584">
        <f t="shared" si="432"/>
        <v>-1.5707963250000001</v>
      </c>
      <c r="O584">
        <f t="shared" si="433"/>
        <v>537.48973355433122</v>
      </c>
      <c r="P584">
        <f t="shared" si="434"/>
        <v>1.568935825069034</v>
      </c>
      <c r="Q584">
        <f t="shared" si="435"/>
        <v>474.62784447187613</v>
      </c>
      <c r="R584">
        <f t="shared" si="436"/>
        <v>1.5686894113420919</v>
      </c>
      <c r="S584">
        <f t="shared" si="437"/>
        <v>6.9659672865924949E-2</v>
      </c>
      <c r="T584">
        <f t="shared" si="438"/>
        <v>-1.5010801936421336</v>
      </c>
      <c r="U584">
        <f t="shared" si="439"/>
        <v>8.5884830908699167E-2</v>
      </c>
      <c r="V584">
        <f t="shared" si="440"/>
        <v>-1.4848055598674152</v>
      </c>
      <c r="X584">
        <f t="shared" si="457"/>
        <v>-54.832718237425084</v>
      </c>
      <c r="Y584">
        <f t="shared" si="441"/>
        <v>-174.98155312376497</v>
      </c>
      <c r="Z584">
        <f t="shared" si="458"/>
        <v>5.0184468762350321</v>
      </c>
      <c r="AC584">
        <v>1</v>
      </c>
      <c r="AD584">
        <f t="shared" si="442"/>
        <v>537.48880330320003</v>
      </c>
      <c r="AE584">
        <f t="shared" si="443"/>
        <v>-0.93715683502261915</v>
      </c>
      <c r="AF584">
        <f t="shared" si="444"/>
        <v>8.0786054994750001E-2</v>
      </c>
      <c r="AG584">
        <f t="shared" si="473"/>
        <v>48.016451173202817</v>
      </c>
      <c r="AH584">
        <f t="shared" si="474"/>
        <v>-569.39214835389828</v>
      </c>
      <c r="AJ584">
        <f t="shared" si="445"/>
        <v>18000</v>
      </c>
      <c r="AK584">
        <f t="shared" si="446"/>
        <v>257771.44684367999</v>
      </c>
      <c r="AL584">
        <v>1</v>
      </c>
      <c r="AM584">
        <f t="shared" si="447"/>
        <v>474.62679101376</v>
      </c>
      <c r="AN584">
        <f t="shared" si="475"/>
        <v>543.18094094368485</v>
      </c>
      <c r="AO584">
        <f t="shared" si="476"/>
        <v>-36.7800962557763</v>
      </c>
      <c r="AQ584">
        <f t="shared" si="448"/>
        <v>7.3046013656244435E-4</v>
      </c>
      <c r="AR584">
        <f t="shared" si="449"/>
        <v>-2.7027025052810441</v>
      </c>
      <c r="AT584">
        <f t="shared" si="470"/>
        <v>-1538.8625117399554</v>
      </c>
      <c r="AU584">
        <f t="shared" si="471"/>
        <v>-130.19010114696437</v>
      </c>
      <c r="AV584">
        <f t="shared" si="459"/>
        <v>-3.057192118124485</v>
      </c>
      <c r="AW584">
        <f t="shared" si="460"/>
        <v>493.72316482905472</v>
      </c>
      <c r="AX584">
        <f t="shared" si="461"/>
        <v>-2167.1382921771619</v>
      </c>
      <c r="AY584">
        <f t="shared" si="469"/>
        <v>-1.3467968855145929</v>
      </c>
      <c r="BA584">
        <f t="shared" si="450"/>
        <v>0.69482269074577596</v>
      </c>
      <c r="BB584">
        <f t="shared" si="462"/>
        <v>-3.1625201457546535</v>
      </c>
      <c r="BC584">
        <f t="shared" si="463"/>
        <v>-1.7103952326098921</v>
      </c>
      <c r="BD584">
        <f t="shared" si="451"/>
        <v>-277.99842823982306</v>
      </c>
      <c r="BF584">
        <f t="shared" si="452"/>
        <v>-58.415485899635925</v>
      </c>
      <c r="BG584">
        <f t="shared" si="453"/>
        <v>-191.67401332928026</v>
      </c>
      <c r="BH584">
        <f t="shared" si="464"/>
        <v>-11.674013329280257</v>
      </c>
      <c r="BI584">
        <f t="shared" si="465"/>
        <v>-11.674013329280257</v>
      </c>
      <c r="BJ584">
        <f t="shared" si="454"/>
        <v>0</v>
      </c>
      <c r="BK584">
        <f t="shared" si="466"/>
        <v>0</v>
      </c>
      <c r="BM584">
        <f t="shared" si="467"/>
        <v>-55.252965753881263</v>
      </c>
      <c r="BN584">
        <f t="shared" si="455"/>
        <v>-93.675585089457215</v>
      </c>
      <c r="BQ584" s="56">
        <f t="shared" si="468"/>
        <v>13.739440654530483</v>
      </c>
    </row>
    <row r="585" spans="1:69" x14ac:dyDescent="0.25">
      <c r="A585">
        <f t="shared" si="472"/>
        <v>1855000</v>
      </c>
      <c r="B585">
        <f t="shared" si="456"/>
        <v>1855</v>
      </c>
      <c r="C585">
        <f t="shared" ref="C585:C626" si="477">SQRT((A585/Fesr)^2+1)</f>
        <v>15.417472444021209</v>
      </c>
      <c r="D585">
        <f t="shared" ref="D585:D614" si="478">ATAN(A585/Fesr)</f>
        <v>1.5058892868846532</v>
      </c>
      <c r="F585">
        <f t="shared" ref="F585:F626" si="479">(Ro/(Ro+Rdcr))/SQRT((A585/(Q*Fo))^2+(1-(A585^2/Fo^2))^2)</f>
        <v>7.4485223552557555E-6</v>
      </c>
      <c r="G585">
        <f t="shared" ref="G585:G614" si="480">-ATAN(A585*Fo/(Q*(Fo^2-A585^2)))</f>
        <v>9.2839737852797792E-4</v>
      </c>
      <c r="H585">
        <f t="shared" ref="H585:H648" si="481">IF(G585&gt;0,G585-Pi,G585)</f>
        <v>-3.1406642526214723</v>
      </c>
      <c r="J585">
        <f t="shared" ref="J585:J648" si="482">Vin/Vramp</f>
        <v>15</v>
      </c>
      <c r="M585">
        <f t="shared" ref="M585:M614" si="483">1/(2*Pi*_Rfb1*(Cc1ea_u+Cc2ea_u)*A585)</f>
        <v>6.8583383761457195E-4</v>
      </c>
      <c r="N585">
        <f t="shared" ref="N585:N648" si="484">-Pi/2</f>
        <v>-1.5707963250000001</v>
      </c>
      <c r="O585">
        <f t="shared" ref="O585:O614" si="485">SQRT(1+(A585/Fz1_u)^2)</f>
        <v>538.94240348828009</v>
      </c>
      <c r="P585">
        <f t="shared" ref="P585:P648" si="486">ATAN2(Fz1_u,A585)</f>
        <v>1.568940839886958</v>
      </c>
      <c r="Q585">
        <f t="shared" ref="Q585:Q614" si="487">SQRT(1+(A585/Fz2_u)^2)</f>
        <v>475.91061674322071</v>
      </c>
      <c r="R585">
        <f t="shared" ref="R585:R648" si="488">ATAN2(Fz2_u,A585)</f>
        <v>1.5686950903427463</v>
      </c>
      <c r="S585">
        <f t="shared" ref="S585:S614" si="489">1/SQRT(1+(A585/Fp1_u)^2)</f>
        <v>6.9472818390908617E-2</v>
      </c>
      <c r="T585">
        <f t="shared" ref="T585:T648" si="490">-ATAN2(Fp1_u,A585)</f>
        <v>-1.5012675019027668</v>
      </c>
      <c r="U585">
        <f t="shared" ref="U585:U626" si="491">1/SQRT(1+(A585/Fp2_u)^2)</f>
        <v>8.5655036118661737E-2</v>
      </c>
      <c r="V585">
        <f t="shared" ref="V585:V648" si="492">-ATAN2(Fp2_u,A585)</f>
        <v>-1.4850362045908072</v>
      </c>
      <c r="X585">
        <f t="shared" si="457"/>
        <v>-54.879419151535458</v>
      </c>
      <c r="Y585">
        <f t="shared" ref="Y585:Y614" si="493">(180/Pi)*(D585+H585+N585+P585+R585+T585+V585)</f>
        <v>-174.9950083630747</v>
      </c>
      <c r="Z585">
        <f t="shared" si="458"/>
        <v>5.0049916369252969</v>
      </c>
      <c r="AC585">
        <v>1</v>
      </c>
      <c r="AD585">
        <f t="shared" ref="AD585:AD626" si="494">Rcea1_u*Cc1ea_u*A585*2*Pi</f>
        <v>538.94147574456008</v>
      </c>
      <c r="AE585">
        <f t="shared" ref="AE585:AE626" si="495">-Rcea1_u*Cc1ea_u*Cc2ea_u*(A585*2*Pi)^2</f>
        <v>-0.94222939320196009</v>
      </c>
      <c r="AF585">
        <f t="shared" ref="AF585:AF626" si="496">(Cc2ea_u+Cc1ea_u)*A585*2*Pi</f>
        <v>8.1004395683925007E-2</v>
      </c>
      <c r="AG585">
        <f t="shared" si="473"/>
        <v>47.75984779117892</v>
      </c>
      <c r="AH585">
        <f t="shared" si="474"/>
        <v>-567.87945907519611</v>
      </c>
      <c r="AJ585">
        <f t="shared" ref="AJ585:AJ648" si="497">_Rfb1</f>
        <v>18000</v>
      </c>
      <c r="AK585">
        <f t="shared" ref="AK585:AK626" si="498">_Rfb1*Rcea2_u*Cc3ea_u*A585*2*Pi</f>
        <v>258468.12642974398</v>
      </c>
      <c r="AL585">
        <v>1</v>
      </c>
      <c r="AM585">
        <f t="shared" ref="AM585:AM626" si="499">(_Rfb1+Rcea2_u)*Cc3ea_u*A585*2*Pi</f>
        <v>475.90956612460798</v>
      </c>
      <c r="AN585">
        <f t="shared" si="475"/>
        <v>543.18052375830166</v>
      </c>
      <c r="AO585">
        <f t="shared" si="476"/>
        <v>-36.680959406625924</v>
      </c>
      <c r="AQ585">
        <f t="shared" ref="AQ585:AQ626" si="500">Eadcg/(1+(Eadcg*A585/GBP)^2)</f>
        <v>7.2652765334982653E-4</v>
      </c>
      <c r="AR585">
        <f t="shared" ref="AR585:AR626" si="501">-(A585*Eadcg*Eadcg/GBP)/(1+(Eadcg*A585/GBP)^2)</f>
        <v>-2.6954175939278562</v>
      </c>
      <c r="AT585">
        <f t="shared" si="470"/>
        <v>-1530.6375863713774</v>
      </c>
      <c r="AU585">
        <f t="shared" si="471"/>
        <v>-129.14531415044758</v>
      </c>
      <c r="AV585">
        <f t="shared" si="459"/>
        <v>-3.0574184765211943</v>
      </c>
      <c r="AW585">
        <f t="shared" si="460"/>
        <v>493.9909607998145</v>
      </c>
      <c r="AX585">
        <f t="shared" si="461"/>
        <v>-2161.3184390410624</v>
      </c>
      <c r="AY585">
        <f t="shared" si="469"/>
        <v>-1.3460960114612623</v>
      </c>
      <c r="BA585">
        <f t="shared" ref="BA585:BA648" si="502">SQRT(AT585^2+AU585^2)/SQRT(AW585^2+AX585^2)</f>
        <v>0.69284589785413753</v>
      </c>
      <c r="BB585">
        <f t="shared" si="462"/>
        <v>-3.1872670005148991</v>
      </c>
      <c r="BC585">
        <f t="shared" si="463"/>
        <v>-1.7113224650599319</v>
      </c>
      <c r="BD585">
        <f t="shared" ref="BD585:BD648" si="503">BC585*180/Pi-180</f>
        <v>-278.05155474589861</v>
      </c>
      <c r="BF585">
        <f t="shared" ref="BF585:BF648" si="504">20*LOG(BA585*J585*F585*C585)</f>
        <v>-58.463775690846006</v>
      </c>
      <c r="BG585">
        <f t="shared" ref="BG585:BG648" si="505">(180/Pi)*(D585+H585+BC585)</f>
        <v>-191.71726084329077</v>
      </c>
      <c r="BH585">
        <f t="shared" si="464"/>
        <v>-11.717260843290774</v>
      </c>
      <c r="BI585">
        <f t="shared" si="465"/>
        <v>-11.717260843290774</v>
      </c>
      <c r="BJ585">
        <f t="shared" ref="BJ585:BJ648" si="506">SUM((BF586&lt;0)*(BF585&gt;0))*A585</f>
        <v>0</v>
      </c>
      <c r="BK585">
        <f t="shared" si="466"/>
        <v>0</v>
      </c>
      <c r="BM585">
        <f t="shared" si="467"/>
        <v>-55.276508690331106</v>
      </c>
      <c r="BN585">
        <f t="shared" ref="BN585:BN648" si="507">(H585+D585)*180/Pi</f>
        <v>-93.665706097392174</v>
      </c>
      <c r="BQ585" s="56">
        <f t="shared" si="468"/>
        <v>13.714693799770236</v>
      </c>
    </row>
    <row r="586" spans="1:69" x14ac:dyDescent="0.25">
      <c r="A586">
        <f t="shared" si="472"/>
        <v>1860000</v>
      </c>
      <c r="B586">
        <f t="shared" ref="B586:B649" si="508">A586/1000</f>
        <v>1860</v>
      </c>
      <c r="C586">
        <f t="shared" si="477"/>
        <v>15.458854378745913</v>
      </c>
      <c r="D586">
        <f t="shared" si="478"/>
        <v>1.5060632805025225</v>
      </c>
      <c r="F586">
        <f t="shared" si="479"/>
        <v>7.4085300802849429E-6</v>
      </c>
      <c r="G586">
        <f t="shared" si="480"/>
        <v>9.2590165083202512E-4</v>
      </c>
      <c r="H586">
        <f t="shared" si="481"/>
        <v>-3.1406667483491684</v>
      </c>
      <c r="J586">
        <f t="shared" si="482"/>
        <v>15</v>
      </c>
      <c r="M586">
        <f t="shared" si="483"/>
        <v>6.8399019826614568E-4</v>
      </c>
      <c r="N586">
        <f t="shared" si="484"/>
        <v>-1.5707963250000001</v>
      </c>
      <c r="O586">
        <f t="shared" si="485"/>
        <v>540.39507343570972</v>
      </c>
      <c r="P586">
        <f t="shared" si="486"/>
        <v>1.5689458277435879</v>
      </c>
      <c r="Q586">
        <f t="shared" si="487"/>
        <v>477.19338902983134</v>
      </c>
      <c r="R586">
        <f t="shared" si="488"/>
        <v>1.5687007388112737</v>
      </c>
      <c r="S586">
        <f t="shared" si="489"/>
        <v>6.9286961256251334E-2</v>
      </c>
      <c r="T586">
        <f t="shared" si="490"/>
        <v>-1.5014538079771813</v>
      </c>
      <c r="U586">
        <f t="shared" si="491"/>
        <v>8.5426463224156757E-2</v>
      </c>
      <c r="V586">
        <f t="shared" si="492"/>
        <v>-1.4852656183623705</v>
      </c>
      <c r="X586">
        <f t="shared" ref="X586:X614" si="509">20*LOG(C586*J586*O586*Q586*F586*M586*S586*U586)</f>
        <v>-54.925995349000694</v>
      </c>
      <c r="Y586">
        <f t="shared" si="493"/>
        <v>-175.00839183388095</v>
      </c>
      <c r="Z586">
        <f t="shared" ref="Z586:Z649" si="510">Y586+180</f>
        <v>4.9916081661190503</v>
      </c>
      <c r="AC586">
        <v>1</v>
      </c>
      <c r="AD586">
        <f t="shared" si="494"/>
        <v>540.39414818592002</v>
      </c>
      <c r="AE586">
        <f t="shared" si="495"/>
        <v>-0.9473156424964948</v>
      </c>
      <c r="AF586">
        <f t="shared" si="496"/>
        <v>8.1222736373099999E-2</v>
      </c>
      <c r="AG586">
        <f t="shared" si="473"/>
        <v>47.505290872929976</v>
      </c>
      <c r="AH586">
        <f t="shared" si="474"/>
        <v>-566.37472707097822</v>
      </c>
      <c r="AJ586">
        <f t="shared" si="497"/>
        <v>18000</v>
      </c>
      <c r="AK586">
        <f t="shared" si="498"/>
        <v>259164.80601580796</v>
      </c>
      <c r="AL586">
        <v>1</v>
      </c>
      <c r="AM586">
        <f t="shared" si="499"/>
        <v>477.19234123545601</v>
      </c>
      <c r="AN586">
        <f t="shared" si="475"/>
        <v>543.18010993277278</v>
      </c>
      <c r="AO586">
        <f t="shared" si="476"/>
        <v>-36.582355544247292</v>
      </c>
      <c r="AQ586">
        <f t="shared" si="500"/>
        <v>7.2262684106350148E-4</v>
      </c>
      <c r="AR586">
        <f t="shared" si="501"/>
        <v>-2.6881718487562254</v>
      </c>
      <c r="AT586">
        <f t="shared" si="470"/>
        <v>-1522.4782685609166</v>
      </c>
      <c r="AU586">
        <f t="shared" si="471"/>
        <v>-128.11166317146791</v>
      </c>
      <c r="AV586">
        <f t="shared" ref="AV586:AV649" si="511">ATAN2(AT586,AU586)</f>
        <v>-3.0576436270107497</v>
      </c>
      <c r="AW586">
        <f t="shared" ref="AW586:AW649" si="512">AG586-AH586*AO586/_Rfb2+AG586*AN586/_Rfb2+AN586-AO586*AR586+AQ586*AN586</f>
        <v>494.25657928712741</v>
      </c>
      <c r="AX586">
        <f t="shared" ref="AX586:AX649" si="513">AH586+AH586*AN586/_Rfb2+AG586*AO586/_Rfb2+AO586+AO586*AQ586+AN586*AR586</f>
        <v>-2155.529704610924</v>
      </c>
      <c r="AY586">
        <f t="shared" si="469"/>
        <v>-1.345395683700924</v>
      </c>
      <c r="BA586">
        <f t="shared" si="502"/>
        <v>0.69087942280197234</v>
      </c>
      <c r="BB586">
        <f t="shared" ref="BB586:BB649" si="514">20*LOG(BA586)</f>
        <v>-3.2119548435761081</v>
      </c>
      <c r="BC586">
        <f t="shared" ref="BC586:BC649" si="515">AV586-AY586</f>
        <v>-1.7122479433098257</v>
      </c>
      <c r="BD586">
        <f t="shared" si="503"/>
        <v>-278.10458074370928</v>
      </c>
      <c r="BF586">
        <f t="shared" si="504"/>
        <v>-58.511942567828363</v>
      </c>
      <c r="BG586">
        <f t="shared" si="505"/>
        <v>-191.76046073578789</v>
      </c>
      <c r="BH586">
        <f t="shared" ref="BH586:BH649" si="516">IF(BG586&gt;180,BG586-180,BG586+180)</f>
        <v>-11.760460735787888</v>
      </c>
      <c r="BI586">
        <f t="shared" ref="BI586:BI649" si="517">IF(BH586&gt;180,BH586-360,BH586)</f>
        <v>-11.760460735787888</v>
      </c>
      <c r="BJ586">
        <f t="shared" si="506"/>
        <v>0</v>
      </c>
      <c r="BK586">
        <f t="shared" ref="BK586:BK649" si="518">IF(BJ586&gt;0,BI586,0)</f>
        <v>0</v>
      </c>
      <c r="BM586">
        <f t="shared" ref="BM586:BM649" si="519">20*LOG(J586*F586*C586)</f>
        <v>-55.299987724252262</v>
      </c>
      <c r="BN586">
        <f t="shared" si="507"/>
        <v>-93.65587999207861</v>
      </c>
      <c r="BQ586" s="56">
        <f t="shared" ref="BQ586:BQ649" si="520">20*LOG(BA586*7)</f>
        <v>13.690005956709028</v>
      </c>
    </row>
    <row r="587" spans="1:69" x14ac:dyDescent="0.25">
      <c r="A587">
        <f t="shared" si="472"/>
        <v>1865000</v>
      </c>
      <c r="B587">
        <f t="shared" si="508"/>
        <v>1865</v>
      </c>
      <c r="C587">
        <f t="shared" si="477"/>
        <v>15.500236778969667</v>
      </c>
      <c r="D587">
        <f t="shared" si="478"/>
        <v>1.5062363450722476</v>
      </c>
      <c r="F587">
        <f t="shared" si="479"/>
        <v>7.3688590306316669E-6</v>
      </c>
      <c r="G587">
        <f t="shared" si="480"/>
        <v>9.2341930534094033E-4</v>
      </c>
      <c r="H587">
        <f t="shared" si="481"/>
        <v>-3.1406692306946593</v>
      </c>
      <c r="J587">
        <f t="shared" si="482"/>
        <v>15</v>
      </c>
      <c r="M587">
        <f t="shared" si="483"/>
        <v>6.8215644438339473E-4</v>
      </c>
      <c r="N587">
        <f t="shared" si="484"/>
        <v>-1.5707963250000001</v>
      </c>
      <c r="O587">
        <f t="shared" si="485"/>
        <v>541.84774339651142</v>
      </c>
      <c r="P587">
        <f t="shared" si="486"/>
        <v>1.5689507888557697</v>
      </c>
      <c r="Q587">
        <f t="shared" si="487"/>
        <v>478.47616133158527</v>
      </c>
      <c r="R587">
        <f t="shared" si="488"/>
        <v>1.5687063569932391</v>
      </c>
      <c r="S587">
        <f t="shared" si="489"/>
        <v>6.9102093517459079E-2</v>
      </c>
      <c r="T587">
        <f t="shared" si="490"/>
        <v>-1.5016391198743297</v>
      </c>
      <c r="U587">
        <f t="shared" si="491"/>
        <v>8.519910254112309E-2</v>
      </c>
      <c r="V587">
        <f t="shared" si="492"/>
        <v>-1.4854938109863145</v>
      </c>
      <c r="X587">
        <f t="shared" si="509"/>
        <v>-54.972447491558903</v>
      </c>
      <c r="Y587">
        <f t="shared" si="493"/>
        <v>-175.02170410735093</v>
      </c>
      <c r="Z587">
        <f t="shared" si="510"/>
        <v>4.9782958926490721</v>
      </c>
      <c r="AC587">
        <v>1</v>
      </c>
      <c r="AD587">
        <f t="shared" si="494"/>
        <v>541.84682062728007</v>
      </c>
      <c r="AE587">
        <f t="shared" si="495"/>
        <v>-0.95241558290622319</v>
      </c>
      <c r="AF587">
        <f t="shared" si="496"/>
        <v>8.1441077062275005E-2</v>
      </c>
      <c r="AG587">
        <f t="shared" si="473"/>
        <v>47.252758768037069</v>
      </c>
      <c r="AH587">
        <f t="shared" si="474"/>
        <v>-564.87789019304591</v>
      </c>
      <c r="AJ587">
        <f t="shared" si="497"/>
        <v>18000</v>
      </c>
      <c r="AK587">
        <f t="shared" si="498"/>
        <v>259861.485601872</v>
      </c>
      <c r="AL587">
        <v>1</v>
      </c>
      <c r="AM587">
        <f t="shared" si="499"/>
        <v>478.47511634630405</v>
      </c>
      <c r="AN587">
        <f t="shared" si="475"/>
        <v>543.17969943111655</v>
      </c>
      <c r="AO587">
        <f t="shared" si="476"/>
        <v>-36.48428038195874</v>
      </c>
      <c r="AQ587">
        <f t="shared" si="500"/>
        <v>7.1875736052459508E-4</v>
      </c>
      <c r="AR587">
        <f t="shared" si="501"/>
        <v>-2.6809649547567398</v>
      </c>
      <c r="AT587">
        <f t="shared" si="470"/>
        <v>-1514.3838640563124</v>
      </c>
      <c r="AU587">
        <f t="shared" si="471"/>
        <v>-127.08900041405549</v>
      </c>
      <c r="AV587">
        <f t="shared" si="511"/>
        <v>-3.057867579212016</v>
      </c>
      <c r="AW587">
        <f t="shared" si="512"/>
        <v>494.52004388483942</v>
      </c>
      <c r="AX587">
        <f t="shared" si="513"/>
        <v>-2149.7718404033371</v>
      </c>
      <c r="AY587">
        <f t="shared" ref="AY587:AY650" si="521">ATAN2(AW587,AX587)</f>
        <v>-1.3446958998236833</v>
      </c>
      <c r="BA587">
        <f t="shared" si="502"/>
        <v>0.68892318367210481</v>
      </c>
      <c r="BB587">
        <f t="shared" si="514"/>
        <v>-3.2365840021133803</v>
      </c>
      <c r="BC587">
        <f t="shared" si="515"/>
        <v>-1.7131716793883327</v>
      </c>
      <c r="BD587">
        <f t="shared" si="503"/>
        <v>-278.15750692245217</v>
      </c>
      <c r="BF587">
        <f t="shared" si="504"/>
        <v>-58.559987205085719</v>
      </c>
      <c r="BG587">
        <f t="shared" si="505"/>
        <v>-191.80361327301105</v>
      </c>
      <c r="BH587">
        <f t="shared" si="516"/>
        <v>-11.803613273011052</v>
      </c>
      <c r="BI587">
        <f t="shared" si="517"/>
        <v>-11.803613273011052</v>
      </c>
      <c r="BJ587">
        <f t="shared" si="506"/>
        <v>0</v>
      </c>
      <c r="BK587">
        <f t="shared" si="518"/>
        <v>0</v>
      </c>
      <c r="BM587">
        <f t="shared" si="519"/>
        <v>-55.323403202972337</v>
      </c>
      <c r="BN587">
        <f t="shared" si="507"/>
        <v>-93.646106350558881</v>
      </c>
      <c r="BQ587" s="56">
        <f t="shared" si="520"/>
        <v>13.665376798171756</v>
      </c>
    </row>
    <row r="588" spans="1:69" x14ac:dyDescent="0.25">
      <c r="A588">
        <f t="shared" si="472"/>
        <v>1870000</v>
      </c>
      <c r="B588">
        <f t="shared" si="508"/>
        <v>1870</v>
      </c>
      <c r="C588">
        <f t="shared" si="477"/>
        <v>15.541619640974039</v>
      </c>
      <c r="D588">
        <f t="shared" si="478"/>
        <v>1.5064084880047839</v>
      </c>
      <c r="F588">
        <f t="shared" si="479"/>
        <v>7.3295057752883116E-6</v>
      </c>
      <c r="G588">
        <f t="shared" si="480"/>
        <v>9.2095023470777722E-4</v>
      </c>
      <c r="H588">
        <f t="shared" si="481"/>
        <v>-3.1406716997652926</v>
      </c>
      <c r="J588">
        <f t="shared" si="482"/>
        <v>15</v>
      </c>
      <c r="M588">
        <f t="shared" si="483"/>
        <v>6.8033249667113962E-4</v>
      </c>
      <c r="N588">
        <f t="shared" si="484"/>
        <v>-1.5707963250000001</v>
      </c>
      <c r="O588">
        <f t="shared" si="485"/>
        <v>543.30041337057821</v>
      </c>
      <c r="P588">
        <f t="shared" si="486"/>
        <v>1.5689557234380298</v>
      </c>
      <c r="Q588">
        <f t="shared" si="487"/>
        <v>479.75893364836105</v>
      </c>
      <c r="R588">
        <f t="shared" si="488"/>
        <v>1.5687119451315816</v>
      </c>
      <c r="S588">
        <f t="shared" si="489"/>
        <v>6.8918207313987609E-2</v>
      </c>
      <c r="T588">
        <f t="shared" si="490"/>
        <v>-1.5018234455181898</v>
      </c>
      <c r="U588">
        <f t="shared" si="491"/>
        <v>8.4972944487182289E-2</v>
      </c>
      <c r="V588">
        <f t="shared" si="492"/>
        <v>-1.4857207921632611</v>
      </c>
      <c r="X588">
        <f t="shared" si="509"/>
        <v>-55.018776235716075</v>
      </c>
      <c r="Y588">
        <f t="shared" si="493"/>
        <v>-175.03494574862296</v>
      </c>
      <c r="Z588">
        <f t="shared" si="510"/>
        <v>4.9650542513770404</v>
      </c>
      <c r="AC588">
        <v>1</v>
      </c>
      <c r="AD588">
        <f t="shared" si="494"/>
        <v>543.29949306864</v>
      </c>
      <c r="AE588">
        <f t="shared" si="495"/>
        <v>-0.95752921443114569</v>
      </c>
      <c r="AF588">
        <f t="shared" si="496"/>
        <v>8.1659417751449997E-2</v>
      </c>
      <c r="AG588">
        <f t="shared" si="473"/>
        <v>47.002230110934185</v>
      </c>
      <c r="AH588">
        <f t="shared" si="474"/>
        <v>-563.38888693359365</v>
      </c>
      <c r="AJ588">
        <f t="shared" si="497"/>
        <v>18000</v>
      </c>
      <c r="AK588">
        <f t="shared" si="498"/>
        <v>260558.16518793599</v>
      </c>
      <c r="AL588">
        <v>1</v>
      </c>
      <c r="AM588">
        <f t="shared" si="499"/>
        <v>479.75789145715203</v>
      </c>
      <c r="AN588">
        <f t="shared" si="475"/>
        <v>543.17929221783118</v>
      </c>
      <c r="AO588">
        <f t="shared" si="476"/>
        <v>-36.386729678924453</v>
      </c>
      <c r="AQ588">
        <f t="shared" si="500"/>
        <v>7.1491887708263909E-4</v>
      </c>
      <c r="AR588">
        <f t="shared" si="501"/>
        <v>-2.6737966002890703</v>
      </c>
      <c r="AT588">
        <f t="shared" si="470"/>
        <v>-1506.3536877421147</v>
      </c>
      <c r="AU588">
        <f t="shared" si="471"/>
        <v>-126.0771804270278</v>
      </c>
      <c r="AV588">
        <f t="shared" si="511"/>
        <v>-3.0580903426422519</v>
      </c>
      <c r="AW588">
        <f t="shared" si="512"/>
        <v>494.78137786746265</v>
      </c>
      <c r="AX588">
        <f t="shared" si="513"/>
        <v>-2144.0446005688555</v>
      </c>
      <c r="AY588">
        <f t="shared" si="521"/>
        <v>-1.3439966574502482</v>
      </c>
      <c r="BA588">
        <f t="shared" si="502"/>
        <v>0.68697709941497598</v>
      </c>
      <c r="BB588">
        <f t="shared" si="514"/>
        <v>-3.2611548006860271</v>
      </c>
      <c r="BC588">
        <f t="shared" si="515"/>
        <v>-1.7140936851920037</v>
      </c>
      <c r="BD588">
        <f t="shared" si="503"/>
        <v>-278.21033396374946</v>
      </c>
      <c r="BF588">
        <f t="shared" si="504"/>
        <v>-58.607910271670427</v>
      </c>
      <c r="BG588">
        <f t="shared" si="505"/>
        <v>-191.84671871811648</v>
      </c>
      <c r="BH588">
        <f t="shared" si="516"/>
        <v>-11.846718718116477</v>
      </c>
      <c r="BI588">
        <f t="shared" si="517"/>
        <v>-11.846718718116477</v>
      </c>
      <c r="BJ588">
        <f t="shared" si="506"/>
        <v>0</v>
      </c>
      <c r="BK588">
        <f t="shared" si="518"/>
        <v>0</v>
      </c>
      <c r="BM588">
        <f t="shared" si="519"/>
        <v>-55.346755470984405</v>
      </c>
      <c r="BN588">
        <f t="shared" si="507"/>
        <v>-93.636384754367029</v>
      </c>
      <c r="BQ588" s="56">
        <f t="shared" si="520"/>
        <v>13.640805999599108</v>
      </c>
    </row>
    <row r="589" spans="1:69" x14ac:dyDescent="0.25">
      <c r="A589">
        <f t="shared" si="472"/>
        <v>1875000</v>
      </c>
      <c r="B589">
        <f t="shared" si="508"/>
        <v>1875</v>
      </c>
      <c r="C589">
        <f t="shared" si="477"/>
        <v>15.58300296108006</v>
      </c>
      <c r="D589">
        <f t="shared" si="478"/>
        <v>1.5065797166325821</v>
      </c>
      <c r="F589">
        <f t="shared" si="479"/>
        <v>7.2904669289335838E-6</v>
      </c>
      <c r="G589">
        <f t="shared" si="480"/>
        <v>9.1849433273066491E-4</v>
      </c>
      <c r="H589">
        <f t="shared" si="481"/>
        <v>-3.1406741556672695</v>
      </c>
      <c r="J589">
        <f t="shared" si="482"/>
        <v>15</v>
      </c>
      <c r="M589">
        <f t="shared" si="483"/>
        <v>6.7851827668001649E-4</v>
      </c>
      <c r="N589">
        <f t="shared" si="484"/>
        <v>-1.5707963250000001</v>
      </c>
      <c r="O589">
        <f t="shared" si="485"/>
        <v>544.7530833578038</v>
      </c>
      <c r="P589">
        <f t="shared" si="486"/>
        <v>1.5689606317026068</v>
      </c>
      <c r="Q589">
        <f t="shared" si="487"/>
        <v>481.0417059800385</v>
      </c>
      <c r="R589">
        <f t="shared" si="488"/>
        <v>1.5687175034666487</v>
      </c>
      <c r="S589">
        <f t="shared" si="489"/>
        <v>6.8735294868139188E-2</v>
      </c>
      <c r="T589">
        <f t="shared" si="490"/>
        <v>-1.5020067927488856</v>
      </c>
      <c r="U589">
        <f t="shared" si="491"/>
        <v>8.4747979580312577E-2</v>
      </c>
      <c r="V589">
        <f t="shared" si="492"/>
        <v>-1.4859465714916051</v>
      </c>
      <c r="X589">
        <f t="shared" si="509"/>
        <v>-55.064982232800844</v>
      </c>
      <c r="Y589">
        <f t="shared" si="493"/>
        <v>-175.04811731688577</v>
      </c>
      <c r="Z589">
        <f t="shared" si="510"/>
        <v>4.9518826831142349</v>
      </c>
      <c r="AC589">
        <v>1</v>
      </c>
      <c r="AD589">
        <f t="shared" si="494"/>
        <v>544.75216551000005</v>
      </c>
      <c r="AE589">
        <f t="shared" si="495"/>
        <v>-0.9626565370712622</v>
      </c>
      <c r="AF589">
        <f t="shared" si="496"/>
        <v>8.1877758440625004E-2</v>
      </c>
      <c r="AG589">
        <f t="shared" si="473"/>
        <v>46.753683816434105</v>
      </c>
      <c r="AH589">
        <f t="shared" si="474"/>
        <v>-561.90765641705286</v>
      </c>
      <c r="AJ589">
        <f t="shared" si="497"/>
        <v>18000</v>
      </c>
      <c r="AK589">
        <f t="shared" si="498"/>
        <v>261254.84477399997</v>
      </c>
      <c r="AL589">
        <v>1</v>
      </c>
      <c r="AM589">
        <f t="shared" si="499"/>
        <v>481.04066656800006</v>
      </c>
      <c r="AN589">
        <f t="shared" si="475"/>
        <v>543.17888825788771</v>
      </c>
      <c r="AO589">
        <f t="shared" si="476"/>
        <v>-36.289699239543218</v>
      </c>
      <c r="AQ589">
        <f t="shared" si="500"/>
        <v>7.1111106054321351E-4</v>
      </c>
      <c r="AR589">
        <f t="shared" si="501"/>
        <v>-2.6666664770370505</v>
      </c>
      <c r="AT589">
        <f t="shared" si="470"/>
        <v>-1498.3870634961249</v>
      </c>
      <c r="AU589">
        <f t="shared" si="471"/>
        <v>-125.07606006075659</v>
      </c>
      <c r="AV589">
        <f t="shared" si="511"/>
        <v>-3.0583119267184458</v>
      </c>
      <c r="AW589">
        <f t="shared" si="512"/>
        <v>495.04060419535762</v>
      </c>
      <c r="AX589">
        <f t="shared" si="513"/>
        <v>-2138.3477418572465</v>
      </c>
      <c r="AY589">
        <f t="shared" si="521"/>
        <v>-1.3432979542314865</v>
      </c>
      <c r="BA589">
        <f t="shared" si="502"/>
        <v>0.68504108983722023</v>
      </c>
      <c r="BB589">
        <f t="shared" si="514"/>
        <v>-3.2856675612648272</v>
      </c>
      <c r="BC589">
        <f t="shared" si="515"/>
        <v>-1.7150139724869593</v>
      </c>
      <c r="BD589">
        <f t="shared" si="503"/>
        <v>-278.26306254175017</v>
      </c>
      <c r="BF589">
        <f t="shared" si="504"/>
        <v>-58.655712431242662</v>
      </c>
      <c r="BG589">
        <f t="shared" si="505"/>
        <v>-191.88977733121968</v>
      </c>
      <c r="BH589">
        <f t="shared" si="516"/>
        <v>-11.889777331219676</v>
      </c>
      <c r="BI589">
        <f t="shared" si="517"/>
        <v>-11.889777331219676</v>
      </c>
      <c r="BJ589">
        <f t="shared" si="506"/>
        <v>0</v>
      </c>
      <c r="BK589">
        <f t="shared" si="518"/>
        <v>0</v>
      </c>
      <c r="BM589">
        <f t="shared" si="519"/>
        <v>-55.370044869977832</v>
      </c>
      <c r="BN589">
        <f t="shared" si="507"/>
        <v>-93.626714789469517</v>
      </c>
      <c r="BQ589" s="56">
        <f t="shared" si="520"/>
        <v>13.61629323902031</v>
      </c>
    </row>
    <row r="590" spans="1:69" x14ac:dyDescent="0.25">
      <c r="A590">
        <f t="shared" si="472"/>
        <v>1880000</v>
      </c>
      <c r="B590">
        <f t="shared" si="508"/>
        <v>1880</v>
      </c>
      <c r="C590">
        <f t="shared" si="477"/>
        <v>15.624386735647695</v>
      </c>
      <c r="D590">
        <f t="shared" si="478"/>
        <v>1.5067500382106236</v>
      </c>
      <c r="F590">
        <f t="shared" si="479"/>
        <v>7.2517391512044397E-6</v>
      </c>
      <c r="G590">
        <f t="shared" si="480"/>
        <v>9.160514943375792E-4</v>
      </c>
      <c r="H590">
        <f t="shared" si="481"/>
        <v>-3.1406765985056628</v>
      </c>
      <c r="J590">
        <f t="shared" si="482"/>
        <v>15</v>
      </c>
      <c r="M590">
        <f t="shared" si="483"/>
        <v>6.7671370679522934E-4</v>
      </c>
      <c r="N590">
        <f t="shared" si="484"/>
        <v>-1.5707963250000001</v>
      </c>
      <c r="O590">
        <f t="shared" si="485"/>
        <v>546.20575335808337</v>
      </c>
      <c r="P590">
        <f t="shared" si="486"/>
        <v>1.5689655138594814</v>
      </c>
      <c r="Q590">
        <f t="shared" si="487"/>
        <v>482.32447832649871</v>
      </c>
      <c r="R590">
        <f t="shared" si="488"/>
        <v>1.5687230322362313</v>
      </c>
      <c r="S590">
        <f t="shared" si="489"/>
        <v>6.8553348483976706E-2</v>
      </c>
      <c r="T590">
        <f t="shared" si="490"/>
        <v>-1.5021891693237934</v>
      </c>
      <c r="U590">
        <f t="shared" si="491"/>
        <v>8.452419843754333E-2</v>
      </c>
      <c r="V590">
        <f t="shared" si="492"/>
        <v>-1.4861711584688542</v>
      </c>
      <c r="X590">
        <f t="shared" si="509"/>
        <v>-55.111066129018617</v>
      </c>
      <c r="Y590">
        <f t="shared" si="493"/>
        <v>-175.06121936545634</v>
      </c>
      <c r="Z590">
        <f t="shared" si="510"/>
        <v>4.9387806345436616</v>
      </c>
      <c r="AC590">
        <v>1</v>
      </c>
      <c r="AD590">
        <f t="shared" si="494"/>
        <v>546.20483795135999</v>
      </c>
      <c r="AE590">
        <f t="shared" si="495"/>
        <v>-0.96779755082657248</v>
      </c>
      <c r="AF590">
        <f t="shared" si="496"/>
        <v>8.2096099129799996E-2</v>
      </c>
      <c r="AG590">
        <f t="shared" si="473"/>
        <v>46.50709907533529</v>
      </c>
      <c r="AH590">
        <f t="shared" si="474"/>
        <v>-560.4341383920555</v>
      </c>
      <c r="AJ590">
        <f t="shared" si="497"/>
        <v>18000</v>
      </c>
      <c r="AK590">
        <f t="shared" si="498"/>
        <v>261951.52436006401</v>
      </c>
      <c r="AL590">
        <v>1</v>
      </c>
      <c r="AM590">
        <f t="shared" si="499"/>
        <v>482.32344167884798</v>
      </c>
      <c r="AN590">
        <f t="shared" si="475"/>
        <v>543.17848751672273</v>
      </c>
      <c r="AO590">
        <f t="shared" si="476"/>
        <v>-36.19318491284691</v>
      </c>
      <c r="AQ590">
        <f t="shared" si="500"/>
        <v>7.073335850969341E-4</v>
      </c>
      <c r="AR590">
        <f t="shared" si="501"/>
        <v>-2.6595742799644722</v>
      </c>
      <c r="AT590">
        <f t="shared" si="470"/>
        <v>-1490.4833240484388</v>
      </c>
      <c r="AU590">
        <f t="shared" si="471"/>
        <v>-124.08549842484078</v>
      </c>
      <c r="AV590">
        <f t="shared" si="511"/>
        <v>-3.058532340758628</v>
      </c>
      <c r="AW590">
        <f t="shared" si="512"/>
        <v>495.29774551981745</v>
      </c>
      <c r="AX590">
        <f t="shared" si="513"/>
        <v>-2132.6810235832918</v>
      </c>
      <c r="AY590">
        <f t="shared" si="521"/>
        <v>-1.3425997878479923</v>
      </c>
      <c r="BA590">
        <f t="shared" si="502"/>
        <v>0.68311507559041285</v>
      </c>
      <c r="BB590">
        <f t="shared" si="514"/>
        <v>-3.3101226032590416</v>
      </c>
      <c r="BC590">
        <f t="shared" si="515"/>
        <v>-1.7159325529106357</v>
      </c>
      <c r="BD590">
        <f t="shared" si="503"/>
        <v>-278.31569332323033</v>
      </c>
      <c r="BF590">
        <f t="shared" si="504"/>
        <v>-58.703394342127815</v>
      </c>
      <c r="BG590">
        <f t="shared" si="505"/>
        <v>-191.93278936943699</v>
      </c>
      <c r="BH590">
        <f t="shared" si="516"/>
        <v>-11.932789369436989</v>
      </c>
      <c r="BI590">
        <f t="shared" si="517"/>
        <v>-11.932789369436989</v>
      </c>
      <c r="BJ590">
        <f t="shared" si="506"/>
        <v>0</v>
      </c>
      <c r="BK590">
        <f t="shared" si="518"/>
        <v>0</v>
      </c>
      <c r="BM590">
        <f t="shared" si="519"/>
        <v>-55.393271738868776</v>
      </c>
      <c r="BN590">
        <f t="shared" si="507"/>
        <v>-93.617096046206711</v>
      </c>
      <c r="BQ590" s="56">
        <f t="shared" si="520"/>
        <v>13.591838197026096</v>
      </c>
    </row>
    <row r="591" spans="1:69" x14ac:dyDescent="0.25">
      <c r="A591">
        <f t="shared" si="472"/>
        <v>1885000</v>
      </c>
      <c r="B591">
        <f t="shared" si="508"/>
        <v>1885</v>
      </c>
      <c r="C591">
        <f t="shared" si="477"/>
        <v>15.665770961075335</v>
      </c>
      <c r="D591">
        <f t="shared" si="478"/>
        <v>1.50691945991744</v>
      </c>
      <c r="F591">
        <f t="shared" si="479"/>
        <v>7.2133191459815006E-6</v>
      </c>
      <c r="G591">
        <f t="shared" si="480"/>
        <v>9.1362161557135776E-4</v>
      </c>
      <c r="H591">
        <f t="shared" si="481"/>
        <v>-3.140679028384429</v>
      </c>
      <c r="J591">
        <f t="shared" si="482"/>
        <v>15</v>
      </c>
      <c r="M591">
        <f t="shared" si="483"/>
        <v>6.7491871022548069E-4</v>
      </c>
      <c r="N591">
        <f t="shared" si="484"/>
        <v>-1.5707963250000001</v>
      </c>
      <c r="O591">
        <f t="shared" si="485"/>
        <v>547.65842337131278</v>
      </c>
      <c r="P591">
        <f t="shared" si="486"/>
        <v>1.5689703701164059</v>
      </c>
      <c r="Q591">
        <f t="shared" si="487"/>
        <v>483.60725068762412</v>
      </c>
      <c r="R591">
        <f t="shared" si="488"/>
        <v>1.568728531675597</v>
      </c>
      <c r="S591">
        <f t="shared" si="489"/>
        <v>6.8372360546254701E-2</v>
      </c>
      <c r="T591">
        <f t="shared" si="490"/>
        <v>-1.5023705829186285</v>
      </c>
      <c r="U591">
        <f t="shared" si="491"/>
        <v>8.4301591773670026E-2</v>
      </c>
      <c r="V591">
        <f t="shared" si="492"/>
        <v>-1.486394562492948</v>
      </c>
      <c r="X591">
        <f t="shared" si="509"/>
        <v>-55.157028565504874</v>
      </c>
      <c r="Y591">
        <f t="shared" si="493"/>
        <v>-175.0742524418566</v>
      </c>
      <c r="Z591">
        <f t="shared" si="510"/>
        <v>4.9257475581433994</v>
      </c>
      <c r="AC591">
        <v>1</v>
      </c>
      <c r="AD591">
        <f t="shared" si="494"/>
        <v>547.65751039271993</v>
      </c>
      <c r="AE591">
        <f t="shared" si="495"/>
        <v>-0.97295225569707688</v>
      </c>
      <c r="AF591">
        <f t="shared" si="496"/>
        <v>8.2314439818975002E-2</v>
      </c>
      <c r="AG591">
        <f t="shared" si="473"/>
        <v>46.262455350109093</v>
      </c>
      <c r="AH591">
        <f t="shared" si="474"/>
        <v>-558.96827322352158</v>
      </c>
      <c r="AJ591">
        <f t="shared" si="497"/>
        <v>18000</v>
      </c>
      <c r="AK591">
        <f t="shared" si="498"/>
        <v>262648.20394612796</v>
      </c>
      <c r="AL591">
        <v>1</v>
      </c>
      <c r="AM591">
        <f t="shared" si="499"/>
        <v>483.60621678969596</v>
      </c>
      <c r="AN591">
        <f t="shared" si="475"/>
        <v>543.17808996022984</v>
      </c>
      <c r="AO591">
        <f t="shared" si="476"/>
        <v>-36.097182591908556</v>
      </c>
      <c r="AQ591">
        <f t="shared" si="500"/>
        <v>7.0358612924975692E-4</v>
      </c>
      <c r="AR591">
        <f t="shared" si="501"/>
        <v>-2.6525197072715838</v>
      </c>
      <c r="AT591">
        <f t="shared" si="470"/>
        <v>-1482.6418108430689</v>
      </c>
      <c r="AU591">
        <f t="shared" si="471"/>
        <v>-123.10535684666685</v>
      </c>
      <c r="AV591">
        <f t="shared" si="511"/>
        <v>-3.0587515939831662</v>
      </c>
      <c r="AW591">
        <f t="shared" si="512"/>
        <v>495.55282418805484</v>
      </c>
      <c r="AX591">
        <f t="shared" si="513"/>
        <v>-2127.0442075931178</v>
      </c>
      <c r="AY591">
        <f t="shared" si="521"/>
        <v>-1.34190215600966</v>
      </c>
      <c r="BA591">
        <f t="shared" si="502"/>
        <v>0.68119897816000219</v>
      </c>
      <c r="BB591">
        <f t="shared" si="514"/>
        <v>-3.3345202435429675</v>
      </c>
      <c r="BC591">
        <f t="shared" si="515"/>
        <v>-1.7168494379735062</v>
      </c>
      <c r="BD591">
        <f t="shared" si="503"/>
        <v>-278.36822696769138</v>
      </c>
      <c r="BF591">
        <f t="shared" si="504"/>
        <v>-58.750956657373116</v>
      </c>
      <c r="BG591">
        <f t="shared" si="505"/>
        <v>-191.97575508692671</v>
      </c>
      <c r="BH591">
        <f t="shared" si="516"/>
        <v>-11.975755086926711</v>
      </c>
      <c r="BI591">
        <f t="shared" si="517"/>
        <v>-11.975755086926711</v>
      </c>
      <c r="BJ591">
        <f t="shared" si="506"/>
        <v>0</v>
      </c>
      <c r="BK591">
        <f t="shared" si="518"/>
        <v>0</v>
      </c>
      <c r="BM591">
        <f t="shared" si="519"/>
        <v>-55.416436413830148</v>
      </c>
      <c r="BN591">
        <f t="shared" si="507"/>
        <v>-93.607528119235326</v>
      </c>
      <c r="BQ591" s="56">
        <f t="shared" si="520"/>
        <v>13.56744055674217</v>
      </c>
    </row>
    <row r="592" spans="1:69" x14ac:dyDescent="0.25">
      <c r="A592">
        <f>A591+5000</f>
        <v>1890000</v>
      </c>
      <c r="B592">
        <f t="shared" si="508"/>
        <v>1890</v>
      </c>
      <c r="C592">
        <f t="shared" si="477"/>
        <v>15.707155633799287</v>
      </c>
      <c r="D592">
        <f t="shared" si="478"/>
        <v>1.5070879888561159</v>
      </c>
      <c r="F592">
        <f t="shared" si="479"/>
        <v>7.175203660687704E-6</v>
      </c>
      <c r="G592">
        <f t="shared" si="480"/>
        <v>9.112045935749522E-4</v>
      </c>
      <c r="H592">
        <f t="shared" si="481"/>
        <v>-3.1406814454064254</v>
      </c>
      <c r="J592">
        <f t="shared" si="482"/>
        <v>15</v>
      </c>
      <c r="M592">
        <f t="shared" si="483"/>
        <v>6.7313321099207995E-4</v>
      </c>
      <c r="N592">
        <f t="shared" si="484"/>
        <v>-1.5707963250000001</v>
      </c>
      <c r="O592">
        <f t="shared" si="485"/>
        <v>549.1110933973896</v>
      </c>
      <c r="P592">
        <f t="shared" si="486"/>
        <v>1.5689752006789348</v>
      </c>
      <c r="Q592">
        <f t="shared" si="487"/>
        <v>484.8900230632982</v>
      </c>
      <c r="R592">
        <f t="shared" si="488"/>
        <v>1.568734002017524</v>
      </c>
      <c r="S592">
        <f t="shared" si="489"/>
        <v>6.8192323519367076E-2</v>
      </c>
      <c r="T592">
        <f t="shared" si="490"/>
        <v>-1.5025510411285141</v>
      </c>
      <c r="U592">
        <f t="shared" si="491"/>
        <v>8.4080150399988868E-2</v>
      </c>
      <c r="V592">
        <f t="shared" si="492"/>
        <v>-1.4866167928635561</v>
      </c>
      <c r="X592">
        <f t="shared" si="509"/>
        <v>-55.202870178377964</v>
      </c>
      <c r="Y592">
        <f t="shared" si="493"/>
        <v>-175.08721708788877</v>
      </c>
      <c r="Z592">
        <f t="shared" si="510"/>
        <v>4.9127829121112256</v>
      </c>
      <c r="AC592">
        <v>1</v>
      </c>
      <c r="AD592">
        <f t="shared" si="494"/>
        <v>549.11018283407998</v>
      </c>
      <c r="AE592">
        <f t="shared" si="495"/>
        <v>-0.97812065168277496</v>
      </c>
      <c r="AF592">
        <f t="shared" si="496"/>
        <v>8.2532780508150008E-2</v>
      </c>
      <c r="AG592">
        <f t="shared" si="473"/>
        <v>46.019732370665025</v>
      </c>
      <c r="AH592">
        <f t="shared" si="474"/>
        <v>-557.51000188486375</v>
      </c>
      <c r="AJ592">
        <f t="shared" si="497"/>
        <v>18000</v>
      </c>
      <c r="AK592">
        <f t="shared" si="498"/>
        <v>263344.88353219203</v>
      </c>
      <c r="AL592">
        <v>1</v>
      </c>
      <c r="AM592">
        <f t="shared" si="499"/>
        <v>484.888991900544</v>
      </c>
      <c r="AN592">
        <f t="shared" si="475"/>
        <v>543.177695554754</v>
      </c>
      <c r="AO592">
        <f t="shared" si="476"/>
        <v>-36.001688213259811</v>
      </c>
      <c r="AQ592">
        <f t="shared" si="500"/>
        <v>6.9986837575457185E-4</v>
      </c>
      <c r="AR592">
        <f t="shared" si="501"/>
        <v>-2.6455024603522816</v>
      </c>
      <c r="AT592">
        <f t="shared" si="470"/>
        <v>-1474.8618739020653</v>
      </c>
      <c r="AU592">
        <f t="shared" si="471"/>
        <v>-122.13549883083395</v>
      </c>
      <c r="AV592">
        <f t="shared" si="511"/>
        <v>-3.0589696955160357</v>
      </c>
      <c r="AW592">
        <f t="shared" si="512"/>
        <v>495.80586224809821</v>
      </c>
      <c r="AX592">
        <f t="shared" si="513"/>
        <v>-2121.4370582310648</v>
      </c>
      <c r="AY592">
        <f t="shared" si="521"/>
        <v>-1.341205056455264</v>
      </c>
      <c r="BA592">
        <f t="shared" si="502"/>
        <v>0.67929271985440698</v>
      </c>
      <c r="BB592">
        <f t="shared" si="514"/>
        <v>-3.3588607964822641</v>
      </c>
      <c r="BC592">
        <f t="shared" si="515"/>
        <v>-1.7177646390607717</v>
      </c>
      <c r="BD592">
        <f t="shared" si="503"/>
        <v>-278.42066412745743</v>
      </c>
      <c r="BF592">
        <f t="shared" si="504"/>
        <v>-58.798400024803556</v>
      </c>
      <c r="BG592">
        <f t="shared" si="505"/>
        <v>-192.01867473492928</v>
      </c>
      <c r="BH592">
        <f t="shared" si="516"/>
        <v>-12.018674734929277</v>
      </c>
      <c r="BI592">
        <f t="shared" si="517"/>
        <v>-12.018674734929277</v>
      </c>
      <c r="BJ592">
        <f t="shared" si="506"/>
        <v>0</v>
      </c>
      <c r="BK592">
        <f t="shared" si="518"/>
        <v>0</v>
      </c>
      <c r="BM592">
        <f t="shared" si="519"/>
        <v>-55.439539228321294</v>
      </c>
      <c r="BN592">
        <f t="shared" si="507"/>
        <v>-93.598010607471878</v>
      </c>
      <c r="BQ592" s="56">
        <f t="shared" si="520"/>
        <v>13.543100003802873</v>
      </c>
    </row>
    <row r="593" spans="1:69" x14ac:dyDescent="0.25">
      <c r="A593">
        <f t="shared" ref="A593:A598" si="522">A592+5000</f>
        <v>1895000</v>
      </c>
      <c r="B593">
        <f t="shared" si="508"/>
        <v>1895</v>
      </c>
      <c r="C593">
        <f t="shared" si="477"/>
        <v>15.748540750293275</v>
      </c>
      <c r="D593">
        <f t="shared" si="478"/>
        <v>1.5072556320552757</v>
      </c>
      <c r="F593">
        <f t="shared" si="479"/>
        <v>7.1373894855998674E-6</v>
      </c>
      <c r="G593">
        <f t="shared" si="480"/>
        <v>9.0880032657691436E-4</v>
      </c>
      <c r="H593">
        <f t="shared" si="481"/>
        <v>-3.1406838496734233</v>
      </c>
      <c r="J593">
        <f t="shared" si="482"/>
        <v>15</v>
      </c>
      <c r="M593">
        <f t="shared" si="483"/>
        <v>6.7135713391822214E-4</v>
      </c>
      <c r="N593">
        <f t="shared" si="484"/>
        <v>-1.5707963250000001</v>
      </c>
      <c r="O593">
        <f t="shared" si="485"/>
        <v>550.56376343621173</v>
      </c>
      <c r="P593">
        <f t="shared" si="486"/>
        <v>1.568980005750453</v>
      </c>
      <c r="Q593">
        <f t="shared" si="487"/>
        <v>486.17279545340597</v>
      </c>
      <c r="R593">
        <f t="shared" si="488"/>
        <v>1.5687394434923336</v>
      </c>
      <c r="S593">
        <f t="shared" si="489"/>
        <v>6.8013229946311343E-2</v>
      </c>
      <c r="T593">
        <f t="shared" si="490"/>
        <v>-1.5027305514690361</v>
      </c>
      <c r="U593">
        <f t="shared" si="491"/>
        <v>8.3859865223051097E-2</v>
      </c>
      <c r="V593">
        <f t="shared" si="492"/>
        <v>-1.4868378587833562</v>
      </c>
      <c r="X593">
        <f t="shared" si="509"/>
        <v>-55.248591598791052</v>
      </c>
      <c r="Y593">
        <f t="shared" si="493"/>
        <v>-175.10011383970979</v>
      </c>
      <c r="Z593">
        <f t="shared" si="510"/>
        <v>4.8998861602902082</v>
      </c>
      <c r="AC593">
        <v>1</v>
      </c>
      <c r="AD593">
        <f t="shared" si="494"/>
        <v>550.56285527544003</v>
      </c>
      <c r="AE593">
        <f t="shared" si="495"/>
        <v>-0.98330273878366714</v>
      </c>
      <c r="AF593">
        <f t="shared" si="496"/>
        <v>8.2751121197325E-2</v>
      </c>
      <c r="AG593">
        <f t="shared" si="473"/>
        <v>45.7789101301925</v>
      </c>
      <c r="AH593">
        <f t="shared" si="474"/>
        <v>-556.05926595030974</v>
      </c>
      <c r="AJ593">
        <f t="shared" si="497"/>
        <v>18000</v>
      </c>
      <c r="AK593">
        <f t="shared" si="498"/>
        <v>264041.56311825599</v>
      </c>
      <c r="AL593">
        <v>1</v>
      </c>
      <c r="AM593">
        <f t="shared" si="499"/>
        <v>486.17176701139198</v>
      </c>
      <c r="AN593">
        <f t="shared" si="475"/>
        <v>543.17730426708306</v>
      </c>
      <c r="AO593">
        <f t="shared" si="476"/>
        <v>-35.906697756317605</v>
      </c>
      <c r="AQ593">
        <f t="shared" si="500"/>
        <v>6.9618001154405696E-4</v>
      </c>
      <c r="AR593">
        <f t="shared" si="501"/>
        <v>-2.638522243751976</v>
      </c>
      <c r="AT593">
        <f t="shared" si="470"/>
        <v>-1467.142871692105</v>
      </c>
      <c r="AU593">
        <f t="shared" si="471"/>
        <v>-121.17579001942404</v>
      </c>
      <c r="AV593">
        <f t="shared" si="511"/>
        <v>-3.0591866543860751</v>
      </c>
      <c r="AW593">
        <f t="shared" si="512"/>
        <v>496.05688145359221</v>
      </c>
      <c r="AX593">
        <f t="shared" si="513"/>
        <v>-2115.8593423070633</v>
      </c>
      <c r="AY593">
        <f t="shared" si="521"/>
        <v>-1.3405084869520452</v>
      </c>
      <c r="BA593">
        <f t="shared" si="502"/>
        <v>0.67739622379429221</v>
      </c>
      <c r="BB593">
        <f t="shared" si="514"/>
        <v>-3.3831445739598203</v>
      </c>
      <c r="BC593">
        <f t="shared" si="515"/>
        <v>-1.7186781674340299</v>
      </c>
      <c r="BD593">
        <f t="shared" si="503"/>
        <v>-278.47300544777039</v>
      </c>
      <c r="BF593">
        <f t="shared" si="504"/>
        <v>-58.845725087077014</v>
      </c>
      <c r="BG593">
        <f t="shared" si="505"/>
        <v>-192.06154856180731</v>
      </c>
      <c r="BH593">
        <f t="shared" si="516"/>
        <v>-12.061548561807314</v>
      </c>
      <c r="BI593">
        <f t="shared" si="517"/>
        <v>-12.061548561807314</v>
      </c>
      <c r="BJ593">
        <f t="shared" si="506"/>
        <v>0</v>
      </c>
      <c r="BK593">
        <f t="shared" si="518"/>
        <v>0</v>
      </c>
      <c r="BM593">
        <f t="shared" si="519"/>
        <v>-55.462580513117189</v>
      </c>
      <c r="BN593">
        <f t="shared" si="507"/>
        <v>-93.588543114036938</v>
      </c>
      <c r="BQ593" s="56">
        <f t="shared" si="520"/>
        <v>13.518816226325317</v>
      </c>
    </row>
    <row r="594" spans="1:69" x14ac:dyDescent="0.25">
      <c r="A594">
        <f t="shared" si="522"/>
        <v>1900000</v>
      </c>
      <c r="B594">
        <f t="shared" si="508"/>
        <v>1900</v>
      </c>
      <c r="C594">
        <f t="shared" si="477"/>
        <v>15.789926307067963</v>
      </c>
      <c r="D594">
        <f t="shared" si="478"/>
        <v>1.5074223964700562</v>
      </c>
      <c r="F594">
        <f t="shared" si="479"/>
        <v>7.0998734531729384E-6</v>
      </c>
      <c r="G594">
        <f t="shared" si="480"/>
        <v>9.0640871387711165E-4</v>
      </c>
      <c r="H594">
        <f t="shared" si="481"/>
        <v>-3.1406862412861232</v>
      </c>
      <c r="J594">
        <f t="shared" si="482"/>
        <v>15</v>
      </c>
      <c r="M594">
        <f t="shared" si="483"/>
        <v>6.6959040461843746E-4</v>
      </c>
      <c r="N594">
        <f t="shared" si="484"/>
        <v>-1.5707963250000001</v>
      </c>
      <c r="O594">
        <f t="shared" si="485"/>
        <v>552.01643348767902</v>
      </c>
      <c r="P594">
        <f t="shared" si="486"/>
        <v>1.5689847855322043</v>
      </c>
      <c r="Q594">
        <f t="shared" si="487"/>
        <v>487.45556785783327</v>
      </c>
      <c r="R594">
        <f t="shared" si="488"/>
        <v>1.5687448563279229</v>
      </c>
      <c r="S594">
        <f t="shared" si="489"/>
        <v>6.783507244766869E-2</v>
      </c>
      <c r="T594">
        <f t="shared" si="490"/>
        <v>-1.5029091213772789</v>
      </c>
      <c r="U594">
        <f t="shared" si="491"/>
        <v>8.3640727243436339E-2</v>
      </c>
      <c r="V594">
        <f t="shared" si="492"/>
        <v>-1.4870577693592923</v>
      </c>
      <c r="X594">
        <f t="shared" si="509"/>
        <v>-55.294193452983421</v>
      </c>
      <c r="Y594">
        <f t="shared" si="493"/>
        <v>-175.11294322790445</v>
      </c>
      <c r="Z594">
        <f t="shared" si="510"/>
        <v>4.8870567720955478</v>
      </c>
      <c r="AC594">
        <v>1</v>
      </c>
      <c r="AD594">
        <f t="shared" si="494"/>
        <v>552.01552771679997</v>
      </c>
      <c r="AE594">
        <f t="shared" si="495"/>
        <v>-0.988498516999753</v>
      </c>
      <c r="AF594">
        <f t="shared" si="496"/>
        <v>8.2969461886499993E-2</v>
      </c>
      <c r="AG594">
        <f t="shared" si="473"/>
        <v>45.53996888107806</v>
      </c>
      <c r="AH594">
        <f t="shared" si="474"/>
        <v>-554.6160075873396</v>
      </c>
      <c r="AJ594">
        <f t="shared" si="497"/>
        <v>18000</v>
      </c>
      <c r="AK594">
        <f t="shared" si="498"/>
        <v>264738.24270432</v>
      </c>
      <c r="AL594">
        <v>1</v>
      </c>
      <c r="AM594">
        <f t="shared" si="499"/>
        <v>487.45454212224001</v>
      </c>
      <c r="AN594">
        <f t="shared" si="475"/>
        <v>543.17691606444168</v>
      </c>
      <c r="AO594">
        <f t="shared" si="476"/>
        <v>-35.81220724281993</v>
      </c>
      <c r="AQ594">
        <f t="shared" si="500"/>
        <v>6.9252072766476955E-4</v>
      </c>
      <c r="AR594">
        <f t="shared" si="501"/>
        <v>-2.6315787651261244</v>
      </c>
      <c r="AT594">
        <f t="shared" si="470"/>
        <v>-1459.4841709934849</v>
      </c>
      <c r="AU594">
        <f t="shared" si="471"/>
        <v>-120.22609815309845</v>
      </c>
      <c r="AV594">
        <f t="shared" si="511"/>
        <v>-3.0594024795282189</v>
      </c>
      <c r="AW594">
        <f t="shared" si="512"/>
        <v>496.30590326851183</v>
      </c>
      <c r="AX594">
        <f t="shared" si="513"/>
        <v>-2110.3108290645291</v>
      </c>
      <c r="AY594">
        <f t="shared" si="521"/>
        <v>-1.3398124452953066</v>
      </c>
      <c r="BA594">
        <f t="shared" si="502"/>
        <v>0.67550941390200459</v>
      </c>
      <c r="BB594">
        <f t="shared" si="514"/>
        <v>-3.4073718854013917</v>
      </c>
      <c r="BC594">
        <f t="shared" si="515"/>
        <v>-1.7195900342329122</v>
      </c>
      <c r="BD594">
        <f t="shared" si="503"/>
        <v>-278.52525156688415</v>
      </c>
      <c r="BF594">
        <f t="shared" si="504"/>
        <v>-58.892932481738697</v>
      </c>
      <c r="BG594">
        <f t="shared" si="505"/>
        <v>-192.10437681308431</v>
      </c>
      <c r="BH594">
        <f t="shared" si="516"/>
        <v>-12.104376813084315</v>
      </c>
      <c r="BI594">
        <f t="shared" si="517"/>
        <v>-12.104376813084315</v>
      </c>
      <c r="BJ594">
        <f t="shared" si="506"/>
        <v>0</v>
      </c>
      <c r="BK594">
        <f t="shared" si="518"/>
        <v>0</v>
      </c>
      <c r="BM594">
        <f t="shared" si="519"/>
        <v>-55.485560596337308</v>
      </c>
      <c r="BN594">
        <f t="shared" si="507"/>
        <v>-93.579125246200221</v>
      </c>
      <c r="BQ594" s="56">
        <f t="shared" si="520"/>
        <v>13.494588914883746</v>
      </c>
    </row>
    <row r="595" spans="1:69" x14ac:dyDescent="0.25">
      <c r="A595">
        <f t="shared" si="522"/>
        <v>1905000</v>
      </c>
      <c r="B595">
        <f t="shared" si="508"/>
        <v>1905</v>
      </c>
      <c r="C595">
        <f t="shared" si="477"/>
        <v>15.831312300670461</v>
      </c>
      <c r="D595">
        <f t="shared" si="478"/>
        <v>1.5075882889830621</v>
      </c>
      <c r="F595">
        <f t="shared" si="479"/>
        <v>7.0626524373766301E-6</v>
      </c>
      <c r="G595">
        <f t="shared" si="480"/>
        <v>9.0402965583266659E-4</v>
      </c>
      <c r="H595">
        <f t="shared" si="481"/>
        <v>-3.1406886203441675</v>
      </c>
      <c r="J595">
        <f t="shared" si="482"/>
        <v>15</v>
      </c>
      <c r="M595">
        <f t="shared" si="483"/>
        <v>6.6783294948820533E-4</v>
      </c>
      <c r="N595">
        <f t="shared" si="484"/>
        <v>-1.5707963250000001</v>
      </c>
      <c r="O595">
        <f t="shared" si="485"/>
        <v>553.46910355169155</v>
      </c>
      <c r="P595">
        <f t="shared" si="486"/>
        <v>1.5689895402233198</v>
      </c>
      <c r="Q595">
        <f t="shared" si="487"/>
        <v>488.73834027646751</v>
      </c>
      <c r="R595">
        <f t="shared" si="488"/>
        <v>1.5687502407497966</v>
      </c>
      <c r="S595">
        <f t="shared" si="489"/>
        <v>6.7657843720600158E-2</v>
      </c>
      <c r="T595">
        <f t="shared" si="490"/>
        <v>-1.5030867582128473</v>
      </c>
      <c r="U595">
        <f t="shared" si="491"/>
        <v>8.3422727554544898E-2</v>
      </c>
      <c r="V595">
        <f t="shared" si="492"/>
        <v>-1.4872765336038132</v>
      </c>
      <c r="X595">
        <f t="shared" si="509"/>
        <v>-55.339676362331275</v>
      </c>
      <c r="Y595">
        <f t="shared" si="493"/>
        <v>-175.12570577755739</v>
      </c>
      <c r="Z595">
        <f t="shared" si="510"/>
        <v>4.8742942224426145</v>
      </c>
      <c r="AC595">
        <v>1</v>
      </c>
      <c r="AD595">
        <f t="shared" si="494"/>
        <v>553.46820015816002</v>
      </c>
      <c r="AE595">
        <f t="shared" si="495"/>
        <v>-0.99370798633103286</v>
      </c>
      <c r="AF595">
        <f t="shared" si="496"/>
        <v>8.3187802575674999E-2</v>
      </c>
      <c r="AG595">
        <f t="shared" si="473"/>
        <v>45.302889130895629</v>
      </c>
      <c r="AH595">
        <f t="shared" si="474"/>
        <v>-553.18016954923667</v>
      </c>
      <c r="AJ595">
        <f t="shared" si="497"/>
        <v>18000</v>
      </c>
      <c r="AK595">
        <f t="shared" si="498"/>
        <v>265434.92229038401</v>
      </c>
      <c r="AL595">
        <v>1</v>
      </c>
      <c r="AM595">
        <f t="shared" si="499"/>
        <v>488.73731723308799</v>
      </c>
      <c r="AN595">
        <f t="shared" si="475"/>
        <v>543.17653091448381</v>
      </c>
      <c r="AO595">
        <f t="shared" si="476"/>
        <v>-35.718212736270416</v>
      </c>
      <c r="AQ595">
        <f t="shared" si="500"/>
        <v>6.8889021921244556E-4</v>
      </c>
      <c r="AR595">
        <f t="shared" si="501"/>
        <v>-2.6246717351994175</v>
      </c>
      <c r="AT595">
        <f t="shared" si="470"/>
        <v>-1451.8851467714785</v>
      </c>
      <c r="AU595">
        <f t="shared" si="471"/>
        <v>-119.28629303299941</v>
      </c>
      <c r="AV595">
        <f t="shared" si="511"/>
        <v>-3.0596171797847123</v>
      </c>
      <c r="AW595">
        <f t="shared" si="512"/>
        <v>496.55294887178621</v>
      </c>
      <c r="AX595">
        <f t="shared" si="513"/>
        <v>-2104.7912901487534</v>
      </c>
      <c r="AY595">
        <f t="shared" si="521"/>
        <v>-1.3391169293080138</v>
      </c>
      <c r="BA595">
        <f t="shared" si="502"/>
        <v>0.67363221489117686</v>
      </c>
      <c r="BB595">
        <f t="shared" si="514"/>
        <v>-3.431543037800846</v>
      </c>
      <c r="BC595">
        <f t="shared" si="515"/>
        <v>-1.7205002504766984</v>
      </c>
      <c r="BD595">
        <f t="shared" si="503"/>
        <v>-278.57740311615692</v>
      </c>
      <c r="BF595">
        <f t="shared" si="504"/>
        <v>-58.940022841274846</v>
      </c>
      <c r="BG595">
        <f t="shared" si="505"/>
        <v>-192.14715973148353</v>
      </c>
      <c r="BH595">
        <f t="shared" si="516"/>
        <v>-12.147159731483526</v>
      </c>
      <c r="BI595">
        <f t="shared" si="517"/>
        <v>-12.147159731483526</v>
      </c>
      <c r="BJ595">
        <f t="shared" si="506"/>
        <v>0</v>
      </c>
      <c r="BK595">
        <f t="shared" si="518"/>
        <v>0</v>
      </c>
      <c r="BM595">
        <f t="shared" si="519"/>
        <v>-55.508479803473996</v>
      </c>
      <c r="BN595">
        <f t="shared" si="507"/>
        <v>-93.569756615326611</v>
      </c>
      <c r="BQ595" s="56">
        <f t="shared" si="520"/>
        <v>13.47041776248429</v>
      </c>
    </row>
    <row r="596" spans="1:69" x14ac:dyDescent="0.25">
      <c r="A596">
        <f t="shared" si="522"/>
        <v>1910000</v>
      </c>
      <c r="B596">
        <f t="shared" si="508"/>
        <v>1910</v>
      </c>
      <c r="C596">
        <f t="shared" si="477"/>
        <v>15.872698727683852</v>
      </c>
      <c r="D596">
        <f t="shared" si="478"/>
        <v>1.507753316405309</v>
      </c>
      <c r="F596">
        <f t="shared" si="479"/>
        <v>7.025723353044198E-6</v>
      </c>
      <c r="G596">
        <f t="shared" si="480"/>
        <v>9.0166305384411854E-4</v>
      </c>
      <c r="H596">
        <f t="shared" si="481"/>
        <v>-3.1406909869461561</v>
      </c>
      <c r="J596">
        <f t="shared" si="482"/>
        <v>15</v>
      </c>
      <c r="M596">
        <f t="shared" si="483"/>
        <v>6.6608469569373347E-4</v>
      </c>
      <c r="N596">
        <f t="shared" si="484"/>
        <v>-1.5707963250000001</v>
      </c>
      <c r="O596">
        <f t="shared" si="485"/>
        <v>554.92177362815085</v>
      </c>
      <c r="P596">
        <f t="shared" si="486"/>
        <v>1.5689942700208457</v>
      </c>
      <c r="Q596">
        <f t="shared" si="487"/>
        <v>490.0211127091971</v>
      </c>
      <c r="R596">
        <f t="shared" si="488"/>
        <v>1.5687555969810973</v>
      </c>
      <c r="S596">
        <f t="shared" si="489"/>
        <v>6.7481536537858003E-2</v>
      </c>
      <c r="T596">
        <f t="shared" si="490"/>
        <v>-1.5032634692588693</v>
      </c>
      <c r="U596">
        <f t="shared" si="491"/>
        <v>8.3205857341408521E-2</v>
      </c>
      <c r="V596">
        <f t="shared" si="492"/>
        <v>-1.4874941604360923</v>
      </c>
      <c r="X596">
        <f t="shared" si="509"/>
        <v>-55.385040943397655</v>
      </c>
      <c r="Y596">
        <f t="shared" si="493"/>
        <v>-175.13840200832394</v>
      </c>
      <c r="Z596">
        <f t="shared" si="510"/>
        <v>4.8615979916760637</v>
      </c>
      <c r="AC596">
        <v>1</v>
      </c>
      <c r="AD596">
        <f t="shared" si="494"/>
        <v>554.92087259952007</v>
      </c>
      <c r="AE596">
        <f t="shared" si="495"/>
        <v>-0.99893114677750661</v>
      </c>
      <c r="AF596">
        <f t="shared" si="496"/>
        <v>8.3406143264849991E-2</v>
      </c>
      <c r="AG596">
        <f t="shared" si="473"/>
        <v>45.067651638468995</v>
      </c>
      <c r="AH596">
        <f t="shared" si="474"/>
        <v>-551.75169516774781</v>
      </c>
      <c r="AJ596">
        <f t="shared" si="497"/>
        <v>18000</v>
      </c>
      <c r="AK596">
        <f t="shared" si="498"/>
        <v>266131.60187644797</v>
      </c>
      <c r="AL596">
        <v>1</v>
      </c>
      <c r="AM596">
        <f t="shared" si="499"/>
        <v>490.02009234393603</v>
      </c>
      <c r="AN596">
        <f t="shared" si="475"/>
        <v>543.17614878528593</v>
      </c>
      <c r="AO596">
        <f t="shared" si="476"/>
        <v>-35.624710341391662</v>
      </c>
      <c r="AQ596">
        <f t="shared" si="500"/>
        <v>6.8528818526848322E-4</v>
      </c>
      <c r="AR596">
        <f t="shared" si="501"/>
        <v>-2.6178008677256059</v>
      </c>
      <c r="AT596">
        <f t="shared" si="470"/>
        <v>-1444.3451820499986</v>
      </c>
      <c r="AU596">
        <f t="shared" si="471"/>
        <v>-118.35624648343978</v>
      </c>
      <c r="AV596">
        <f t="shared" si="511"/>
        <v>-3.0598307639063074</v>
      </c>
      <c r="AW596">
        <f t="shared" si="512"/>
        <v>496.79803916183732</v>
      </c>
      <c r="AX596">
        <f t="shared" si="513"/>
        <v>-2099.3004995757792</v>
      </c>
      <c r="AY596">
        <f t="shared" si="521"/>
        <v>-1.3384219368404018</v>
      </c>
      <c r="BA596">
        <f t="shared" si="502"/>
        <v>0.67176455225649123</v>
      </c>
      <c r="BB596">
        <f t="shared" si="514"/>
        <v>-3.4556583357451069</v>
      </c>
      <c r="BC596">
        <f t="shared" si="515"/>
        <v>-1.7214088270659056</v>
      </c>
      <c r="BD596">
        <f t="shared" si="503"/>
        <v>-278.62946072014239</v>
      </c>
      <c r="BF596">
        <f t="shared" si="504"/>
        <v>-58.986996793165758</v>
      </c>
      <c r="BG596">
        <f t="shared" si="505"/>
        <v>-192.18989755696538</v>
      </c>
      <c r="BH596">
        <f t="shared" si="516"/>
        <v>-12.189897556965377</v>
      </c>
      <c r="BI596">
        <f t="shared" si="517"/>
        <v>-12.189897556965377</v>
      </c>
      <c r="BJ596">
        <f t="shared" si="506"/>
        <v>0</v>
      </c>
      <c r="BK596">
        <f t="shared" si="518"/>
        <v>0</v>
      </c>
      <c r="BM596">
        <f t="shared" si="519"/>
        <v>-55.531338457420645</v>
      </c>
      <c r="BN596">
        <f t="shared" si="507"/>
        <v>-93.560436836823015</v>
      </c>
      <c r="BQ596" s="56">
        <f t="shared" si="520"/>
        <v>13.446302464540029</v>
      </c>
    </row>
    <row r="597" spans="1:69" x14ac:dyDescent="0.25">
      <c r="A597">
        <f t="shared" si="522"/>
        <v>1915000</v>
      </c>
      <c r="B597">
        <f t="shared" si="508"/>
        <v>1915</v>
      </c>
      <c r="C597">
        <f t="shared" si="477"/>
        <v>15.914085584726731</v>
      </c>
      <c r="D597">
        <f t="shared" si="478"/>
        <v>1.50791748547715</v>
      </c>
      <c r="F597">
        <f t="shared" si="479"/>
        <v>6.9890831552331193E-6</v>
      </c>
      <c r="G597">
        <f t="shared" si="480"/>
        <v>8.9930881034180139E-4</v>
      </c>
      <c r="H597">
        <f t="shared" si="481"/>
        <v>-3.1406933411896585</v>
      </c>
      <c r="J597">
        <f t="shared" si="482"/>
        <v>15</v>
      </c>
      <c r="M597">
        <f t="shared" si="483"/>
        <v>6.643455711618961E-4</v>
      </c>
      <c r="N597">
        <f t="shared" si="484"/>
        <v>-1.5707963250000001</v>
      </c>
      <c r="O597">
        <f t="shared" si="485"/>
        <v>556.37444371695949</v>
      </c>
      <c r="P597">
        <f t="shared" si="486"/>
        <v>1.5689989751197699</v>
      </c>
      <c r="Q597">
        <f t="shared" si="487"/>
        <v>491.30388515591153</v>
      </c>
      <c r="R597">
        <f t="shared" si="488"/>
        <v>1.5687609252426382</v>
      </c>
      <c r="S597">
        <f t="shared" si="489"/>
        <v>6.7306143746812597E-2</v>
      </c>
      <c r="T597">
        <f t="shared" si="490"/>
        <v>-1.5034392617229877</v>
      </c>
      <c r="U597">
        <f t="shared" si="491"/>
        <v>8.2990107879519243E-2</v>
      </c>
      <c r="V597">
        <f t="shared" si="492"/>
        <v>-1.4877106586832278</v>
      </c>
      <c r="X597">
        <f t="shared" si="509"/>
        <v>-55.430287807981898</v>
      </c>
      <c r="Y597">
        <f t="shared" si="493"/>
        <v>-175.1510324345</v>
      </c>
      <c r="Z597">
        <f t="shared" si="510"/>
        <v>4.8489675655000042</v>
      </c>
      <c r="AC597">
        <v>1</v>
      </c>
      <c r="AD597">
        <f t="shared" si="494"/>
        <v>556.37354504088</v>
      </c>
      <c r="AE597">
        <f t="shared" si="495"/>
        <v>-1.0041679983391743</v>
      </c>
      <c r="AF597">
        <f t="shared" si="496"/>
        <v>8.3624483954024997E-2</v>
      </c>
      <c r="AG597">
        <f t="shared" si="473"/>
        <v>44.834237410004896</v>
      </c>
      <c r="AH597">
        <f t="shared" si="474"/>
        <v>-550.33052834585374</v>
      </c>
      <c r="AJ597">
        <f t="shared" si="497"/>
        <v>18000</v>
      </c>
      <c r="AK597">
        <f t="shared" si="498"/>
        <v>266828.28146251198</v>
      </c>
      <c r="AL597">
        <v>1</v>
      </c>
      <c r="AM597">
        <f t="shared" si="499"/>
        <v>491.30286745478406</v>
      </c>
      <c r="AN597">
        <f t="shared" si="475"/>
        <v>543.17576964534157</v>
      </c>
      <c r="AO597">
        <f t="shared" si="476"/>
        <v>-35.531696203587209</v>
      </c>
      <c r="AQ597">
        <f t="shared" si="500"/>
        <v>6.8171432883758643E-4</v>
      </c>
      <c r="AR597">
        <f t="shared" si="501"/>
        <v>-2.610965879447956</v>
      </c>
      <c r="AT597">
        <f t="shared" si="470"/>
        <v>-1436.8636677875254</v>
      </c>
      <c r="AU597">
        <f t="shared" si="471"/>
        <v>-117.43583231536201</v>
      </c>
      <c r="AV597">
        <f t="shared" si="511"/>
        <v>-3.0600432405534401</v>
      </c>
      <c r="AW597">
        <f t="shared" si="512"/>
        <v>497.041194761035</v>
      </c>
      <c r="AX597">
        <f t="shared" si="513"/>
        <v>-2093.8382337017724</v>
      </c>
      <c r="AY597">
        <f t="shared" si="521"/>
        <v>-1.3377274657695897</v>
      </c>
      <c r="BA597">
        <f t="shared" si="502"/>
        <v>0.66990635226359885</v>
      </c>
      <c r="BB597">
        <f t="shared" si="514"/>
        <v>-3.4797180814388118</v>
      </c>
      <c r="BC597">
        <f t="shared" si="515"/>
        <v>-1.7223157747838505</v>
      </c>
      <c r="BD597">
        <f t="shared" si="503"/>
        <v>-278.68142499667903</v>
      </c>
      <c r="BF597">
        <f t="shared" si="504"/>
        <v>-59.03385495993809</v>
      </c>
      <c r="BG597">
        <f t="shared" si="505"/>
        <v>-192.23259052676499</v>
      </c>
      <c r="BH597">
        <f t="shared" si="516"/>
        <v>-12.232590526764994</v>
      </c>
      <c r="BI597">
        <f t="shared" si="517"/>
        <v>-12.232590526764994</v>
      </c>
      <c r="BJ597">
        <f t="shared" si="506"/>
        <v>0</v>
      </c>
      <c r="BK597">
        <f t="shared" si="518"/>
        <v>0</v>
      </c>
      <c r="BM597">
        <f t="shared" si="519"/>
        <v>-55.554136878499271</v>
      </c>
      <c r="BN597">
        <f t="shared" si="507"/>
        <v>-93.551165530085996</v>
      </c>
      <c r="BQ597" s="56">
        <f t="shared" si="520"/>
        <v>13.422242718846324</v>
      </c>
    </row>
    <row r="598" spans="1:69" x14ac:dyDescent="0.25">
      <c r="A598">
        <f t="shared" si="522"/>
        <v>1920000</v>
      </c>
      <c r="B598">
        <f t="shared" si="508"/>
        <v>1920</v>
      </c>
      <c r="C598">
        <f t="shared" si="477"/>
        <v>15.955472868452741</v>
      </c>
      <c r="D598">
        <f t="shared" si="478"/>
        <v>1.5080808028691886</v>
      </c>
      <c r="F598">
        <f t="shared" si="479"/>
        <v>6.9527288385973854E-6</v>
      </c>
      <c r="G598">
        <f t="shared" si="480"/>
        <v>8.9696682877243394E-4</v>
      </c>
      <c r="H598">
        <f t="shared" si="481"/>
        <v>-3.1406956831712276</v>
      </c>
      <c r="J598">
        <f t="shared" si="482"/>
        <v>15</v>
      </c>
      <c r="M598">
        <f t="shared" si="483"/>
        <v>6.6261550457032874E-4</v>
      </c>
      <c r="N598">
        <f t="shared" si="484"/>
        <v>-1.5707963250000001</v>
      </c>
      <c r="O598">
        <f t="shared" si="485"/>
        <v>557.82711381802085</v>
      </c>
      <c r="P598">
        <f t="shared" si="486"/>
        <v>1.5690036557130496</v>
      </c>
      <c r="Q598">
        <f t="shared" si="487"/>
        <v>492.58665761650161</v>
      </c>
      <c r="R598">
        <f t="shared" si="488"/>
        <v>1.5687662257529316</v>
      </c>
      <c r="S598">
        <f t="shared" si="489"/>
        <v>6.7131658268494085E-2</v>
      </c>
      <c r="T598">
        <f t="shared" si="490"/>
        <v>-1.503614142738332</v>
      </c>
      <c r="U598">
        <f t="shared" si="491"/>
        <v>8.2775470533676204E-2</v>
      </c>
      <c r="V598">
        <f t="shared" si="492"/>
        <v>-1.4879260370814265</v>
      </c>
      <c r="X598">
        <f t="shared" si="509"/>
        <v>-55.475417563168392</v>
      </c>
      <c r="Y598">
        <f t="shared" si="493"/>
        <v>-175.16359756509073</v>
      </c>
      <c r="Z598">
        <f t="shared" si="510"/>
        <v>4.8364024349092745</v>
      </c>
      <c r="AC598">
        <v>1</v>
      </c>
      <c r="AD598">
        <f t="shared" si="494"/>
        <v>557.82621748224005</v>
      </c>
      <c r="AE598">
        <f t="shared" si="495"/>
        <v>-1.0094185410160359</v>
      </c>
      <c r="AF598">
        <f t="shared" si="496"/>
        <v>8.384282464319999E-2</v>
      </c>
      <c r="AG598">
        <f t="shared" si="473"/>
        <v>44.602627695294977</v>
      </c>
      <c r="AH598">
        <f t="shared" si="474"/>
        <v>-548.9166135506473</v>
      </c>
      <c r="AJ598">
        <f t="shared" si="497"/>
        <v>18000</v>
      </c>
      <c r="AK598">
        <f t="shared" si="498"/>
        <v>267524.96104857599</v>
      </c>
      <c r="AL598">
        <v>1</v>
      </c>
      <c r="AM598">
        <f t="shared" si="499"/>
        <v>492.58564256563204</v>
      </c>
      <c r="AN598">
        <f t="shared" si="475"/>
        <v>543.17539346355329</v>
      </c>
      <c r="AO598">
        <f t="shared" si="476"/>
        <v>-35.439166508411788</v>
      </c>
      <c r="AQ598">
        <f t="shared" si="500"/>
        <v>6.7816835678654263E-4</v>
      </c>
      <c r="AR598">
        <f t="shared" si="501"/>
        <v>-2.6041664900603236</v>
      </c>
      <c r="AT598">
        <f t="shared" ref="AT598:AT626" si="523">-AR598*AH598+AG598*AQ598</f>
        <v>-1429.4400027552556</v>
      </c>
      <c r="AU598">
        <f t="shared" ref="AU598:AU626" si="524">AQ598*AH598+AG598*AR598</f>
        <v>-116.52492629054818</v>
      </c>
      <c r="AV598">
        <f t="shared" si="511"/>
        <v>-3.0602546182973902</v>
      </c>
      <c r="AW598">
        <f t="shared" si="512"/>
        <v>497.28243602006836</v>
      </c>
      <c r="AX598">
        <f t="shared" si="513"/>
        <v>-2088.4042711928496</v>
      </c>
      <c r="AY598">
        <f t="shared" si="521"/>
        <v>-1.3370335139992005</v>
      </c>
      <c r="BA598">
        <f t="shared" si="502"/>
        <v>0.66805754193920019</v>
      </c>
      <c r="BB598">
        <f t="shared" si="514"/>
        <v>-3.5037225747285774</v>
      </c>
      <c r="BC598">
        <f t="shared" si="515"/>
        <v>-1.7232211042981898</v>
      </c>
      <c r="BD598">
        <f t="shared" si="503"/>
        <v>-278.73329655697853</v>
      </c>
      <c r="BF598">
        <f t="shared" si="504"/>
        <v>-59.080597959216462</v>
      </c>
      <c r="BG598">
        <f t="shared" si="505"/>
        <v>-192.27523887542873</v>
      </c>
      <c r="BH598">
        <f t="shared" si="516"/>
        <v>-12.275238875428727</v>
      </c>
      <c r="BI598">
        <f t="shared" si="517"/>
        <v>-12.275238875428727</v>
      </c>
      <c r="BJ598">
        <f t="shared" si="506"/>
        <v>0</v>
      </c>
      <c r="BK598">
        <f t="shared" si="518"/>
        <v>0</v>
      </c>
      <c r="BM598">
        <f t="shared" si="519"/>
        <v>-55.576875384487892</v>
      </c>
      <c r="BN598">
        <f t="shared" si="507"/>
        <v>-93.541942318450168</v>
      </c>
      <c r="BQ598" s="56">
        <f t="shared" si="520"/>
        <v>13.398238225556558</v>
      </c>
    </row>
    <row r="599" spans="1:69" x14ac:dyDescent="0.25">
      <c r="A599">
        <f t="shared" ref="A599:A614" si="525">A598+5000</f>
        <v>1925000</v>
      </c>
      <c r="B599">
        <f t="shared" si="508"/>
        <v>1925</v>
      </c>
      <c r="C599">
        <f t="shared" si="477"/>
        <v>15.996860575550121</v>
      </c>
      <c r="D599">
        <f t="shared" si="478"/>
        <v>1.5082432751831767</v>
      </c>
      <c r="F599">
        <f t="shared" si="479"/>
        <v>6.9166574367712196E-6</v>
      </c>
      <c r="G599">
        <f t="shared" si="480"/>
        <v>8.946370135859196E-4</v>
      </c>
      <c r="H599">
        <f t="shared" si="481"/>
        <v>-3.1406980129864142</v>
      </c>
      <c r="J599">
        <f t="shared" si="482"/>
        <v>15</v>
      </c>
      <c r="M599">
        <f t="shared" si="483"/>
        <v>6.6089442533767847E-4</v>
      </c>
      <c r="N599">
        <f t="shared" si="484"/>
        <v>-1.5707963250000001</v>
      </c>
      <c r="O599">
        <f t="shared" si="485"/>
        <v>559.27978393123976</v>
      </c>
      <c r="P599">
        <f t="shared" si="486"/>
        <v>1.5690083119916367</v>
      </c>
      <c r="Q599">
        <f t="shared" si="487"/>
        <v>493.86943009085934</v>
      </c>
      <c r="R599">
        <f t="shared" si="488"/>
        <v>1.5687714987282195</v>
      </c>
      <c r="S599">
        <f t="shared" si="489"/>
        <v>6.6958073096648835E-2</v>
      </c>
      <c r="T599">
        <f t="shared" si="490"/>
        <v>-1.5037881193644789</v>
      </c>
      <c r="U599">
        <f t="shared" si="491"/>
        <v>8.2561936756849946E-2</v>
      </c>
      <c r="V599">
        <f t="shared" si="492"/>
        <v>-1.4881403042771657</v>
      </c>
      <c r="X599">
        <f t="shared" si="509"/>
        <v>-55.520430811374681</v>
      </c>
      <c r="Y599">
        <f t="shared" si="493"/>
        <v>-175.17609790387834</v>
      </c>
      <c r="Z599">
        <f t="shared" si="510"/>
        <v>4.8239020961216568</v>
      </c>
      <c r="AC599">
        <v>1</v>
      </c>
      <c r="AD599">
        <f t="shared" si="494"/>
        <v>559.27888992359999</v>
      </c>
      <c r="AE599">
        <f t="shared" si="495"/>
        <v>-1.0146827748080913</v>
      </c>
      <c r="AF599">
        <f t="shared" si="496"/>
        <v>8.4061165332374996E-2</v>
      </c>
      <c r="AG599">
        <f t="shared" si="473"/>
        <v>44.372803983985655</v>
      </c>
      <c r="AH599">
        <f t="shared" si="474"/>
        <v>-547.50989580631551</v>
      </c>
      <c r="AJ599">
        <f t="shared" si="497"/>
        <v>18000</v>
      </c>
      <c r="AK599">
        <f t="shared" si="498"/>
        <v>268221.64063464</v>
      </c>
      <c r="AL599">
        <v>1</v>
      </c>
      <c r="AM599">
        <f t="shared" si="499"/>
        <v>493.86841767647996</v>
      </c>
      <c r="AN599">
        <f t="shared" si="475"/>
        <v>543.17502020922723</v>
      </c>
      <c r="AO599">
        <f t="shared" si="476"/>
        <v>-35.347117481049928</v>
      </c>
      <c r="AQ599">
        <f t="shared" si="500"/>
        <v>6.7464997978411336E-4</v>
      </c>
      <c r="AR599">
        <f t="shared" si="501"/>
        <v>-2.5974024221688365</v>
      </c>
      <c r="AT599">
        <f t="shared" si="523"/>
        <v>-1422.0735934174206</v>
      </c>
      <c r="AU599">
        <f t="shared" si="524"/>
        <v>-115.62340608656467</v>
      </c>
      <c r="AV599">
        <f t="shared" si="511"/>
        <v>-3.0604649056214228</v>
      </c>
      <c r="AW599">
        <f t="shared" si="512"/>
        <v>497.52178302223723</v>
      </c>
      <c r="AX599">
        <f t="shared" si="513"/>
        <v>-2082.9983929953846</v>
      </c>
      <c r="AY599">
        <f t="shared" si="521"/>
        <v>-1.336340079458987</v>
      </c>
      <c r="BA599">
        <f t="shared" si="502"/>
        <v>0.66621804906127136</v>
      </c>
      <c r="BB599">
        <f t="shared" si="514"/>
        <v>-3.5276721131270521</v>
      </c>
      <c r="BC599">
        <f t="shared" si="515"/>
        <v>-1.7241248261624358</v>
      </c>
      <c r="BD599">
        <f t="shared" si="503"/>
        <v>-278.78507600571271</v>
      </c>
      <c r="BF599">
        <f t="shared" si="504"/>
        <v>-59.127226403774515</v>
      </c>
      <c r="BG599">
        <f t="shared" si="505"/>
        <v>-192.31784283485038</v>
      </c>
      <c r="BH599">
        <f t="shared" si="516"/>
        <v>-12.317842834850381</v>
      </c>
      <c r="BI599">
        <f t="shared" si="517"/>
        <v>-12.317842834850381</v>
      </c>
      <c r="BJ599">
        <f t="shared" si="506"/>
        <v>0</v>
      </c>
      <c r="BK599">
        <f t="shared" si="518"/>
        <v>0</v>
      </c>
      <c r="BM599">
        <f t="shared" si="519"/>
        <v>-55.599554290647461</v>
      </c>
      <c r="BN599">
        <f t="shared" si="507"/>
        <v>-93.532766829137671</v>
      </c>
      <c r="BQ599" s="56">
        <f t="shared" si="520"/>
        <v>13.374288687158085</v>
      </c>
    </row>
    <row r="600" spans="1:69" x14ac:dyDescent="0.25">
      <c r="A600">
        <f t="shared" si="525"/>
        <v>1930000</v>
      </c>
      <c r="B600">
        <f t="shared" si="508"/>
        <v>1930</v>
      </c>
      <c r="C600">
        <f t="shared" si="477"/>
        <v>16.038248702741264</v>
      </c>
      <c r="D600">
        <f t="shared" si="478"/>
        <v>1.5084049089529006</v>
      </c>
      <c r="F600">
        <f t="shared" si="479"/>
        <v>6.8808660217639279E-6</v>
      </c>
      <c r="G600">
        <f t="shared" si="480"/>
        <v>8.9231927022235136E-4</v>
      </c>
      <c r="H600">
        <f t="shared" si="481"/>
        <v>-3.1407003307297781</v>
      </c>
      <c r="J600">
        <f t="shared" si="482"/>
        <v>15</v>
      </c>
      <c r="M600">
        <f t="shared" si="483"/>
        <v>6.5918226361400575E-4</v>
      </c>
      <c r="N600">
        <f t="shared" si="484"/>
        <v>-1.5707963250000001</v>
      </c>
      <c r="O600">
        <f t="shared" si="485"/>
        <v>560.73245405652142</v>
      </c>
      <c r="P600">
        <f t="shared" si="486"/>
        <v>1.5690129441445051</v>
      </c>
      <c r="Q600">
        <f t="shared" si="487"/>
        <v>495.15220257887745</v>
      </c>
      <c r="R600">
        <f t="shared" si="488"/>
        <v>1.5687767443825038</v>
      </c>
      <c r="S600">
        <f t="shared" si="489"/>
        <v>6.6785381296810262E-2</v>
      </c>
      <c r="T600">
        <f t="shared" si="490"/>
        <v>-1.5039611985883954</v>
      </c>
      <c r="U600">
        <f t="shared" si="491"/>
        <v>8.2349498089063902E-2</v>
      </c>
      <c r="V600">
        <f t="shared" si="492"/>
        <v>-1.4883534688283415</v>
      </c>
      <c r="X600">
        <f t="shared" si="509"/>
        <v>-55.565328150399054</v>
      </c>
      <c r="Y600">
        <f t="shared" si="493"/>
        <v>-175.1885339494886</v>
      </c>
      <c r="Z600">
        <f t="shared" si="510"/>
        <v>4.8114660505113989</v>
      </c>
      <c r="AC600">
        <v>1</v>
      </c>
      <c r="AD600">
        <f t="shared" si="494"/>
        <v>560.73156236496004</v>
      </c>
      <c r="AE600">
        <f t="shared" si="495"/>
        <v>-1.0199606997153408</v>
      </c>
      <c r="AF600">
        <f t="shared" si="496"/>
        <v>8.4279506021550002E-2</v>
      </c>
      <c r="AG600">
        <f t="shared" si="473"/>
        <v>44.144748001914131</v>
      </c>
      <c r="AH600">
        <f t="shared" si="474"/>
        <v>-546.1103206872267</v>
      </c>
      <c r="AJ600">
        <f t="shared" si="497"/>
        <v>18000</v>
      </c>
      <c r="AK600">
        <f t="shared" si="498"/>
        <v>268918.32022070396</v>
      </c>
      <c r="AL600">
        <v>1</v>
      </c>
      <c r="AM600">
        <f t="shared" si="499"/>
        <v>495.151192787328</v>
      </c>
      <c r="AN600">
        <f t="shared" si="475"/>
        <v>543.17464985206607</v>
      </c>
      <c r="AO600">
        <f t="shared" si="476"/>
        <v>-35.255545385802598</v>
      </c>
      <c r="AQ600">
        <f t="shared" si="500"/>
        <v>6.7115891224201244E-4</v>
      </c>
      <c r="AR600">
        <f t="shared" si="501"/>
        <v>-2.5906734012541679</v>
      </c>
      <c r="AT600">
        <f t="shared" si="523"/>
        <v>-1414.7638538137319</v>
      </c>
      <c r="AU600">
        <f t="shared" si="524"/>
        <v>-114.73115126242359</v>
      </c>
      <c r="AV600">
        <f t="shared" si="511"/>
        <v>-3.0606741109219122</v>
      </c>
      <c r="AW600">
        <f t="shared" si="512"/>
        <v>497.75925558766374</v>
      </c>
      <c r="AX600">
        <f t="shared" si="513"/>
        <v>-2077.6203823067608</v>
      </c>
      <c r="AY600">
        <f t="shared" si="521"/>
        <v>-1.3356471601044662</v>
      </c>
      <c r="BA600">
        <f t="shared" si="502"/>
        <v>0.66438780214944571</v>
      </c>
      <c r="BB600">
        <f t="shared" si="514"/>
        <v>-3.551566991836582</v>
      </c>
      <c r="BC600">
        <f t="shared" si="515"/>
        <v>-1.7250269508174461</v>
      </c>
      <c r="BD600">
        <f t="shared" si="503"/>
        <v>-278.83676394109858</v>
      </c>
      <c r="BF600">
        <f t="shared" si="504"/>
        <v>-59.173740901585099</v>
      </c>
      <c r="BG600">
        <f t="shared" si="505"/>
        <v>-192.36040263430655</v>
      </c>
      <c r="BH600">
        <f t="shared" si="516"/>
        <v>-12.360402634306553</v>
      </c>
      <c r="BI600">
        <f t="shared" si="517"/>
        <v>-12.360402634306553</v>
      </c>
      <c r="BJ600">
        <f t="shared" si="506"/>
        <v>0</v>
      </c>
      <c r="BK600">
        <f t="shared" si="518"/>
        <v>0</v>
      </c>
      <c r="BM600">
        <f t="shared" si="519"/>
        <v>-55.622173909748518</v>
      </c>
      <c r="BN600">
        <f t="shared" si="507"/>
        <v>-93.523638693208014</v>
      </c>
      <c r="BQ600" s="56">
        <f t="shared" si="520"/>
        <v>13.350393808448555</v>
      </c>
    </row>
    <row r="601" spans="1:69" x14ac:dyDescent="0.25">
      <c r="A601">
        <f t="shared" si="525"/>
        <v>1935000</v>
      </c>
      <c r="B601">
        <f t="shared" si="508"/>
        <v>1935</v>
      </c>
      <c r="C601">
        <f t="shared" si="477"/>
        <v>16.079637246782269</v>
      </c>
      <c r="D601">
        <f t="shared" si="478"/>
        <v>1.5085657106450516</v>
      </c>
      <c r="F601">
        <f t="shared" si="479"/>
        <v>6.845351703365723E-6</v>
      </c>
      <c r="G601">
        <f t="shared" si="480"/>
        <v>8.9001350509921825E-4</v>
      </c>
      <c r="H601">
        <f t="shared" si="481"/>
        <v>-3.1407026364949009</v>
      </c>
      <c r="J601">
        <f t="shared" si="482"/>
        <v>15</v>
      </c>
      <c r="M601">
        <f t="shared" si="483"/>
        <v>6.5747895027133392E-4</v>
      </c>
      <c r="N601">
        <f t="shared" si="484"/>
        <v>-1.5707963250000001</v>
      </c>
      <c r="O601">
        <f t="shared" si="485"/>
        <v>562.18512419377259</v>
      </c>
      <c r="P601">
        <f t="shared" si="486"/>
        <v>1.5690175523586751</v>
      </c>
      <c r="Q601">
        <f t="shared" si="487"/>
        <v>496.43497508045033</v>
      </c>
      <c r="R601">
        <f t="shared" si="488"/>
        <v>1.5687819629275739</v>
      </c>
      <c r="S601">
        <f t="shared" si="489"/>
        <v>6.661357600538384E-2</v>
      </c>
      <c r="T601">
        <f t="shared" si="490"/>
        <v>-1.5041333873253695</v>
      </c>
      <c r="U601">
        <f t="shared" si="491"/>
        <v>8.2138146156292849E-2</v>
      </c>
      <c r="V601">
        <f t="shared" si="492"/>
        <v>-1.4885655392053974</v>
      </c>
      <c r="X601">
        <f t="shared" si="509"/>
        <v>-55.610110173467433</v>
      </c>
      <c r="Y601">
        <f t="shared" si="493"/>
        <v>-175.20090619545664</v>
      </c>
      <c r="Z601">
        <f t="shared" si="510"/>
        <v>4.7990938045433609</v>
      </c>
      <c r="AC601">
        <v>1</v>
      </c>
      <c r="AD601">
        <f t="shared" si="494"/>
        <v>562.18423480631998</v>
      </c>
      <c r="AE601">
        <f t="shared" si="495"/>
        <v>-1.025252315737784</v>
      </c>
      <c r="AF601">
        <f t="shared" si="496"/>
        <v>8.4497846710724994E-2</v>
      </c>
      <c r="AG601">
        <f t="shared" si="473"/>
        <v>43.918441707509501</v>
      </c>
      <c r="AH601">
        <f t="shared" si="474"/>
        <v>-544.71783431111862</v>
      </c>
      <c r="AJ601">
        <f t="shared" si="497"/>
        <v>18000</v>
      </c>
      <c r="AK601">
        <f t="shared" si="498"/>
        <v>269614.99980676803</v>
      </c>
      <c r="AL601">
        <v>1</v>
      </c>
      <c r="AM601">
        <f t="shared" si="499"/>
        <v>496.43396789817598</v>
      </c>
      <c r="AN601">
        <f t="shared" si="475"/>
        <v>543.17428236216472</v>
      </c>
      <c r="AO601">
        <f t="shared" si="476"/>
        <v>-35.164446525581866</v>
      </c>
      <c r="AQ601">
        <f t="shared" si="500"/>
        <v>6.6769487225695084E-4</v>
      </c>
      <c r="AR601">
        <f t="shared" si="501"/>
        <v>-2.5839791556343998</v>
      </c>
      <c r="AT601">
        <f t="shared" si="523"/>
        <v>-1407.5102054439176</v>
      </c>
      <c r="AU601">
        <f t="shared" si="524"/>
        <v>-113.84804322494546</v>
      </c>
      <c r="AV601">
        <f t="shared" si="511"/>
        <v>-3.0608822425094497</v>
      </c>
      <c r="AW601">
        <f t="shared" si="512"/>
        <v>497.99487327742941</v>
      </c>
      <c r="AX601">
        <f t="shared" si="513"/>
        <v>-2072.270024546583</v>
      </c>
      <c r="AY601">
        <f t="shared" si="521"/>
        <v>-1.3349547539165554</v>
      </c>
      <c r="BA601">
        <f t="shared" si="502"/>
        <v>0.66256673045553716</v>
      </c>
      <c r="BB601">
        <f t="shared" si="514"/>
        <v>-3.5754075037726567</v>
      </c>
      <c r="BC601">
        <f t="shared" si="515"/>
        <v>-1.7259274885928944</v>
      </c>
      <c r="BD601">
        <f t="shared" si="503"/>
        <v>-278.88836095498283</v>
      </c>
      <c r="BF601">
        <f t="shared" si="504"/>
        <v>-59.220142055870006</v>
      </c>
      <c r="BG601">
        <f t="shared" si="505"/>
        <v>-192.40291850049172</v>
      </c>
      <c r="BH601">
        <f t="shared" si="516"/>
        <v>-12.402918500491722</v>
      </c>
      <c r="BI601">
        <f t="shared" si="517"/>
        <v>-12.402918500491722</v>
      </c>
      <c r="BJ601">
        <f t="shared" si="506"/>
        <v>0</v>
      </c>
      <c r="BK601">
        <f t="shared" si="518"/>
        <v>0</v>
      </c>
      <c r="BM601">
        <f t="shared" si="519"/>
        <v>-55.644734552097347</v>
      </c>
      <c r="BN601">
        <f t="shared" si="507"/>
        <v>-93.514557545508922</v>
      </c>
      <c r="BQ601" s="56">
        <f t="shared" si="520"/>
        <v>13.326553296512479</v>
      </c>
    </row>
    <row r="602" spans="1:69" x14ac:dyDescent="0.25">
      <c r="A602">
        <f t="shared" si="525"/>
        <v>1940000</v>
      </c>
      <c r="B602">
        <f t="shared" si="508"/>
        <v>1940</v>
      </c>
      <c r="C602">
        <f t="shared" si="477"/>
        <v>16.121026204462527</v>
      </c>
      <c r="D602">
        <f t="shared" si="478"/>
        <v>1.5087256866600844</v>
      </c>
      <c r="F602">
        <f t="shared" si="479"/>
        <v>6.8101116285641947E-6</v>
      </c>
      <c r="G602">
        <f t="shared" si="480"/>
        <v>8.8771962559880911E-4</v>
      </c>
      <c r="H602">
        <f t="shared" si="481"/>
        <v>-3.1407049303744015</v>
      </c>
      <c r="J602">
        <f t="shared" si="482"/>
        <v>15</v>
      </c>
      <c r="M602">
        <f t="shared" si="483"/>
        <v>6.5578441689434594E-4</v>
      </c>
      <c r="N602">
        <f t="shared" si="484"/>
        <v>-1.5707963250000001</v>
      </c>
      <c r="O602">
        <f t="shared" si="485"/>
        <v>563.63779434290041</v>
      </c>
      <c r="P602">
        <f t="shared" si="486"/>
        <v>1.5690221368192385</v>
      </c>
      <c r="Q602">
        <f t="shared" si="487"/>
        <v>497.71774759547293</v>
      </c>
      <c r="R602">
        <f t="shared" si="488"/>
        <v>1.5687871545730361</v>
      </c>
      <c r="S602">
        <f t="shared" si="489"/>
        <v>6.6442650428746169E-2</v>
      </c>
      <c r="T602">
        <f t="shared" si="490"/>
        <v>-1.5043046924199248</v>
      </c>
      <c r="U602">
        <f t="shared" si="491"/>
        <v>8.1927872669377996E-2</v>
      </c>
      <c r="V602">
        <f t="shared" si="492"/>
        <v>-1.4887765237924344</v>
      </c>
      <c r="X602">
        <f t="shared" si="509"/>
        <v>-55.654777469279757</v>
      </c>
      <c r="Y602">
        <f t="shared" si="493"/>
        <v>-175.21321513029142</v>
      </c>
      <c r="Z602">
        <f t="shared" si="510"/>
        <v>4.7867848697085833</v>
      </c>
      <c r="AC602">
        <v>1</v>
      </c>
      <c r="AD602">
        <f t="shared" si="494"/>
        <v>563.63690724768003</v>
      </c>
      <c r="AE602">
        <f t="shared" si="495"/>
        <v>-1.0305576228754212</v>
      </c>
      <c r="AF602">
        <f t="shared" si="496"/>
        <v>8.47161873999E-2</v>
      </c>
      <c r="AG602">
        <f t="shared" si="473"/>
        <v>43.693867288257515</v>
      </c>
      <c r="AH602">
        <f t="shared" si="474"/>
        <v>-543.33238333238683</v>
      </c>
      <c r="AJ602">
        <f t="shared" si="497"/>
        <v>18000</v>
      </c>
      <c r="AK602">
        <f t="shared" si="498"/>
        <v>270311.67939283198</v>
      </c>
      <c r="AL602">
        <v>1</v>
      </c>
      <c r="AM602">
        <f t="shared" si="499"/>
        <v>497.71674300902401</v>
      </c>
      <c r="AN602">
        <f t="shared" si="475"/>
        <v>543.17391771000121</v>
      </c>
      <c r="AO602">
        <f t="shared" si="476"/>
        <v>-35.073817241413337</v>
      </c>
      <c r="AQ602">
        <f t="shared" si="500"/>
        <v>6.6425758155372642E-4</v>
      </c>
      <c r="AR602">
        <f t="shared" si="501"/>
        <v>-2.5773194164284585</v>
      </c>
      <c r="AT602">
        <f t="shared" si="523"/>
        <v>-1400.3120771542972</v>
      </c>
      <c r="AU602">
        <f t="shared" si="524"/>
        <v>-112.97396519580657</v>
      </c>
      <c r="AV602">
        <f t="shared" si="511"/>
        <v>-3.0610893086099327</v>
      </c>
      <c r="AW602">
        <f t="shared" si="512"/>
        <v>498.22865539763126</v>
      </c>
      <c r="AX602">
        <f t="shared" si="513"/>
        <v>-2066.9471073283148</v>
      </c>
      <c r="AY602">
        <f t="shared" si="521"/>
        <v>-1.334262858901218</v>
      </c>
      <c r="BA602">
        <f t="shared" si="502"/>
        <v>0.66075476395421462</v>
      </c>
      <c r="BB602">
        <f t="shared" si="514"/>
        <v>-3.5991939395869714</v>
      </c>
      <c r="BC602">
        <f t="shared" si="515"/>
        <v>-1.7268264497087147</v>
      </c>
      <c r="BD602">
        <f t="shared" si="503"/>
        <v>-278.93986763292452</v>
      </c>
      <c r="BF602">
        <f t="shared" si="504"/>
        <v>-59.266430465148936</v>
      </c>
      <c r="BG602">
        <f t="shared" si="505"/>
        <v>-192.44539065755251</v>
      </c>
      <c r="BH602">
        <f t="shared" si="516"/>
        <v>-12.445390657552508</v>
      </c>
      <c r="BI602">
        <f t="shared" si="517"/>
        <v>-12.445390657552508</v>
      </c>
      <c r="BJ602">
        <f t="shared" si="506"/>
        <v>0</v>
      </c>
      <c r="BK602">
        <f t="shared" si="518"/>
        <v>0</v>
      </c>
      <c r="BM602">
        <f t="shared" si="519"/>
        <v>-55.667236525561975</v>
      </c>
      <c r="BN602">
        <f t="shared" si="507"/>
        <v>-93.505523024627976</v>
      </c>
      <c r="BQ602" s="56">
        <f t="shared" si="520"/>
        <v>13.302766860698165</v>
      </c>
    </row>
    <row r="603" spans="1:69" x14ac:dyDescent="0.25">
      <c r="A603">
        <f t="shared" si="525"/>
        <v>1945000</v>
      </c>
      <c r="B603">
        <f t="shared" si="508"/>
        <v>1945</v>
      </c>
      <c r="C603">
        <f t="shared" si="477"/>
        <v>16.162415572604271</v>
      </c>
      <c r="D603">
        <f t="shared" si="478"/>
        <v>1.5088848433330608</v>
      </c>
      <c r="F603">
        <f t="shared" si="479"/>
        <v>6.7751429809713327E-6</v>
      </c>
      <c r="G603">
        <f t="shared" si="480"/>
        <v>8.8543754005581169E-4</v>
      </c>
      <c r="H603">
        <f t="shared" si="481"/>
        <v>-3.1407072124599442</v>
      </c>
      <c r="J603">
        <f t="shared" si="482"/>
        <v>15</v>
      </c>
      <c r="M603">
        <f t="shared" si="483"/>
        <v>6.5409859577122422E-4</v>
      </c>
      <c r="N603">
        <f t="shared" si="484"/>
        <v>-1.5707963250000001</v>
      </c>
      <c r="O603">
        <f t="shared" si="485"/>
        <v>565.09046450381356</v>
      </c>
      <c r="P603">
        <f t="shared" si="486"/>
        <v>1.5690266977093847</v>
      </c>
      <c r="Q603">
        <f t="shared" si="487"/>
        <v>499.00052012384168</v>
      </c>
      <c r="R603">
        <f t="shared" si="488"/>
        <v>1.5687923195263411</v>
      </c>
      <c r="S603">
        <f t="shared" si="489"/>
        <v>6.6272597842357478E-2</v>
      </c>
      <c r="T603">
        <f t="shared" si="490"/>
        <v>-1.5044751206467222</v>
      </c>
      <c r="U603">
        <f t="shared" si="491"/>
        <v>8.1718669422958357E-2</v>
      </c>
      <c r="V603">
        <f t="shared" si="492"/>
        <v>-1.4889864308883083</v>
      </c>
      <c r="X603">
        <f t="shared" si="509"/>
        <v>-55.699330622055697</v>
      </c>
      <c r="Y603">
        <f t="shared" si="493"/>
        <v>-175.22546123753943</v>
      </c>
      <c r="Z603">
        <f t="shared" si="510"/>
        <v>4.7745387624605655</v>
      </c>
      <c r="AC603">
        <v>1</v>
      </c>
      <c r="AD603">
        <f t="shared" si="494"/>
        <v>565.08957968903997</v>
      </c>
      <c r="AE603">
        <f t="shared" si="495"/>
        <v>-1.0358766211282522</v>
      </c>
      <c r="AF603">
        <f t="shared" si="496"/>
        <v>8.4934528089074993E-2</v>
      </c>
      <c r="AG603">
        <f t="shared" si="473"/>
        <v>43.471007157227547</v>
      </c>
      <c r="AH603">
        <f t="shared" si="474"/>
        <v>-541.95391493547118</v>
      </c>
      <c r="AJ603">
        <f t="shared" si="497"/>
        <v>18000</v>
      </c>
      <c r="AK603">
        <f t="shared" si="498"/>
        <v>271008.35897889599</v>
      </c>
      <c r="AL603">
        <v>1</v>
      </c>
      <c r="AM603">
        <f t="shared" si="499"/>
        <v>498.99951811987199</v>
      </c>
      <c r="AN603">
        <f t="shared" si="475"/>
        <v>543.17355586643407</v>
      </c>
      <c r="AO603">
        <f t="shared" si="476"/>
        <v>-34.983653911946277</v>
      </c>
      <c r="AQ603">
        <f t="shared" si="500"/>
        <v>6.6084676542933459E-4</v>
      </c>
      <c r="AR603">
        <f t="shared" si="501"/>
        <v>-2.5706939175201118</v>
      </c>
      <c r="AT603">
        <f t="shared" si="523"/>
        <v>-1393.1689050263581</v>
      </c>
      <c r="AU603">
        <f t="shared" si="524"/>
        <v>-112.10880217925497</v>
      </c>
      <c r="AV603">
        <f t="shared" si="511"/>
        <v>-3.061295317365639</v>
      </c>
      <c r="AW603">
        <f t="shared" si="512"/>
        <v>498.4606210033694</v>
      </c>
      <c r="AX603">
        <f t="shared" si="513"/>
        <v>-2061.651420431363</v>
      </c>
      <c r="AY603">
        <f t="shared" si="521"/>
        <v>-1.3335714730891137</v>
      </c>
      <c r="BA603">
        <f t="shared" si="502"/>
        <v>0.6589518333338108</v>
      </c>
      <c r="BB603">
        <f t="shared" si="514"/>
        <v>-3.6229265876902965</v>
      </c>
      <c r="BC603">
        <f t="shared" si="515"/>
        <v>-1.7277238442765253</v>
      </c>
      <c r="BD603">
        <f t="shared" si="503"/>
        <v>-278.99128455427683</v>
      </c>
      <c r="BF603">
        <f t="shared" si="504"/>
        <v>-59.312606723287942</v>
      </c>
      <c r="BG603">
        <f t="shared" si="505"/>
        <v>-192.48781932712171</v>
      </c>
      <c r="BH603">
        <f t="shared" si="516"/>
        <v>-12.487819327121713</v>
      </c>
      <c r="BI603">
        <f t="shared" si="517"/>
        <v>-12.487819327121713</v>
      </c>
      <c r="BJ603">
        <f t="shared" si="506"/>
        <v>0</v>
      </c>
      <c r="BK603">
        <f t="shared" si="518"/>
        <v>0</v>
      </c>
      <c r="BM603">
        <f t="shared" si="519"/>
        <v>-55.689680135597648</v>
      </c>
      <c r="BN603">
        <f t="shared" si="507"/>
        <v>-93.49653477284491</v>
      </c>
      <c r="BQ603" s="56">
        <f t="shared" si="520"/>
        <v>13.279034212594841</v>
      </c>
    </row>
    <row r="604" spans="1:69" x14ac:dyDescent="0.25">
      <c r="A604">
        <f t="shared" si="525"/>
        <v>1950000</v>
      </c>
      <c r="B604">
        <f t="shared" si="508"/>
        <v>1950</v>
      </c>
      <c r="C604">
        <f t="shared" si="477"/>
        <v>16.203805348062176</v>
      </c>
      <c r="D604">
        <f t="shared" si="478"/>
        <v>1.5090431869344834</v>
      </c>
      <c r="F604">
        <f t="shared" si="479"/>
        <v>6.7404429802607705E-6</v>
      </c>
      <c r="G604">
        <f t="shared" si="480"/>
        <v>8.8316715774510151E-4</v>
      </c>
      <c r="H604">
        <f t="shared" si="481"/>
        <v>-3.1407094828422553</v>
      </c>
      <c r="J604">
        <f t="shared" si="482"/>
        <v>15</v>
      </c>
      <c r="M604">
        <f t="shared" si="483"/>
        <v>6.5242141988463122E-4</v>
      </c>
      <c r="N604">
        <f t="shared" si="484"/>
        <v>-1.5707963250000001</v>
      </c>
      <c r="O604">
        <f t="shared" si="485"/>
        <v>566.54313467642135</v>
      </c>
      <c r="P604">
        <f t="shared" si="486"/>
        <v>1.5690312352104236</v>
      </c>
      <c r="Q604">
        <f t="shared" si="487"/>
        <v>500.28329266545393</v>
      </c>
      <c r="R604">
        <f t="shared" si="488"/>
        <v>1.5687974579928121</v>
      </c>
      <c r="S604">
        <f t="shared" si="489"/>
        <v>6.6103411589887806E-2</v>
      </c>
      <c r="T604">
        <f t="shared" si="490"/>
        <v>-1.5046446787114485</v>
      </c>
      <c r="U604">
        <f t="shared" si="491"/>
        <v>8.1510528294418183E-2</v>
      </c>
      <c r="V604">
        <f t="shared" si="492"/>
        <v>-1.4891952687077057</v>
      </c>
      <c r="X604">
        <f t="shared" si="509"/>
        <v>-55.743770211579829</v>
      </c>
      <c r="Y604">
        <f t="shared" si="493"/>
        <v>-175.23764499584763</v>
      </c>
      <c r="Z604">
        <f t="shared" si="510"/>
        <v>4.7623550041523686</v>
      </c>
      <c r="AC604">
        <v>1</v>
      </c>
      <c r="AD604">
        <f t="shared" si="494"/>
        <v>566.54225213040002</v>
      </c>
      <c r="AE604">
        <f t="shared" si="495"/>
        <v>-1.0412093104962774</v>
      </c>
      <c r="AF604">
        <f t="shared" si="496"/>
        <v>8.5152868778249999E-2</v>
      </c>
      <c r="AG604">
        <f t="shared" si="473"/>
        <v>43.249843949661006</v>
      </c>
      <c r="AH604">
        <f t="shared" si="474"/>
        <v>-540.5823768283401</v>
      </c>
      <c r="AJ604">
        <f t="shared" si="497"/>
        <v>18000</v>
      </c>
      <c r="AK604">
        <f t="shared" si="498"/>
        <v>271705.03856496001</v>
      </c>
      <c r="AL604">
        <v>1</v>
      </c>
      <c r="AM604">
        <f t="shared" si="499"/>
        <v>500.28229323072003</v>
      </c>
      <c r="AN604">
        <f t="shared" si="475"/>
        <v>543.17319680269406</v>
      </c>
      <c r="AO604">
        <f t="shared" si="476"/>
        <v>-34.89395295297124</v>
      </c>
      <c r="AQ604">
        <f t="shared" si="500"/>
        <v>6.5746215269808328E-4</v>
      </c>
      <c r="AR604">
        <f t="shared" si="501"/>
        <v>-2.5641023955225251</v>
      </c>
      <c r="AT604">
        <f t="shared" si="523"/>
        <v>-1386.0801322673003</v>
      </c>
      <c r="AU604">
        <f t="shared" si="524"/>
        <v>-111.25244093048138</v>
      </c>
      <c r="AV604">
        <f t="shared" si="511"/>
        <v>-3.0615002768362842</v>
      </c>
      <c r="AW604">
        <f t="shared" si="512"/>
        <v>498.69078890265854</v>
      </c>
      <c r="AX604">
        <f t="shared" si="513"/>
        <v>-2056.3827557735767</v>
      </c>
      <c r="AY604">
        <f t="shared" si="521"/>
        <v>-1.3328805945352538</v>
      </c>
      <c r="BA604">
        <f t="shared" si="502"/>
        <v>0.65715786998727754</v>
      </c>
      <c r="BB604">
        <f t="shared" si="514"/>
        <v>-3.646605734274972</v>
      </c>
      <c r="BC604">
        <f t="shared" si="515"/>
        <v>-1.7286196823010305</v>
      </c>
      <c r="BD604">
        <f t="shared" si="503"/>
        <v>-279.04261229226694</v>
      </c>
      <c r="BF604">
        <f t="shared" si="504"/>
        <v>-59.358671419547107</v>
      </c>
      <c r="BG604">
        <f t="shared" si="505"/>
        <v>-192.53020472835149</v>
      </c>
      <c r="BH604">
        <f t="shared" si="516"/>
        <v>-12.530204728351492</v>
      </c>
      <c r="BI604">
        <f t="shared" si="517"/>
        <v>-12.530204728351492</v>
      </c>
      <c r="BJ604">
        <f t="shared" si="506"/>
        <v>0</v>
      </c>
      <c r="BK604">
        <f t="shared" si="518"/>
        <v>0</v>
      </c>
      <c r="BM604">
        <f t="shared" si="519"/>
        <v>-55.712065685272151</v>
      </c>
      <c r="BN604">
        <f t="shared" si="507"/>
        <v>-93.487592436084583</v>
      </c>
      <c r="BQ604" s="56">
        <f t="shared" si="520"/>
        <v>13.255355066010164</v>
      </c>
    </row>
    <row r="605" spans="1:69" x14ac:dyDescent="0.25">
      <c r="A605">
        <f t="shared" si="525"/>
        <v>1955000</v>
      </c>
      <c r="B605">
        <f t="shared" si="508"/>
        <v>1955</v>
      </c>
      <c r="C605">
        <f t="shared" si="477"/>
        <v>16.245195527722945</v>
      </c>
      <c r="D605">
        <f t="shared" si="478"/>
        <v>1.5092007236711127</v>
      </c>
      <c r="F605">
        <f t="shared" si="479"/>
        <v>6.7060088816151163E-6</v>
      </c>
      <c r="G605">
        <f t="shared" si="480"/>
        <v>8.8090838886971845E-4</v>
      </c>
      <c r="H605">
        <f t="shared" si="481"/>
        <v>-3.1407117416111303</v>
      </c>
      <c r="J605">
        <f t="shared" si="482"/>
        <v>15</v>
      </c>
      <c r="M605">
        <f t="shared" si="483"/>
        <v>6.507528229028292E-4</v>
      </c>
      <c r="N605">
        <f t="shared" si="484"/>
        <v>-1.5707963250000001</v>
      </c>
      <c r="O605">
        <f t="shared" si="485"/>
        <v>567.99580486063394</v>
      </c>
      <c r="P605">
        <f t="shared" si="486"/>
        <v>1.5690357495018108</v>
      </c>
      <c r="Q605">
        <f t="shared" si="487"/>
        <v>501.56606522020792</v>
      </c>
      <c r="R605">
        <f t="shared" si="488"/>
        <v>1.568802570175672</v>
      </c>
      <c r="S605">
        <f t="shared" si="489"/>
        <v>6.5935085082356182E-2</v>
      </c>
      <c r="T605">
        <f t="shared" si="490"/>
        <v>-1.5048133732516893</v>
      </c>
      <c r="U605">
        <f t="shared" si="491"/>
        <v>8.1303441242850216E-2</v>
      </c>
      <c r="V605">
        <f t="shared" si="492"/>
        <v>-1.4894030453822076</v>
      </c>
      <c r="X605">
        <f t="shared" si="509"/>
        <v>-55.78809681324632</v>
      </c>
      <c r="Y605">
        <f t="shared" si="493"/>
        <v>-175.24976687902478</v>
      </c>
      <c r="Z605">
        <f t="shared" si="510"/>
        <v>4.7502331209752242</v>
      </c>
      <c r="AC605">
        <v>1</v>
      </c>
      <c r="AD605">
        <f t="shared" si="494"/>
        <v>567.99492457175995</v>
      </c>
      <c r="AE605">
        <f t="shared" si="495"/>
        <v>-1.0465556909794962</v>
      </c>
      <c r="AF605">
        <f t="shared" si="496"/>
        <v>8.5371209467424991E-2</v>
      </c>
      <c r="AG605">
        <f t="shared" si="473"/>
        <v>43.030360519619457</v>
      </c>
      <c r="AH605">
        <f t="shared" si="474"/>
        <v>-539.21771723606889</v>
      </c>
      <c r="AJ605">
        <f t="shared" si="497"/>
        <v>18000</v>
      </c>
      <c r="AK605">
        <f t="shared" si="498"/>
        <v>272401.71815102396</v>
      </c>
      <c r="AL605">
        <v>1</v>
      </c>
      <c r="AM605">
        <f t="shared" si="499"/>
        <v>501.56506834156806</v>
      </c>
      <c r="AN605">
        <f t="shared" si="475"/>
        <v>543.17284049037971</v>
      </c>
      <c r="AO605">
        <f t="shared" si="476"/>
        <v>-34.804710816945175</v>
      </c>
      <c r="AQ605">
        <f t="shared" si="500"/>
        <v>6.5410347563768707E-4</v>
      </c>
      <c r="AR605">
        <f t="shared" si="501"/>
        <v>-2.5575445897433564</v>
      </c>
      <c r="AT605">
        <f t="shared" si="523"/>
        <v>-1379.0452091024972</v>
      </c>
      <c r="AU605">
        <f t="shared" si="524"/>
        <v>-110.4047699246284</v>
      </c>
      <c r="AV605">
        <f t="shared" si="511"/>
        <v>-3.061704195000063</v>
      </c>
      <c r="AW605">
        <f t="shared" si="512"/>
        <v>498.91917766026916</v>
      </c>
      <c r="AX605">
        <f t="shared" si="513"/>
        <v>-2051.1409073841673</v>
      </c>
      <c r="AY605">
        <f t="shared" si="521"/>
        <v>-1.332190221318662</v>
      </c>
      <c r="BA605">
        <f t="shared" si="502"/>
        <v>0.65537280600327241</v>
      </c>
      <c r="BB605">
        <f t="shared" si="514"/>
        <v>-3.670231663337193</v>
      </c>
      <c r="BC605">
        <f t="shared" si="515"/>
        <v>-1.7295139736814009</v>
      </c>
      <c r="BD605">
        <f t="shared" si="503"/>
        <v>-279.09385141407563</v>
      </c>
      <c r="BF605">
        <f t="shared" si="504"/>
        <v>-59.404625138627779</v>
      </c>
      <c r="BG605">
        <f t="shared" si="505"/>
        <v>-192.57254707794635</v>
      </c>
      <c r="BH605">
        <f t="shared" si="516"/>
        <v>-12.572547077946354</v>
      </c>
      <c r="BI605">
        <f t="shared" si="517"/>
        <v>-12.572547077946354</v>
      </c>
      <c r="BJ605">
        <f t="shared" si="506"/>
        <v>0</v>
      </c>
      <c r="BK605">
        <f t="shared" si="518"/>
        <v>0</v>
      </c>
      <c r="BM605">
        <f t="shared" si="519"/>
        <v>-55.734393475290595</v>
      </c>
      <c r="BN605">
        <f t="shared" si="507"/>
        <v>-93.478695663870738</v>
      </c>
      <c r="BQ605" s="56">
        <f t="shared" si="520"/>
        <v>13.231729136947942</v>
      </c>
    </row>
    <row r="606" spans="1:69" x14ac:dyDescent="0.25">
      <c r="A606">
        <f t="shared" si="525"/>
        <v>1960000</v>
      </c>
      <c r="B606">
        <f t="shared" si="508"/>
        <v>1960</v>
      </c>
      <c r="C606">
        <f t="shared" si="477"/>
        <v>16.286586108504899</v>
      </c>
      <c r="D606">
        <f t="shared" si="478"/>
        <v>1.5093574596867758</v>
      </c>
      <c r="F606">
        <f t="shared" si="479"/>
        <v>6.6718379751831391E-6</v>
      </c>
      <c r="G606">
        <f t="shared" si="480"/>
        <v>8.7866114454902789E-4</v>
      </c>
      <c r="H606">
        <f t="shared" si="481"/>
        <v>-3.1407139888554512</v>
      </c>
      <c r="J606">
        <f t="shared" si="482"/>
        <v>15</v>
      </c>
      <c r="M606">
        <f t="shared" si="483"/>
        <v>6.4909273917093419E-4</v>
      </c>
      <c r="N606">
        <f t="shared" si="484"/>
        <v>-1.5707963250000001</v>
      </c>
      <c r="O606">
        <f t="shared" si="485"/>
        <v>569.44847505636255</v>
      </c>
      <c r="P606">
        <f t="shared" si="486"/>
        <v>1.5690402407611703</v>
      </c>
      <c r="Q606">
        <f t="shared" si="487"/>
        <v>502.84883778800315</v>
      </c>
      <c r="R606">
        <f t="shared" si="488"/>
        <v>1.5688076562760698</v>
      </c>
      <c r="S606">
        <f t="shared" si="489"/>
        <v>6.5767611797282979E-2</v>
      </c>
      <c r="T606">
        <f t="shared" si="490"/>
        <v>-1.5049812108377909</v>
      </c>
      <c r="U606">
        <f t="shared" si="491"/>
        <v>8.1097400308034376E-2</v>
      </c>
      <c r="V606">
        <f t="shared" si="492"/>
        <v>-1.4896097689613341</v>
      </c>
      <c r="X606">
        <f t="shared" si="509"/>
        <v>-55.832310998102912</v>
      </c>
      <c r="Y606">
        <f t="shared" si="493"/>
        <v>-175.26182735610257</v>
      </c>
      <c r="Z606">
        <f t="shared" si="510"/>
        <v>4.7381726438974283</v>
      </c>
      <c r="AC606">
        <v>1</v>
      </c>
      <c r="AD606">
        <f t="shared" si="494"/>
        <v>569.44759701312</v>
      </c>
      <c r="AE606">
        <f t="shared" si="495"/>
        <v>-1.051915762577909</v>
      </c>
      <c r="AF606">
        <f t="shared" si="496"/>
        <v>8.5589550156599997E-2</v>
      </c>
      <c r="AG606">
        <f t="shared" si="473"/>
        <v>42.812539936691437</v>
      </c>
      <c r="AH606">
        <f t="shared" si="474"/>
        <v>-537.85988489451222</v>
      </c>
      <c r="AJ606">
        <f t="shared" si="497"/>
        <v>18000</v>
      </c>
      <c r="AK606">
        <f t="shared" si="498"/>
        <v>273098.39773708803</v>
      </c>
      <c r="AL606">
        <v>1</v>
      </c>
      <c r="AM606">
        <f t="shared" si="499"/>
        <v>502.84784345241604</v>
      </c>
      <c r="AN606">
        <f t="shared" si="475"/>
        <v>543.17248690145141</v>
      </c>
      <c r="AO606">
        <f t="shared" si="476"/>
        <v>-34.715923992523734</v>
      </c>
      <c r="AQ606">
        <f t="shared" si="500"/>
        <v>6.5077046993632407E-4</v>
      </c>
      <c r="AR606">
        <f t="shared" si="501"/>
        <v>-2.5510202421503902</v>
      </c>
      <c r="AT606">
        <f t="shared" si="523"/>
        <v>-1372.063592669846</v>
      </c>
      <c r="AU606">
        <f t="shared" si="524"/>
        <v>-109.56567932642453</v>
      </c>
      <c r="AV606">
        <f t="shared" si="511"/>
        <v>-3.0619070797546741</v>
      </c>
      <c r="AW606">
        <f t="shared" si="512"/>
        <v>499.14580560150011</v>
      </c>
      <c r="AX606">
        <f t="shared" si="513"/>
        <v>-2045.9256713770405</v>
      </c>
      <c r="AY606">
        <f t="shared" si="521"/>
        <v>-1.331500351542042</v>
      </c>
      <c r="BA606">
        <f t="shared" si="502"/>
        <v>0.6535965741573847</v>
      </c>
      <c r="BB606">
        <f t="shared" si="514"/>
        <v>-3.6938046566989549</v>
      </c>
      <c r="BC606">
        <f t="shared" si="515"/>
        <v>-1.7304067282126321</v>
      </c>
      <c r="BD606">
        <f t="shared" si="503"/>
        <v>-279.1450024809148</v>
      </c>
      <c r="BF606">
        <f t="shared" si="504"/>
        <v>-59.45046846071903</v>
      </c>
      <c r="BG606">
        <f t="shared" si="505"/>
        <v>-192.61484659019533</v>
      </c>
      <c r="BH606">
        <f t="shared" si="516"/>
        <v>-12.614846590195327</v>
      </c>
      <c r="BI606">
        <f t="shared" si="517"/>
        <v>-12.614846590195327</v>
      </c>
      <c r="BJ606">
        <f t="shared" si="506"/>
        <v>0</v>
      </c>
      <c r="BK606">
        <f t="shared" si="518"/>
        <v>0</v>
      </c>
      <c r="BM606">
        <f t="shared" si="519"/>
        <v>-55.756663804020079</v>
      </c>
      <c r="BN606">
        <f t="shared" si="507"/>
        <v>-93.469844109280544</v>
      </c>
      <c r="BQ606" s="56">
        <f t="shared" si="520"/>
        <v>13.20815614358618</v>
      </c>
    </row>
    <row r="607" spans="1:69" x14ac:dyDescent="0.25">
      <c r="A607">
        <f t="shared" si="525"/>
        <v>1965000</v>
      </c>
      <c r="B607">
        <f t="shared" si="508"/>
        <v>1965</v>
      </c>
      <c r="C607">
        <f t="shared" si="477"/>
        <v>16.327977087357564</v>
      </c>
      <c r="D607">
        <f t="shared" si="478"/>
        <v>1.5095134010631606</v>
      </c>
      <c r="F607">
        <f t="shared" si="479"/>
        <v>6.6379275855465997E-6</v>
      </c>
      <c r="G607">
        <f t="shared" si="480"/>
        <v>8.7642533680706174E-4</v>
      </c>
      <c r="H607">
        <f t="shared" si="481"/>
        <v>-3.1407162246631932</v>
      </c>
      <c r="J607">
        <f t="shared" si="482"/>
        <v>15</v>
      </c>
      <c r="M607">
        <f t="shared" si="483"/>
        <v>6.4744110370230587E-4</v>
      </c>
      <c r="N607">
        <f t="shared" si="484"/>
        <v>-1.5707963250000001</v>
      </c>
      <c r="O607">
        <f t="shared" si="485"/>
        <v>570.9011452635192</v>
      </c>
      <c r="P607">
        <f t="shared" si="486"/>
        <v>1.5690447091643183</v>
      </c>
      <c r="Q607">
        <f t="shared" si="487"/>
        <v>504.13161036874021</v>
      </c>
      <c r="R607">
        <f t="shared" si="488"/>
        <v>1.5688127164931069</v>
      </c>
      <c r="S607">
        <f t="shared" si="489"/>
        <v>6.5600985277854851E-2</v>
      </c>
      <c r="T607">
        <f t="shared" si="490"/>
        <v>-1.5051481979737089</v>
      </c>
      <c r="U607">
        <f t="shared" si="491"/>
        <v>8.0892397609431649E-2</v>
      </c>
      <c r="V607">
        <f t="shared" si="492"/>
        <v>-1.4898154474135756</v>
      </c>
      <c r="X607">
        <f t="shared" si="509"/>
        <v>-55.876413332894465</v>
      </c>
      <c r="Y607">
        <f t="shared" si="493"/>
        <v>-175.27382689139549</v>
      </c>
      <c r="Z607">
        <f t="shared" si="510"/>
        <v>4.7261731086045131</v>
      </c>
      <c r="AC607">
        <v>1</v>
      </c>
      <c r="AD607">
        <f t="shared" si="494"/>
        <v>570.90026945448005</v>
      </c>
      <c r="AE607">
        <f t="shared" si="495"/>
        <v>-1.0572895252915158</v>
      </c>
      <c r="AF607">
        <f t="shared" si="496"/>
        <v>8.5807890845775003E-2</v>
      </c>
      <c r="AG607">
        <f t="shared" si="473"/>
        <v>42.596365482756852</v>
      </c>
      <c r="AH607">
        <f t="shared" si="474"/>
        <v>-536.5088290440674</v>
      </c>
      <c r="AJ607">
        <f t="shared" si="497"/>
        <v>18000</v>
      </c>
      <c r="AK607">
        <f t="shared" si="498"/>
        <v>273795.07732315199</v>
      </c>
      <c r="AL607">
        <v>1</v>
      </c>
      <c r="AM607">
        <f t="shared" si="499"/>
        <v>504.13061856326397</v>
      </c>
      <c r="AN607">
        <f t="shared" si="475"/>
        <v>543.17213600822561</v>
      </c>
      <c r="AO607">
        <f t="shared" si="476"/>
        <v>-34.62758900410072</v>
      </c>
      <c r="AQ607">
        <f t="shared" si="500"/>
        <v>6.4746287464063381E-4</v>
      </c>
      <c r="AR607">
        <f t="shared" si="501"/>
        <v>-2.5445290973376911</v>
      </c>
      <c r="AT607">
        <f t="shared" si="523"/>
        <v>-1365.1347469159577</v>
      </c>
      <c r="AU607">
        <f t="shared" si="524"/>
        <v>-108.73506096042863</v>
      </c>
      <c r="AV607">
        <f t="shared" si="511"/>
        <v>-3.0621089389183336</v>
      </c>
      <c r="AW607">
        <f t="shared" si="512"/>
        <v>499.37069081588129</v>
      </c>
      <c r="AX607">
        <f t="shared" si="513"/>
        <v>-2040.7368459245254</v>
      </c>
      <c r="AY607">
        <f t="shared" si="521"/>
        <v>-1.3308109833314494</v>
      </c>
      <c r="BA607">
        <f t="shared" si="502"/>
        <v>0.65182910790348858</v>
      </c>
      <c r="BB607">
        <f t="shared" si="514"/>
        <v>-3.7173249940297919</v>
      </c>
      <c r="BC607">
        <f t="shared" si="515"/>
        <v>-1.7312979555868842</v>
      </c>
      <c r="BD607">
        <f t="shared" si="503"/>
        <v>-279.19606604810434</v>
      </c>
      <c r="BF607">
        <f t="shared" si="504"/>
        <v>-59.496201961543704</v>
      </c>
      <c r="BG607">
        <f t="shared" si="505"/>
        <v>-192.65710347700391</v>
      </c>
      <c r="BH607">
        <f t="shared" si="516"/>
        <v>-12.657103477003915</v>
      </c>
      <c r="BI607">
        <f t="shared" si="517"/>
        <v>-12.657103477003915</v>
      </c>
      <c r="BJ607">
        <f t="shared" si="506"/>
        <v>0</v>
      </c>
      <c r="BK607">
        <f t="shared" si="518"/>
        <v>0</v>
      </c>
      <c r="BM607">
        <f t="shared" si="519"/>
        <v>-55.778876967513909</v>
      </c>
      <c r="BN607">
        <f t="shared" si="507"/>
        <v>-93.461037428899587</v>
      </c>
      <c r="BQ607" s="56">
        <f t="shared" si="520"/>
        <v>13.184635806255345</v>
      </c>
    </row>
    <row r="608" spans="1:69" x14ac:dyDescent="0.25">
      <c r="A608">
        <f t="shared" si="525"/>
        <v>1970000</v>
      </c>
      <c r="B608">
        <f t="shared" si="508"/>
        <v>1970</v>
      </c>
      <c r="C608">
        <f t="shared" si="477"/>
        <v>16.369368461261303</v>
      </c>
      <c r="D608">
        <f t="shared" si="478"/>
        <v>1.5096685538205974</v>
      </c>
      <c r="F608">
        <f t="shared" si="479"/>
        <v>6.6042750711965509E-6</v>
      </c>
      <c r="G608">
        <f t="shared" si="480"/>
        <v>8.742008785610374E-4</v>
      </c>
      <c r="H608">
        <f t="shared" si="481"/>
        <v>-3.1407184491214393</v>
      </c>
      <c r="J608">
        <f t="shared" si="482"/>
        <v>15</v>
      </c>
      <c r="M608">
        <f t="shared" si="483"/>
        <v>6.4579785217006643E-4</v>
      </c>
      <c r="N608">
        <f t="shared" si="484"/>
        <v>-1.5707963250000001</v>
      </c>
      <c r="O608">
        <f t="shared" si="485"/>
        <v>572.35381548201701</v>
      </c>
      <c r="P608">
        <f t="shared" si="486"/>
        <v>1.5690491548852863</v>
      </c>
      <c r="Q608">
        <f t="shared" si="487"/>
        <v>505.4143829623203</v>
      </c>
      <c r="R608">
        <f t="shared" si="488"/>
        <v>1.5688177510238641</v>
      </c>
      <c r="S608">
        <f t="shared" si="489"/>
        <v>6.5435199132102231E-2</v>
      </c>
      <c r="T608">
        <f t="shared" si="490"/>
        <v>-1.5053143410978422</v>
      </c>
      <c r="U608">
        <f t="shared" si="491"/>
        <v>8.0688425345193132E-2</v>
      </c>
      <c r="V608">
        <f t="shared" si="492"/>
        <v>-1.4900200886274075</v>
      </c>
      <c r="X608">
        <f t="shared" si="509"/>
        <v>-55.920404380105921</v>
      </c>
      <c r="Y608">
        <f t="shared" si="493"/>
        <v>-175.28576594455981</v>
      </c>
      <c r="Z608">
        <f t="shared" si="510"/>
        <v>4.7142340554401869</v>
      </c>
      <c r="AC608">
        <v>1</v>
      </c>
      <c r="AD608">
        <f t="shared" si="494"/>
        <v>572.35294189583999</v>
      </c>
      <c r="AE608">
        <f t="shared" si="495"/>
        <v>-1.0626769791203163</v>
      </c>
      <c r="AF608">
        <f t="shared" si="496"/>
        <v>8.6026231534949996E-2</v>
      </c>
      <c r="AG608">
        <f t="shared" si="473"/>
        <v>42.381820648807867</v>
      </c>
      <c r="AH608">
        <f t="shared" si="474"/>
        <v>-535.16449942352983</v>
      </c>
      <c r="AJ608">
        <f t="shared" si="497"/>
        <v>18000</v>
      </c>
      <c r="AK608">
        <f t="shared" si="498"/>
        <v>274491.756909216</v>
      </c>
      <c r="AL608">
        <v>1</v>
      </c>
      <c r="AM608">
        <f t="shared" si="499"/>
        <v>505.413393674112</v>
      </c>
      <c r="AN608">
        <f t="shared" si="475"/>
        <v>543.1717877833695</v>
      </c>
      <c r="AO608">
        <f t="shared" si="476"/>
        <v>-34.53970241135459</v>
      </c>
      <c r="AQ608">
        <f t="shared" si="500"/>
        <v>6.4418043210463858E-4</v>
      </c>
      <c r="AR608">
        <f t="shared" si="501"/>
        <v>-2.5380709024922763</v>
      </c>
      <c r="AT608">
        <f t="shared" si="523"/>
        <v>-1358.2581424941668</v>
      </c>
      <c r="AU608">
        <f t="shared" si="524"/>
        <v>-107.91280828187129</v>
      </c>
      <c r="AV608">
        <f t="shared" si="511"/>
        <v>-3.0623097802307653</v>
      </c>
      <c r="AW608">
        <f t="shared" si="512"/>
        <v>499.59385116081108</v>
      </c>
      <c r="AX608">
        <f t="shared" si="513"/>
        <v>-2035.5742312315026</v>
      </c>
      <c r="AY608">
        <f t="shared" si="521"/>
        <v>-1.3301221148359685</v>
      </c>
      <c r="BA608">
        <f t="shared" si="502"/>
        <v>0.65007034136523112</v>
      </c>
      <c r="BB608">
        <f t="shared" si="514"/>
        <v>-3.7407929528681838</v>
      </c>
      <c r="BC608">
        <f t="shared" si="515"/>
        <v>-1.7321876653947967</v>
      </c>
      <c r="BD608">
        <f t="shared" si="503"/>
        <v>-279.24704266514738</v>
      </c>
      <c r="BF608">
        <f t="shared" si="504"/>
        <v>-59.54182621240372</v>
      </c>
      <c r="BG608">
        <f t="shared" si="505"/>
        <v>-192.69931794792521</v>
      </c>
      <c r="BH608">
        <f t="shared" si="516"/>
        <v>-12.699317947925209</v>
      </c>
      <c r="BI608">
        <f t="shared" si="517"/>
        <v>-12.699317947925209</v>
      </c>
      <c r="BJ608">
        <f t="shared" si="506"/>
        <v>0</v>
      </c>
      <c r="BK608">
        <f t="shared" si="518"/>
        <v>0</v>
      </c>
      <c r="BM608">
        <f t="shared" si="519"/>
        <v>-55.801033259535544</v>
      </c>
      <c r="BN608">
        <f t="shared" si="507"/>
        <v>-93.452275282777833</v>
      </c>
      <c r="BQ608" s="56">
        <f t="shared" si="520"/>
        <v>13.161167847416952</v>
      </c>
    </row>
    <row r="609" spans="1:69" x14ac:dyDescent="0.25">
      <c r="A609">
        <f t="shared" si="525"/>
        <v>1975000</v>
      </c>
      <c r="B609">
        <f t="shared" si="508"/>
        <v>1975</v>
      </c>
      <c r="C609">
        <f t="shared" si="477"/>
        <v>16.410760227226916</v>
      </c>
      <c r="D609">
        <f t="shared" si="478"/>
        <v>1.509822923918831</v>
      </c>
      <c r="F609">
        <f t="shared" si="479"/>
        <v>6.5708778240189042E-6</v>
      </c>
      <c r="G609">
        <f t="shared" si="480"/>
        <v>8.7198768361005166E-4</v>
      </c>
      <c r="H609">
        <f t="shared" si="481"/>
        <v>-3.1407206623163901</v>
      </c>
      <c r="J609">
        <f t="shared" si="482"/>
        <v>15</v>
      </c>
      <c r="M609">
        <f t="shared" si="483"/>
        <v>6.4416292089874993E-4</v>
      </c>
      <c r="N609">
        <f t="shared" si="484"/>
        <v>-1.5707963250000001</v>
      </c>
      <c r="O609">
        <f t="shared" si="485"/>
        <v>573.80648571176971</v>
      </c>
      <c r="P609">
        <f t="shared" si="486"/>
        <v>1.5690535780963433</v>
      </c>
      <c r="Q609">
        <f t="shared" si="487"/>
        <v>506.69715556864611</v>
      </c>
      <c r="R609">
        <f t="shared" si="488"/>
        <v>1.5688227600634257</v>
      </c>
      <c r="S609">
        <f t="shared" si="489"/>
        <v>6.5270247032089196E-2</v>
      </c>
      <c r="T609">
        <f t="shared" si="490"/>
        <v>-1.5054796465838562</v>
      </c>
      <c r="U609">
        <f t="shared" si="491"/>
        <v>8.0485475791183439E-2</v>
      </c>
      <c r="V609">
        <f t="shared" si="492"/>
        <v>-1.4902237004122887</v>
      </c>
      <c r="X609">
        <f t="shared" si="509"/>
        <v>-55.964284698004725</v>
      </c>
      <c r="Y609">
        <f t="shared" si="493"/>
        <v>-175.2976449706515</v>
      </c>
      <c r="Z609">
        <f t="shared" si="510"/>
        <v>4.7023550293484959</v>
      </c>
      <c r="AC609">
        <v>1</v>
      </c>
      <c r="AD609">
        <f t="shared" si="494"/>
        <v>573.80561433720004</v>
      </c>
      <c r="AE609">
        <f t="shared" si="495"/>
        <v>-1.0680781240643109</v>
      </c>
      <c r="AF609">
        <f t="shared" si="496"/>
        <v>8.6244572224125002E-2</v>
      </c>
      <c r="AG609">
        <f t="shared" si="473"/>
        <v>42.168889131825011</v>
      </c>
      <c r="AH609">
        <f t="shared" si="474"/>
        <v>-533.82684626403648</v>
      </c>
      <c r="AJ609">
        <f t="shared" si="497"/>
        <v>18000</v>
      </c>
      <c r="AK609">
        <f t="shared" si="498"/>
        <v>275188.43649528001</v>
      </c>
      <c r="AL609">
        <v>1</v>
      </c>
      <c r="AM609">
        <f t="shared" si="499"/>
        <v>506.69616878495998</v>
      </c>
      <c r="AN609">
        <f t="shared" si="475"/>
        <v>543.17144219989643</v>
      </c>
      <c r="AO609">
        <f t="shared" si="476"/>
        <v>-34.45226080880181</v>
      </c>
      <c r="AQ609">
        <f t="shared" si="500"/>
        <v>6.4092288793956816E-4</v>
      </c>
      <c r="AR609">
        <f t="shared" si="501"/>
        <v>-2.5316454073612942</v>
      </c>
      <c r="AT609">
        <f t="shared" si="523"/>
        <v>-1351.4332566643081</v>
      </c>
      <c r="AU609">
        <f t="shared" si="524"/>
        <v>-107.09881634807959</v>
      </c>
      <c r="AV609">
        <f t="shared" si="511"/>
        <v>-3.0625096113541854</v>
      </c>
      <c r="AW609">
        <f t="shared" si="512"/>
        <v>499.81530426512825</v>
      </c>
      <c r="AX609">
        <f t="shared" si="513"/>
        <v>-2030.4376295099257</v>
      </c>
      <c r="AY609">
        <f t="shared" si="521"/>
        <v>-1.3294337442273954</v>
      </c>
      <c r="BA609">
        <f t="shared" si="502"/>
        <v>0.64832020932764445</v>
      </c>
      <c r="BB609">
        <f t="shared" si="514"/>
        <v>-3.7642088086427394</v>
      </c>
      <c r="BC609">
        <f t="shared" si="515"/>
        <v>-1.7330758671267901</v>
      </c>
      <c r="BD609">
        <f t="shared" si="503"/>
        <v>-279.29793287580492</v>
      </c>
      <c r="BF609">
        <f t="shared" si="504"/>
        <v>-59.587341780224932</v>
      </c>
      <c r="BG609">
        <f t="shared" si="505"/>
        <v>-192.74149021019093</v>
      </c>
      <c r="BH609">
        <f t="shared" si="516"/>
        <v>-12.741490210190932</v>
      </c>
      <c r="BI609">
        <f t="shared" si="517"/>
        <v>-12.741490210190932</v>
      </c>
      <c r="BJ609">
        <f t="shared" si="506"/>
        <v>0</v>
      </c>
      <c r="BK609">
        <f t="shared" si="518"/>
        <v>0</v>
      </c>
      <c r="BM609">
        <f t="shared" si="519"/>
        <v>-55.823132971582197</v>
      </c>
      <c r="BN609">
        <f t="shared" si="507"/>
        <v>-93.443557334385986</v>
      </c>
      <c r="BQ609" s="56">
        <f t="shared" si="520"/>
        <v>13.137751991642396</v>
      </c>
    </row>
    <row r="610" spans="1:69" x14ac:dyDescent="0.25">
      <c r="A610">
        <f t="shared" si="525"/>
        <v>1980000</v>
      </c>
      <c r="B610">
        <f t="shared" si="508"/>
        <v>1980</v>
      </c>
      <c r="C610">
        <f t="shared" si="477"/>
        <v>16.452152382295246</v>
      </c>
      <c r="D610">
        <f t="shared" si="478"/>
        <v>1.5099765172577795</v>
      </c>
      <c r="F610">
        <f t="shared" si="479"/>
        <v>6.5377332687890884E-6</v>
      </c>
      <c r="G610">
        <f t="shared" si="480"/>
        <v>8.6978566662394548E-4</v>
      </c>
      <c r="H610">
        <f t="shared" si="481"/>
        <v>-3.1407228643333762</v>
      </c>
      <c r="J610">
        <f t="shared" si="482"/>
        <v>15</v>
      </c>
      <c r="M610">
        <f t="shared" si="483"/>
        <v>6.4253624685607625E-4</v>
      </c>
      <c r="N610">
        <f t="shared" si="484"/>
        <v>-1.5707963250000001</v>
      </c>
      <c r="O610">
        <f t="shared" si="485"/>
        <v>575.25915595269225</v>
      </c>
      <c r="P610">
        <f t="shared" si="486"/>
        <v>1.5690579789680181</v>
      </c>
      <c r="Q610">
        <f t="shared" si="487"/>
        <v>507.97992818762094</v>
      </c>
      <c r="R610">
        <f t="shared" si="488"/>
        <v>1.5688277438049061</v>
      </c>
      <c r="S610">
        <f t="shared" si="489"/>
        <v>6.5106122713115347E-2</v>
      </c>
      <c r="T610">
        <f t="shared" si="490"/>
        <v>-1.5056441207414937</v>
      </c>
      <c r="U610">
        <f t="shared" si="491"/>
        <v>8.0283541300018885E-2</v>
      </c>
      <c r="V610">
        <f t="shared" si="492"/>
        <v>-1.4904262904996479</v>
      </c>
      <c r="X610">
        <f t="shared" si="509"/>
        <v>-56.008054840682775</v>
      </c>
      <c r="Y610">
        <f t="shared" si="493"/>
        <v>-175.30946442018396</v>
      </c>
      <c r="Z610">
        <f t="shared" si="510"/>
        <v>4.6905355798160429</v>
      </c>
      <c r="AC610">
        <v>1</v>
      </c>
      <c r="AD610">
        <f t="shared" si="494"/>
        <v>575.25828677855998</v>
      </c>
      <c r="AE610">
        <f t="shared" si="495"/>
        <v>-1.0734929601234993</v>
      </c>
      <c r="AF610">
        <f t="shared" si="496"/>
        <v>8.6462912913299994E-2</v>
      </c>
      <c r="AG610">
        <f t="shared" si="473"/>
        <v>41.957554831707334</v>
      </c>
      <c r="AH610">
        <f t="shared" si="474"/>
        <v>-532.49582028309544</v>
      </c>
      <c r="AJ610">
        <f t="shared" si="497"/>
        <v>18000</v>
      </c>
      <c r="AK610">
        <f t="shared" si="498"/>
        <v>275885.11608134396</v>
      </c>
      <c r="AL610">
        <v>1</v>
      </c>
      <c r="AM610">
        <f t="shared" si="499"/>
        <v>507.97894389580802</v>
      </c>
      <c r="AN610">
        <f t="shared" si="475"/>
        <v>543.17109923115902</v>
      </c>
      <c r="AO610">
        <f t="shared" si="476"/>
        <v>-34.365260825357019</v>
      </c>
      <c r="AQ610">
        <f t="shared" si="500"/>
        <v>6.3768999096457048E-4</v>
      </c>
      <c r="AR610">
        <f t="shared" si="501"/>
        <v>-2.5252523642196993</v>
      </c>
      <c r="AT610">
        <f t="shared" si="523"/>
        <v>-1344.6595731942334</v>
      </c>
      <c r="AU610">
        <f t="shared" si="524"/>
        <v>-106.29298179047161</v>
      </c>
      <c r="AV610">
        <f t="shared" si="511"/>
        <v>-3.0627084398742657</v>
      </c>
      <c r="AW610">
        <f t="shared" si="512"/>
        <v>500.03506753261797</v>
      </c>
      <c r="AX610">
        <f t="shared" si="513"/>
        <v>-2025.3268449537104</v>
      </c>
      <c r="AY610">
        <f t="shared" si="521"/>
        <v>-1.3287458696999239</v>
      </c>
      <c r="BA610">
        <f t="shared" si="502"/>
        <v>0.6465786472288847</v>
      </c>
      <c r="BB610">
        <f t="shared" si="514"/>
        <v>-3.7875728346931021</v>
      </c>
      <c r="BC610">
        <f t="shared" si="515"/>
        <v>-1.7339625701743417</v>
      </c>
      <c r="BD610">
        <f t="shared" si="503"/>
        <v>-279.34873721816911</v>
      </c>
      <c r="BF610">
        <f t="shared" si="504"/>
        <v>-59.632749227601295</v>
      </c>
      <c r="BG610">
        <f t="shared" si="505"/>
        <v>-192.78362046874182</v>
      </c>
      <c r="BH610">
        <f t="shared" si="516"/>
        <v>-12.783620468741816</v>
      </c>
      <c r="BI610">
        <f t="shared" si="517"/>
        <v>-12.783620468741816</v>
      </c>
      <c r="BJ610">
        <f t="shared" si="506"/>
        <v>0</v>
      </c>
      <c r="BK610">
        <f t="shared" si="518"/>
        <v>0</v>
      </c>
      <c r="BM610">
        <f t="shared" si="519"/>
        <v>-55.845176392908193</v>
      </c>
      <c r="BN610">
        <f t="shared" si="507"/>
        <v>-93.434883250572724</v>
      </c>
      <c r="BQ610" s="56">
        <f t="shared" si="520"/>
        <v>13.114387965592034</v>
      </c>
    </row>
    <row r="611" spans="1:69" x14ac:dyDescent="0.25">
      <c r="A611">
        <f t="shared" si="525"/>
        <v>1985000</v>
      </c>
      <c r="B611">
        <f t="shared" si="508"/>
        <v>1985</v>
      </c>
      <c r="C611">
        <f t="shared" si="477"/>
        <v>16.493544923536824</v>
      </c>
      <c r="D611">
        <f t="shared" si="478"/>
        <v>1.5101293396782822</v>
      </c>
      <c r="F611">
        <f t="shared" si="479"/>
        <v>6.5048388626755889E-6</v>
      </c>
      <c r="G611">
        <f t="shared" si="480"/>
        <v>8.6759474313233612E-4</v>
      </c>
      <c r="H611">
        <f t="shared" si="481"/>
        <v>-3.1407250552568677</v>
      </c>
      <c r="J611">
        <f t="shared" si="482"/>
        <v>15</v>
      </c>
      <c r="M611">
        <f t="shared" si="483"/>
        <v>6.4091776764485194E-4</v>
      </c>
      <c r="N611">
        <f t="shared" si="484"/>
        <v>-1.5707963250000001</v>
      </c>
      <c r="O611">
        <f t="shared" si="485"/>
        <v>576.71182620470006</v>
      </c>
      <c r="P611">
        <f t="shared" si="486"/>
        <v>1.5690623576691216</v>
      </c>
      <c r="Q611">
        <f t="shared" si="487"/>
        <v>509.26270081914925</v>
      </c>
      <c r="R611">
        <f t="shared" si="488"/>
        <v>1.5688327024394735</v>
      </c>
      <c r="S611">
        <f t="shared" si="489"/>
        <v>6.4942819972929638E-2</v>
      </c>
      <c r="T611">
        <f t="shared" si="490"/>
        <v>-1.5058077698173724</v>
      </c>
      <c r="U611">
        <f t="shared" si="491"/>
        <v>8.0082614300119717E-2</v>
      </c>
      <c r="V611">
        <f t="shared" si="492"/>
        <v>-1.4906278665438524</v>
      </c>
      <c r="X611">
        <f t="shared" si="509"/>
        <v>-56.051715358097731</v>
      </c>
      <c r="Y611">
        <f t="shared" si="493"/>
        <v>-175.32122473918403</v>
      </c>
      <c r="Z611">
        <f t="shared" si="510"/>
        <v>4.6787752608159678</v>
      </c>
      <c r="AC611">
        <v>1</v>
      </c>
      <c r="AD611">
        <f t="shared" si="494"/>
        <v>576.71095921992003</v>
      </c>
      <c r="AE611">
        <f t="shared" si="495"/>
        <v>-1.0789214872978816</v>
      </c>
      <c r="AF611">
        <f t="shared" si="496"/>
        <v>8.6681253602475E-2</v>
      </c>
      <c r="AG611">
        <f t="shared" si="473"/>
        <v>41.747801848255953</v>
      </c>
      <c r="AH611">
        <f t="shared" si="474"/>
        <v>-531.17137267870476</v>
      </c>
      <c r="AJ611">
        <f t="shared" si="497"/>
        <v>18000</v>
      </c>
      <c r="AK611">
        <f t="shared" si="498"/>
        <v>276581.79566740798</v>
      </c>
      <c r="AL611">
        <v>1</v>
      </c>
      <c r="AM611">
        <f t="shared" si="499"/>
        <v>509.26171900665599</v>
      </c>
      <c r="AN611">
        <f t="shared" si="475"/>
        <v>543.17075885084648</v>
      </c>
      <c r="AO611">
        <f t="shared" si="476"/>
        <v>-34.278699123899777</v>
      </c>
      <c r="AQ611">
        <f t="shared" si="500"/>
        <v>6.344814931582909E-4</v>
      </c>
      <c r="AR611">
        <f t="shared" si="501"/>
        <v>-2.5188915278384147</v>
      </c>
      <c r="AT611">
        <f t="shared" si="523"/>
        <v>-1337.9365822630377</v>
      </c>
      <c r="AU611">
        <f t="shared" si="524"/>
        <v>-105.49520278710895</v>
      </c>
      <c r="AV611">
        <f t="shared" si="511"/>
        <v>-3.0629062733010857</v>
      </c>
      <c r="AW611">
        <f t="shared" si="512"/>
        <v>500.25315814545877</v>
      </c>
      <c r="AX611">
        <f t="shared" si="513"/>
        <v>-2020.2416837140199</v>
      </c>
      <c r="AY611">
        <f t="shared" si="521"/>
        <v>-1.3280584894698406</v>
      </c>
      <c r="BA611">
        <f t="shared" si="502"/>
        <v>0.64484559115209372</v>
      </c>
      <c r="BB611">
        <f t="shared" si="514"/>
        <v>-3.8108853022906057</v>
      </c>
      <c r="BC611">
        <f t="shared" si="515"/>
        <v>-1.734847783831245</v>
      </c>
      <c r="BD611">
        <f t="shared" si="503"/>
        <v>-279.39945622473499</v>
      </c>
      <c r="BF611">
        <f t="shared" si="504"/>
        <v>-59.678049112838593</v>
      </c>
      <c r="BG611">
        <f t="shared" si="505"/>
        <v>-192.82570892625733</v>
      </c>
      <c r="BH611">
        <f t="shared" si="516"/>
        <v>-12.825708926257334</v>
      </c>
      <c r="BI611">
        <f t="shared" si="517"/>
        <v>-12.825708926257334</v>
      </c>
      <c r="BJ611">
        <f t="shared" si="506"/>
        <v>0</v>
      </c>
      <c r="BK611">
        <f t="shared" si="518"/>
        <v>0</v>
      </c>
      <c r="BM611">
        <f t="shared" si="519"/>
        <v>-55.867163810547986</v>
      </c>
      <c r="BN611">
        <f t="shared" si="507"/>
        <v>-93.426252701522372</v>
      </c>
      <c r="BQ611" s="56">
        <f t="shared" si="520"/>
        <v>13.091075497994531</v>
      </c>
    </row>
    <row r="612" spans="1:69" x14ac:dyDescent="0.25">
      <c r="A612">
        <f t="shared" si="525"/>
        <v>1990000</v>
      </c>
      <c r="B612">
        <f t="shared" si="508"/>
        <v>1990</v>
      </c>
      <c r="C612">
        <f t="shared" si="477"/>
        <v>16.534937848051484</v>
      </c>
      <c r="D612">
        <f t="shared" si="478"/>
        <v>1.5102813969628364</v>
      </c>
      <c r="F612">
        <f t="shared" si="479"/>
        <v>6.4721920947522169E-6</v>
      </c>
      <c r="G612">
        <f t="shared" si="480"/>
        <v>8.6541482951381637E-4</v>
      </c>
      <c r="H612">
        <f t="shared" si="481"/>
        <v>-3.1407272351704862</v>
      </c>
      <c r="J612">
        <f t="shared" si="482"/>
        <v>15</v>
      </c>
      <c r="M612">
        <f t="shared" si="483"/>
        <v>6.3930742149499048E-4</v>
      </c>
      <c r="N612">
        <f t="shared" si="484"/>
        <v>-1.5707963250000001</v>
      </c>
      <c r="O612">
        <f t="shared" si="485"/>
        <v>578.16449646770968</v>
      </c>
      <c r="P612">
        <f t="shared" si="486"/>
        <v>1.5690667143667678</v>
      </c>
      <c r="Q612">
        <f t="shared" si="487"/>
        <v>510.54547346313643</v>
      </c>
      <c r="R612">
        <f t="shared" si="488"/>
        <v>1.5688376361563752</v>
      </c>
      <c r="S612">
        <f t="shared" si="489"/>
        <v>6.4780332670955787E-2</v>
      </c>
      <c r="T612">
        <f t="shared" si="490"/>
        <v>-1.5059705999957711</v>
      </c>
      <c r="U612">
        <f t="shared" si="491"/>
        <v>7.9882687294776322E-2</v>
      </c>
      <c r="V612">
        <f t="shared" si="492"/>
        <v>-1.4908284361231643</v>
      </c>
      <c r="X612">
        <f t="shared" si="509"/>
        <v>-56.095266796114018</v>
      </c>
      <c r="Y612">
        <f t="shared" si="493"/>
        <v>-175.33292636924762</v>
      </c>
      <c r="Z612">
        <f t="shared" si="510"/>
        <v>4.6670736307523839</v>
      </c>
      <c r="AC612">
        <v>1</v>
      </c>
      <c r="AD612">
        <f t="shared" si="494"/>
        <v>578.16363166128008</v>
      </c>
      <c r="AE612">
        <f t="shared" si="495"/>
        <v>-1.0843637055874578</v>
      </c>
      <c r="AF612">
        <f t="shared" si="496"/>
        <v>8.6899594291650006E-2</v>
      </c>
      <c r="AG612">
        <f t="shared" si="473"/>
        <v>41.539614478209451</v>
      </c>
      <c r="AH612">
        <f t="shared" si="474"/>
        <v>-529.8534551235515</v>
      </c>
      <c r="AJ612">
        <f t="shared" si="497"/>
        <v>18000</v>
      </c>
      <c r="AK612">
        <f t="shared" si="498"/>
        <v>277278.47525347199</v>
      </c>
      <c r="AL612">
        <v>1</v>
      </c>
      <c r="AM612">
        <f t="shared" si="499"/>
        <v>510.54449411750403</v>
      </c>
      <c r="AN612">
        <f t="shared" si="475"/>
        <v>543.17042103297695</v>
      </c>
      <c r="AO612">
        <f t="shared" si="476"/>
        <v>-34.192572400847901</v>
      </c>
      <c r="AQ612">
        <f t="shared" si="500"/>
        <v>6.3129714961130084E-4</v>
      </c>
      <c r="AR612">
        <f t="shared" si="501"/>
        <v>-2.5125626554529776</v>
      </c>
      <c r="AT612">
        <f t="shared" si="523"/>
        <v>-1331.2637803659495</v>
      </c>
      <c r="AU612">
        <f t="shared" si="524"/>
        <v>-104.70537903579408</v>
      </c>
      <c r="AV612">
        <f t="shared" si="511"/>
        <v>-3.0631031190700697</v>
      </c>
      <c r="AW612">
        <f t="shared" si="512"/>
        <v>500.46959306760328</v>
      </c>
      <c r="AX612">
        <f t="shared" si="513"/>
        <v>-2015.181953874896</v>
      </c>
      <c r="AY612">
        <f t="shared" si="521"/>
        <v>-1.3273716017752195</v>
      </c>
      <c r="BA612">
        <f t="shared" si="502"/>
        <v>0.64312097781738298</v>
      </c>
      <c r="BB612">
        <f t="shared" si="514"/>
        <v>-3.8341464806586636</v>
      </c>
      <c r="BC612">
        <f t="shared" si="515"/>
        <v>-1.7357315172948502</v>
      </c>
      <c r="BD612">
        <f t="shared" si="503"/>
        <v>-279.45009042247187</v>
      </c>
      <c r="BF612">
        <f t="shared" si="504"/>
        <v>-59.723241989997533</v>
      </c>
      <c r="BG612">
        <f t="shared" si="505"/>
        <v>-192.86775578318529</v>
      </c>
      <c r="BH612">
        <f t="shared" si="516"/>
        <v>-12.867755783185288</v>
      </c>
      <c r="BI612">
        <f t="shared" si="517"/>
        <v>-12.867755783185288</v>
      </c>
      <c r="BJ612">
        <f t="shared" si="506"/>
        <v>0</v>
      </c>
      <c r="BK612">
        <f t="shared" si="518"/>
        <v>0</v>
      </c>
      <c r="BM612">
        <f t="shared" si="519"/>
        <v>-55.889095509338873</v>
      </c>
      <c r="BN612">
        <f t="shared" si="507"/>
        <v>-93.417665360713443</v>
      </c>
      <c r="BQ612" s="56">
        <f t="shared" si="520"/>
        <v>13.067814319626475</v>
      </c>
    </row>
    <row r="613" spans="1:69" x14ac:dyDescent="0.25">
      <c r="A613">
        <f t="shared" si="525"/>
        <v>1995000</v>
      </c>
      <c r="B613">
        <f t="shared" si="508"/>
        <v>1995</v>
      </c>
      <c r="C613">
        <f t="shared" si="477"/>
        <v>16.576331152967995</v>
      </c>
      <c r="D613">
        <f t="shared" si="478"/>
        <v>1.5104326948363225</v>
      </c>
      <c r="F613">
        <f t="shared" si="479"/>
        <v>6.4397904855189346E-6</v>
      </c>
      <c r="G613">
        <f t="shared" si="480"/>
        <v>8.6324584298531535E-4</v>
      </c>
      <c r="H613">
        <f t="shared" si="481"/>
        <v>-3.1407294041570148</v>
      </c>
      <c r="J613">
        <f t="shared" si="482"/>
        <v>15</v>
      </c>
      <c r="M613">
        <f t="shared" si="483"/>
        <v>6.3770514725565463E-4</v>
      </c>
      <c r="N613">
        <f t="shared" si="484"/>
        <v>-1.5707963250000001</v>
      </c>
      <c r="O613">
        <f t="shared" si="485"/>
        <v>579.61716674163824</v>
      </c>
      <c r="P613">
        <f t="shared" si="486"/>
        <v>1.569071049226396</v>
      </c>
      <c r="Q613">
        <f t="shared" si="487"/>
        <v>511.82824611948877</v>
      </c>
      <c r="R613">
        <f t="shared" si="488"/>
        <v>1.5688425451429608</v>
      </c>
      <c r="S613">
        <f t="shared" si="489"/>
        <v>6.4618654727529215E-2</v>
      </c>
      <c r="T613">
        <f t="shared" si="490"/>
        <v>-1.5061326173994056</v>
      </c>
      <c r="U613">
        <f t="shared" si="491"/>
        <v>7.9683752861229154E-2</v>
      </c>
      <c r="V613">
        <f t="shared" si="492"/>
        <v>-1.491028006740682</v>
      </c>
      <c r="X613">
        <f t="shared" si="509"/>
        <v>-56.138709696543089</v>
      </c>
      <c r="Y613">
        <f t="shared" si="493"/>
        <v>-175.34456974759476</v>
      </c>
      <c r="Z613">
        <f t="shared" si="510"/>
        <v>4.6554302524052389</v>
      </c>
      <c r="AC613">
        <v>1</v>
      </c>
      <c r="AD613">
        <f t="shared" si="494"/>
        <v>579.61630410264002</v>
      </c>
      <c r="AE613">
        <f t="shared" si="495"/>
        <v>-1.0898196149922279</v>
      </c>
      <c r="AF613">
        <f t="shared" si="496"/>
        <v>8.7117934980824999E-2</v>
      </c>
      <c r="AG613">
        <f t="shared" si="473"/>
        <v>41.33297721233037</v>
      </c>
      <c r="AH613">
        <f t="shared" si="474"/>
        <v>-528.54201975929766</v>
      </c>
      <c r="AJ613">
        <f t="shared" si="497"/>
        <v>18000</v>
      </c>
      <c r="AK613">
        <f t="shared" si="498"/>
        <v>277975.154839536</v>
      </c>
      <c r="AL613">
        <v>1</v>
      </c>
      <c r="AM613">
        <f t="shared" si="499"/>
        <v>511.82726922835201</v>
      </c>
      <c r="AN613">
        <f t="shared" si="475"/>
        <v>543.17008575189402</v>
      </c>
      <c r="AO613">
        <f t="shared" si="476"/>
        <v>-34.106877385737199</v>
      </c>
      <c r="AQ613">
        <f t="shared" si="500"/>
        <v>6.2813671847936146E-4</v>
      </c>
      <c r="AR613">
        <f t="shared" si="501"/>
        <v>-2.5062655067326518</v>
      </c>
      <c r="AT613">
        <f t="shared" si="523"/>
        <v>-1324.6406702208644</v>
      </c>
      <c r="AU613">
        <f t="shared" si="524"/>
        <v>-103.92341172770038</v>
      </c>
      <c r="AV613">
        <f t="shared" si="511"/>
        <v>-3.0632989845429108</v>
      </c>
      <c r="AW613">
        <f t="shared" si="512"/>
        <v>500.68438904810296</v>
      </c>
      <c r="AX613">
        <f t="shared" si="513"/>
        <v>-2010.1474654292701</v>
      </c>
      <c r="AY613">
        <f t="shared" si="521"/>
        <v>-1.3266852048756252</v>
      </c>
      <c r="BA613">
        <f t="shared" si="502"/>
        <v>0.64140474457393459</v>
      </c>
      <c r="BB613">
        <f t="shared" si="514"/>
        <v>-3.857356636992924</v>
      </c>
      <c r="BC613">
        <f t="shared" si="515"/>
        <v>-1.7366137796672856</v>
      </c>
      <c r="BD613">
        <f t="shared" si="503"/>
        <v>-279.5006403328934</v>
      </c>
      <c r="BF613">
        <f t="shared" si="504"/>
        <v>-59.768328408936355</v>
      </c>
      <c r="BG613">
        <f t="shared" si="505"/>
        <v>-192.90976123777091</v>
      </c>
      <c r="BH613">
        <f t="shared" si="516"/>
        <v>-12.909761237770908</v>
      </c>
      <c r="BI613">
        <f t="shared" si="517"/>
        <v>-12.909761237770908</v>
      </c>
      <c r="BJ613">
        <f t="shared" si="506"/>
        <v>0</v>
      </c>
      <c r="BK613">
        <f t="shared" si="518"/>
        <v>0</v>
      </c>
      <c r="BM613">
        <f t="shared" si="519"/>
        <v>-55.91097177194343</v>
      </c>
      <c r="BN613">
        <f t="shared" si="507"/>
        <v>-93.409120904877526</v>
      </c>
      <c r="BQ613" s="56">
        <f t="shared" si="520"/>
        <v>13.044604163292213</v>
      </c>
    </row>
    <row r="614" spans="1:69" x14ac:dyDescent="0.25">
      <c r="A614">
        <f t="shared" si="525"/>
        <v>2000000</v>
      </c>
      <c r="B614">
        <f t="shared" si="508"/>
        <v>2000</v>
      </c>
      <c r="C614">
        <f t="shared" si="477"/>
        <v>16.61772483544372</v>
      </c>
      <c r="D614">
        <f t="shared" si="478"/>
        <v>1.5105832389667202</v>
      </c>
      <c r="F614">
        <f t="shared" si="479"/>
        <v>6.4076315864310418E-6</v>
      </c>
      <c r="G614">
        <f t="shared" si="480"/>
        <v>8.6108770159161821E-4</v>
      </c>
      <c r="H614">
        <f t="shared" si="481"/>
        <v>-3.1407315622984084</v>
      </c>
      <c r="J614">
        <f t="shared" si="482"/>
        <v>15</v>
      </c>
      <c r="M614">
        <f t="shared" si="483"/>
        <v>6.3611088438751554E-4</v>
      </c>
      <c r="N614">
        <f t="shared" si="484"/>
        <v>-1.5707963250000001</v>
      </c>
      <c r="O614">
        <f t="shared" si="485"/>
        <v>581.06983702640389</v>
      </c>
      <c r="P614">
        <f t="shared" si="486"/>
        <v>1.5690753624117901</v>
      </c>
      <c r="Q614">
        <f t="shared" si="487"/>
        <v>513.1110187881136</v>
      </c>
      <c r="R614">
        <f t="shared" si="488"/>
        <v>1.568847429584707</v>
      </c>
      <c r="S614">
        <f t="shared" si="489"/>
        <v>6.4457780123145347E-2</v>
      </c>
      <c r="T614">
        <f t="shared" si="490"/>
        <v>-1.5062938280901903</v>
      </c>
      <c r="U614">
        <f t="shared" si="491"/>
        <v>7.9485803649762238E-2</v>
      </c>
      <c r="V614">
        <f t="shared" si="492"/>
        <v>-1.4912265858252676</v>
      </c>
      <c r="X614">
        <f t="shared" si="509"/>
        <v>-56.182044597183392</v>
      </c>
      <c r="Y614">
        <f t="shared" si="493"/>
        <v>-175.35615530712323</v>
      </c>
      <c r="Z614">
        <f t="shared" si="510"/>
        <v>4.6438446928767689</v>
      </c>
      <c r="AC614">
        <v>1</v>
      </c>
      <c r="AD614">
        <f t="shared" si="494"/>
        <v>581.06897654399995</v>
      </c>
      <c r="AE614">
        <f t="shared" si="495"/>
        <v>-1.095289215512192</v>
      </c>
      <c r="AF614">
        <f t="shared" si="496"/>
        <v>8.7336275670000005E-2</v>
      </c>
      <c r="AG614">
        <f t="shared" si="473"/>
        <v>41.127874732541898</v>
      </c>
      <c r="AH614">
        <f t="shared" si="474"/>
        <v>-527.23701919094572</v>
      </c>
      <c r="AJ614">
        <f t="shared" si="497"/>
        <v>18000</v>
      </c>
      <c r="AK614">
        <f t="shared" si="498"/>
        <v>278671.83442559995</v>
      </c>
      <c r="AL614">
        <v>1</v>
      </c>
      <c r="AM614">
        <f t="shared" si="499"/>
        <v>513.11004433920004</v>
      </c>
      <c r="AN614">
        <f t="shared" si="475"/>
        <v>543.16975298226191</v>
      </c>
      <c r="AO614">
        <f t="shared" si="476"/>
        <v>-34.02161084080749</v>
      </c>
      <c r="AQ614">
        <f t="shared" si="500"/>
        <v>6.2499996093750242E-4</v>
      </c>
      <c r="AR614">
        <f t="shared" si="501"/>
        <v>-2.4999998437500097</v>
      </c>
      <c r="AT614">
        <f t="shared" si="523"/>
        <v>-1318.0667606764839</v>
      </c>
      <c r="AU614">
        <f t="shared" si="524"/>
        <v>-103.14920352152386</v>
      </c>
      <c r="AV614">
        <f t="shared" si="511"/>
        <v>-3.063493877008479</v>
      </c>
      <c r="AW614">
        <f t="shared" si="512"/>
        <v>500.89756262437226</v>
      </c>
      <c r="AX614">
        <f t="shared" si="513"/>
        <v>-2005.138030255323</v>
      </c>
      <c r="AY614">
        <f t="shared" si="521"/>
        <v>-1.3259992970518197</v>
      </c>
      <c r="BA614">
        <f t="shared" si="502"/>
        <v>0.63969682939222072</v>
      </c>
      <c r="BB614">
        <f t="shared" si="514"/>
        <v>-3.8805160364811764</v>
      </c>
      <c r="BC614">
        <f t="shared" si="515"/>
        <v>-1.7374945799566592</v>
      </c>
      <c r="BD614">
        <f t="shared" si="503"/>
        <v>-279.55110647212604</v>
      </c>
      <c r="BF614">
        <f t="shared" si="504"/>
        <v>-59.813308915352863</v>
      </c>
      <c r="BG614">
        <f t="shared" si="505"/>
        <v>-192.95172548608502</v>
      </c>
      <c r="BH614">
        <f t="shared" si="516"/>
        <v>-12.951725486085024</v>
      </c>
      <c r="BI614">
        <f t="shared" si="517"/>
        <v>-12.951725486085024</v>
      </c>
      <c r="BJ614">
        <f t="shared" si="506"/>
        <v>0</v>
      </c>
      <c r="BK614">
        <f t="shared" si="518"/>
        <v>0</v>
      </c>
      <c r="BM614">
        <f t="shared" si="519"/>
        <v>-55.932792878871695</v>
      </c>
      <c r="BN614">
        <f t="shared" si="507"/>
        <v>-93.400619013959002</v>
      </c>
      <c r="BQ614" s="56">
        <f t="shared" si="520"/>
        <v>13.021444763803959</v>
      </c>
    </row>
    <row r="615" spans="1:69" x14ac:dyDescent="0.25">
      <c r="A615">
        <f>A614+250000</f>
        <v>2250000</v>
      </c>
      <c r="B615">
        <f t="shared" si="508"/>
        <v>2250</v>
      </c>
      <c r="C615">
        <f t="shared" si="477"/>
        <v>18.68783489466993</v>
      </c>
      <c r="D615">
        <f t="shared" ref="D615:D626" si="526">ATAN(A615/Fesr)</f>
        <v>1.5172600099901654</v>
      </c>
      <c r="F615">
        <f t="shared" si="479"/>
        <v>5.0628135642597966E-6</v>
      </c>
      <c r="G615">
        <f t="shared" ref="G615:G626" si="527">-ATAN(A615*Fo/(Q*(Fo^2-A615^2)))</f>
        <v>7.6541029461974126E-4</v>
      </c>
      <c r="H615">
        <f t="shared" si="481"/>
        <v>-3.1408272397053802</v>
      </c>
      <c r="J615">
        <f t="shared" si="482"/>
        <v>15</v>
      </c>
      <c r="M615">
        <f t="shared" ref="M615:M626" si="528">1/(2*Pi*_Rfb1*(Cc1ea_u+Cc2ea_u)*A615)</f>
        <v>5.6543189723334722E-4</v>
      </c>
      <c r="N615">
        <f t="shared" si="484"/>
        <v>-1.5707963250000001</v>
      </c>
      <c r="O615">
        <f t="shared" ref="O615:O626" si="529">SQRT(1+(A615/Fz1_u)^2)</f>
        <v>653.70336348536682</v>
      </c>
      <c r="P615">
        <f t="shared" si="486"/>
        <v>1.5692665803596189</v>
      </c>
      <c r="Q615">
        <f t="shared" ref="Q615:Q626" si="530">SQRT(1+(A615/Fz2_u)^2)</f>
        <v>577.24966605858469</v>
      </c>
      <c r="R615">
        <f t="shared" si="488"/>
        <v>1.5690639732588558</v>
      </c>
      <c r="S615">
        <f t="shared" ref="S615:S626" si="531">1/SQRT(1+(A615/Fp1_u)^2)</f>
        <v>5.7320801765092966E-2</v>
      </c>
      <c r="T615">
        <f t="shared" si="490"/>
        <v>-1.5134440889466456</v>
      </c>
      <c r="U615">
        <f t="shared" si="491"/>
        <v>7.0700937907687653E-2</v>
      </c>
      <c r="V615">
        <f t="shared" si="492"/>
        <v>-1.5000363547824949</v>
      </c>
      <c r="X615">
        <f t="shared" ref="X615:X626" si="532">20*LOG(C615*J615*O615*Q615*F615*M615*S615*U615)</f>
        <v>-58.221913434621506</v>
      </c>
      <c r="Y615">
        <f t="shared" ref="Y615:Y626" si="533">(180/Pi)*(D615+H615+N615+P615+R615+T615+V615)</f>
        <v>-175.87016574814641</v>
      </c>
      <c r="Z615">
        <f t="shared" si="510"/>
        <v>4.1298342518535947</v>
      </c>
      <c r="AC615">
        <v>1</v>
      </c>
      <c r="AD615">
        <f t="shared" si="494"/>
        <v>653.70259861199997</v>
      </c>
      <c r="AE615">
        <f t="shared" si="495"/>
        <v>-1.3862254133826177</v>
      </c>
      <c r="AF615">
        <f t="shared" si="496"/>
        <v>9.8253310128749993E-2</v>
      </c>
      <c r="AG615">
        <f t="shared" si="473"/>
        <v>32.539245545772353</v>
      </c>
      <c r="AH615">
        <f t="shared" si="474"/>
        <v>-469.26387566412836</v>
      </c>
      <c r="AJ615">
        <f t="shared" si="497"/>
        <v>18000</v>
      </c>
      <c r="AK615">
        <f t="shared" si="498"/>
        <v>313505.81372879999</v>
      </c>
      <c r="AL615">
        <v>1</v>
      </c>
      <c r="AM615">
        <f t="shared" si="499"/>
        <v>577.24879988160001</v>
      </c>
      <c r="AN615">
        <f t="shared" si="475"/>
        <v>543.15583722144629</v>
      </c>
      <c r="AO615">
        <f t="shared" si="476"/>
        <v>-30.241455965537117</v>
      </c>
      <c r="AQ615">
        <f t="shared" si="500"/>
        <v>4.9382713610730193E-4</v>
      </c>
      <c r="AR615">
        <f t="shared" si="501"/>
        <v>-2.2222221124828585</v>
      </c>
      <c r="AT615">
        <f t="shared" si="523"/>
        <v>-1042.792492327794</v>
      </c>
      <c r="AU615">
        <f t="shared" si="524"/>
        <v>-72.541166211122516</v>
      </c>
      <c r="AV615">
        <f t="shared" si="511"/>
        <v>-3.072140205794105</v>
      </c>
      <c r="AW615">
        <f t="shared" si="512"/>
        <v>509.80003617048555</v>
      </c>
      <c r="AX615">
        <f t="shared" si="513"/>
        <v>-1782.9380404517733</v>
      </c>
      <c r="AY615">
        <f t="shared" si="521"/>
        <v>-1.2922948797390945</v>
      </c>
      <c r="BA615">
        <f t="shared" si="502"/>
        <v>0.56369604201854373</v>
      </c>
      <c r="BB615">
        <f t="shared" si="514"/>
        <v>-4.9791002911974678</v>
      </c>
      <c r="BC615">
        <f t="shared" si="515"/>
        <v>-1.7798453260550104</v>
      </c>
      <c r="BD615">
        <f t="shared" si="503"/>
        <v>-281.97762548556443</v>
      </c>
      <c r="BF615">
        <f t="shared" si="504"/>
        <v>-61.938256640342821</v>
      </c>
      <c r="BG615">
        <f t="shared" si="505"/>
        <v>-195.00117561028813</v>
      </c>
      <c r="BH615">
        <f t="shared" si="516"/>
        <v>-15.001175610288129</v>
      </c>
      <c r="BI615">
        <f t="shared" si="517"/>
        <v>-15.001175610288129</v>
      </c>
      <c r="BJ615">
        <f t="shared" si="506"/>
        <v>0</v>
      </c>
      <c r="BK615">
        <f t="shared" si="518"/>
        <v>0</v>
      </c>
      <c r="BM615">
        <f t="shared" si="519"/>
        <v>-56.959156349145353</v>
      </c>
      <c r="BN615">
        <f t="shared" si="507"/>
        <v>-93.023550124723741</v>
      </c>
      <c r="BQ615" s="56">
        <f t="shared" si="520"/>
        <v>11.92286050908767</v>
      </c>
    </row>
    <row r="616" spans="1:69" x14ac:dyDescent="0.25">
      <c r="A616">
        <f t="shared" ref="A616:A626" si="534">A615+250000</f>
        <v>2500000</v>
      </c>
      <c r="B616">
        <f t="shared" si="508"/>
        <v>2500</v>
      </c>
      <c r="C616">
        <f t="shared" si="477"/>
        <v>20.758611869027806</v>
      </c>
      <c r="D616">
        <f t="shared" si="526"/>
        <v>1.5226048976093813</v>
      </c>
      <c r="F616">
        <f t="shared" si="479"/>
        <v>4.1008752473105914E-6</v>
      </c>
      <c r="G616">
        <f t="shared" si="527"/>
        <v>6.8886862417297451E-4</v>
      </c>
      <c r="H616">
        <f t="shared" si="481"/>
        <v>-3.1409037813758274</v>
      </c>
      <c r="J616">
        <f t="shared" si="482"/>
        <v>15</v>
      </c>
      <c r="M616">
        <f t="shared" si="528"/>
        <v>5.0888870751001237E-4</v>
      </c>
      <c r="N616">
        <f t="shared" si="484"/>
        <v>-1.5707963250000001</v>
      </c>
      <c r="O616">
        <f t="shared" si="529"/>
        <v>726.33690906610661</v>
      </c>
      <c r="P616">
        <f t="shared" si="486"/>
        <v>1.5694195547990983</v>
      </c>
      <c r="Q616">
        <f t="shared" si="530"/>
        <v>641.38833498339739</v>
      </c>
      <c r="R616">
        <f t="shared" si="488"/>
        <v>1.5692372083161239</v>
      </c>
      <c r="S616">
        <f t="shared" si="531"/>
        <v>5.1604831987062512E-2</v>
      </c>
      <c r="T616">
        <f t="shared" si="490"/>
        <v>-1.5191685628667637</v>
      </c>
      <c r="U616">
        <f t="shared" si="491"/>
        <v>6.3661081981964018E-2</v>
      </c>
      <c r="V616">
        <f t="shared" si="492"/>
        <v>-1.5070921659706473</v>
      </c>
      <c r="X616">
        <f t="shared" si="532"/>
        <v>-60.047750117086807</v>
      </c>
      <c r="Y616">
        <f t="shared" si="533"/>
        <v>-176.28187773101462</v>
      </c>
      <c r="Z616">
        <f t="shared" si="510"/>
        <v>3.7181222689853826</v>
      </c>
      <c r="AC616">
        <v>1</v>
      </c>
      <c r="AD616">
        <f t="shared" si="494"/>
        <v>726.33622068</v>
      </c>
      <c r="AE616">
        <f t="shared" si="495"/>
        <v>-1.7113893992378</v>
      </c>
      <c r="AF616">
        <f t="shared" si="496"/>
        <v>0.1091703445875</v>
      </c>
      <c r="AG616">
        <f t="shared" ref="AG616:AG626" si="535">AC616*AE616/(AE616^2+AF616^2)+AD616*AF616/(AE616^2+AF616^2)</f>
        <v>26.381844740397312</v>
      </c>
      <c r="AH616">
        <f t="shared" ref="AH616:AH626" si="536">AD616*AE616/(AE616^2+AF616^2)-AC616*AF616/(AE616^2+AF616^2)</f>
        <v>-422.73027162669229</v>
      </c>
      <c r="AJ616">
        <f t="shared" si="497"/>
        <v>18000</v>
      </c>
      <c r="AK616">
        <f t="shared" si="498"/>
        <v>348339.79303199996</v>
      </c>
      <c r="AL616">
        <v>1</v>
      </c>
      <c r="AM616">
        <f t="shared" si="499"/>
        <v>641.38755542400008</v>
      </c>
      <c r="AN616">
        <f t="shared" ref="AN616:AN626" si="537">AJ616*AL616/(AL616^2+AM616^2)+AK616*AM616/(AL616^2+AM616^2)</f>
        <v>543.14588334598159</v>
      </c>
      <c r="AO616">
        <f t="shared" ref="AO616:AO626" si="538">AK616*AL616/(AL616^2+AM616^2)-AJ616*AM616/(AL616^2+AM616^2)</f>
        <v>-27.217325888267148</v>
      </c>
      <c r="AQ616">
        <f t="shared" si="500"/>
        <v>3.9999998400000063E-4</v>
      </c>
      <c r="AR616">
        <f t="shared" si="501"/>
        <v>-1.9999999200000032</v>
      </c>
      <c r="AT616">
        <f t="shared" si="523"/>
        <v>-845.44995669749005</v>
      </c>
      <c r="AU616">
        <f t="shared" si="524"/>
        <v>-52.932779472134122</v>
      </c>
      <c r="AV616">
        <f t="shared" si="511"/>
        <v>-3.0790652647640089</v>
      </c>
      <c r="AW616">
        <f t="shared" si="512"/>
        <v>516.15349600135892</v>
      </c>
      <c r="AX616">
        <f t="shared" si="513"/>
        <v>-1605.0269906908734</v>
      </c>
      <c r="AY616">
        <f t="shared" si="521"/>
        <v>-1.2596557690899388</v>
      </c>
      <c r="BA616">
        <f t="shared" si="502"/>
        <v>0.50244115651577592</v>
      </c>
      <c r="BB616">
        <f t="shared" si="514"/>
        <v>-5.9782958680757856</v>
      </c>
      <c r="BC616">
        <f t="shared" si="515"/>
        <v>-1.8194094956740701</v>
      </c>
      <c r="BD616">
        <f t="shared" si="503"/>
        <v>-284.24448542726651</v>
      </c>
      <c r="BF616">
        <f t="shared" si="504"/>
        <v>-63.854973354143851</v>
      </c>
      <c r="BG616">
        <f t="shared" si="505"/>
        <v>-196.96618156376601</v>
      </c>
      <c r="BH616">
        <f t="shared" si="516"/>
        <v>-16.966181563766014</v>
      </c>
      <c r="BI616">
        <f t="shared" si="517"/>
        <v>-16.966181563766014</v>
      </c>
      <c r="BJ616">
        <f t="shared" si="506"/>
        <v>0</v>
      </c>
      <c r="BK616">
        <f t="shared" si="518"/>
        <v>0</v>
      </c>
      <c r="BM616">
        <f t="shared" si="519"/>
        <v>-57.876677486068061</v>
      </c>
      <c r="BN616">
        <f t="shared" si="507"/>
        <v>-92.721696136499503</v>
      </c>
      <c r="BQ616" s="56">
        <f t="shared" si="520"/>
        <v>10.923664932209352</v>
      </c>
    </row>
    <row r="617" spans="1:69" x14ac:dyDescent="0.25">
      <c r="A617">
        <f t="shared" si="534"/>
        <v>2750000</v>
      </c>
      <c r="B617">
        <f t="shared" si="508"/>
        <v>2750</v>
      </c>
      <c r="C617">
        <f t="shared" si="477"/>
        <v>22.829874282221091</v>
      </c>
      <c r="D617">
        <f t="shared" si="526"/>
        <v>1.5269800518133745</v>
      </c>
      <c r="F617">
        <f t="shared" si="479"/>
        <v>3.3891508101902129E-6</v>
      </c>
      <c r="G617">
        <f t="shared" si="527"/>
        <v>6.262437726522323E-4</v>
      </c>
      <c r="H617">
        <f t="shared" si="481"/>
        <v>-3.1409664062273479</v>
      </c>
      <c r="J617">
        <f t="shared" si="482"/>
        <v>15</v>
      </c>
      <c r="M617">
        <f t="shared" si="528"/>
        <v>4.6262609773637487E-4</v>
      </c>
      <c r="N617">
        <f t="shared" si="484"/>
        <v>-1.5707963250000001</v>
      </c>
      <c r="O617">
        <f t="shared" si="529"/>
        <v>798.97046855360281</v>
      </c>
      <c r="P617">
        <f t="shared" si="486"/>
        <v>1.5695447157523774</v>
      </c>
      <c r="Q617">
        <f t="shared" si="530"/>
        <v>705.52701965683605</v>
      </c>
      <c r="R617">
        <f t="shared" si="488"/>
        <v>1.5693789461603258</v>
      </c>
      <c r="S617">
        <f t="shared" si="531"/>
        <v>4.692432870868983E-2</v>
      </c>
      <c r="T617">
        <f t="shared" si="490"/>
        <v>-1.5238547606120743</v>
      </c>
      <c r="U617">
        <f t="shared" si="491"/>
        <v>5.7894074863492594E-2</v>
      </c>
      <c r="V617">
        <f t="shared" si="492"/>
        <v>-1.5128698622292076</v>
      </c>
      <c r="X617">
        <f t="shared" si="532"/>
        <v>-61.70015266429553</v>
      </c>
      <c r="Y617">
        <f t="shared" si="533"/>
        <v>-176.61903278951817</v>
      </c>
      <c r="Z617">
        <f t="shared" si="510"/>
        <v>3.3809672104818276</v>
      </c>
      <c r="AC617">
        <v>1</v>
      </c>
      <c r="AD617">
        <f t="shared" si="494"/>
        <v>798.96984274800002</v>
      </c>
      <c r="AE617">
        <f t="shared" si="495"/>
        <v>-2.0707811730777381</v>
      </c>
      <c r="AF617">
        <f t="shared" si="496"/>
        <v>0.12008737904625</v>
      </c>
      <c r="AG617">
        <f t="shared" si="535"/>
        <v>21.818523899938064</v>
      </c>
      <c r="AH617">
        <f t="shared" si="536"/>
        <v>-384.56488003249933</v>
      </c>
      <c r="AJ617">
        <f t="shared" si="497"/>
        <v>18000</v>
      </c>
      <c r="AK617">
        <f t="shared" si="498"/>
        <v>383173.77233519999</v>
      </c>
      <c r="AL617">
        <v>1</v>
      </c>
      <c r="AM617">
        <f t="shared" si="499"/>
        <v>705.52631096640005</v>
      </c>
      <c r="AN617">
        <f t="shared" si="537"/>
        <v>543.13851859654142</v>
      </c>
      <c r="AO617">
        <f t="shared" si="538"/>
        <v>-24.743033973448544</v>
      </c>
      <c r="AQ617">
        <f t="shared" si="500"/>
        <v>3.3057850146847931E-4</v>
      </c>
      <c r="AR617">
        <f t="shared" si="501"/>
        <v>-1.8181817580766362</v>
      </c>
      <c r="AT617">
        <f t="shared" si="523"/>
        <v>-699.20163693708514</v>
      </c>
      <c r="AU617">
        <f t="shared" si="524"/>
        <v>-39.797171024785044</v>
      </c>
      <c r="AV617">
        <f t="shared" si="511"/>
        <v>-3.0847359818868085</v>
      </c>
      <c r="AW617">
        <f t="shared" si="512"/>
        <v>520.84656975728467</v>
      </c>
      <c r="AX617">
        <f t="shared" si="513"/>
        <v>-1459.3733470593888</v>
      </c>
      <c r="AY617">
        <f t="shared" si="521"/>
        <v>-1.2279900837277251</v>
      </c>
      <c r="BA617">
        <f t="shared" si="502"/>
        <v>0.45196418935983507</v>
      </c>
      <c r="BB617">
        <f t="shared" si="514"/>
        <v>-6.8979194887074797</v>
      </c>
      <c r="BC617">
        <f t="shared" si="515"/>
        <v>-1.8567458981590834</v>
      </c>
      <c r="BD617">
        <f t="shared" si="503"/>
        <v>-286.38370371430392</v>
      </c>
      <c r="BF617">
        <f t="shared" si="504"/>
        <v>-65.604206018997374</v>
      </c>
      <c r="BG617">
        <f t="shared" si="505"/>
        <v>-198.85831011959814</v>
      </c>
      <c r="BH617">
        <f t="shared" si="516"/>
        <v>-18.858310119598144</v>
      </c>
      <c r="BI617">
        <f t="shared" si="517"/>
        <v>-18.858310119598144</v>
      </c>
      <c r="BJ617">
        <f t="shared" si="506"/>
        <v>0</v>
      </c>
      <c r="BK617">
        <f t="shared" si="518"/>
        <v>0</v>
      </c>
      <c r="BM617">
        <f t="shared" si="519"/>
        <v>-58.706286530289901</v>
      </c>
      <c r="BN617">
        <f t="shared" si="507"/>
        <v>-92.47460640529421</v>
      </c>
      <c r="BQ617" s="56">
        <f t="shared" si="520"/>
        <v>10.004041311577655</v>
      </c>
    </row>
    <row r="618" spans="1:69" x14ac:dyDescent="0.25">
      <c r="A618">
        <f t="shared" si="534"/>
        <v>3000000</v>
      </c>
      <c r="B618">
        <f t="shared" si="508"/>
        <v>3000</v>
      </c>
      <c r="C618">
        <f t="shared" si="477"/>
        <v>24.901501000736417</v>
      </c>
      <c r="D618">
        <f t="shared" si="526"/>
        <v>1.5306273034225049</v>
      </c>
      <c r="F618">
        <f t="shared" si="479"/>
        <v>2.8478266498728883E-6</v>
      </c>
      <c r="G618">
        <f t="shared" si="527"/>
        <v>5.7405649100638256E-4</v>
      </c>
      <c r="H618">
        <f t="shared" si="481"/>
        <v>-3.1410185935089938</v>
      </c>
      <c r="J618">
        <f t="shared" si="482"/>
        <v>15</v>
      </c>
      <c r="M618">
        <f t="shared" si="528"/>
        <v>4.2407392292501036E-4</v>
      </c>
      <c r="N618">
        <f t="shared" si="484"/>
        <v>-1.5707963250000001</v>
      </c>
      <c r="O618">
        <f t="shared" si="529"/>
        <v>871.60403847117186</v>
      </c>
      <c r="P618">
        <f t="shared" si="486"/>
        <v>1.5696490165768979</v>
      </c>
      <c r="Q618">
        <f t="shared" si="530"/>
        <v>769.66571614175189</v>
      </c>
      <c r="R618">
        <f t="shared" si="488"/>
        <v>1.5694970610742387</v>
      </c>
      <c r="S618">
        <f t="shared" si="531"/>
        <v>4.3021533795291632E-2</v>
      </c>
      <c r="T618">
        <f t="shared" si="490"/>
        <v>-1.5277615108495122</v>
      </c>
      <c r="U618">
        <f t="shared" si="491"/>
        <v>5.3083779589489836E-2</v>
      </c>
      <c r="V618">
        <f t="shared" si="492"/>
        <v>-1.5176875848510656</v>
      </c>
      <c r="X618">
        <f t="shared" si="532"/>
        <v>-63.209179893424647</v>
      </c>
      <c r="Y618">
        <f t="shared" si="533"/>
        <v>-176.90018276700113</v>
      </c>
      <c r="Z618">
        <f t="shared" si="510"/>
        <v>3.0998172329988734</v>
      </c>
      <c r="AC618">
        <v>1</v>
      </c>
      <c r="AD618">
        <f t="shared" si="494"/>
        <v>871.60346481600004</v>
      </c>
      <c r="AE618">
        <f t="shared" si="495"/>
        <v>-2.4644007349024317</v>
      </c>
      <c r="AF618">
        <f t="shared" si="496"/>
        <v>0.131004413505</v>
      </c>
      <c r="AG618">
        <f t="shared" si="535"/>
        <v>18.343440842521964</v>
      </c>
      <c r="AH618">
        <f t="shared" si="536"/>
        <v>-352.70253769875393</v>
      </c>
      <c r="AJ618">
        <f t="shared" si="497"/>
        <v>18000</v>
      </c>
      <c r="AK618">
        <f t="shared" si="498"/>
        <v>418007.75163840002</v>
      </c>
      <c r="AL618">
        <v>1</v>
      </c>
      <c r="AM618">
        <f t="shared" si="499"/>
        <v>769.66506650880001</v>
      </c>
      <c r="AN618">
        <f t="shared" si="537"/>
        <v>543.13291709644454</v>
      </c>
      <c r="AO618">
        <f t="shared" si="538"/>
        <v>-22.681121753502321</v>
      </c>
      <c r="AQ618">
        <f t="shared" si="500"/>
        <v>2.7777777006172862E-4</v>
      </c>
      <c r="AR618">
        <f t="shared" si="501"/>
        <v>-1.6666666203703717</v>
      </c>
      <c r="AT618">
        <f t="shared" si="523"/>
        <v>-587.83245110234338</v>
      </c>
      <c r="AU618">
        <f t="shared" si="524"/>
        <v>-30.670373479386999</v>
      </c>
      <c r="AV618">
        <f t="shared" si="511"/>
        <v>-3.0894645551988371</v>
      </c>
      <c r="AW618">
        <f t="shared" si="512"/>
        <v>524.41160413210764</v>
      </c>
      <c r="AX618">
        <f t="shared" si="513"/>
        <v>-1337.9389460520115</v>
      </c>
      <c r="AY618">
        <f t="shared" si="521"/>
        <v>-1.1972446410269464</v>
      </c>
      <c r="BA618">
        <f t="shared" si="502"/>
        <v>0.4096138095012577</v>
      </c>
      <c r="BB618">
        <f t="shared" si="514"/>
        <v>-7.7525082042628481</v>
      </c>
      <c r="BC618">
        <f t="shared" si="515"/>
        <v>-1.8922199141718907</v>
      </c>
      <c r="BD618">
        <f t="shared" si="503"/>
        <v>-288.41621511653977</v>
      </c>
      <c r="BF618">
        <f t="shared" si="504"/>
        <v>-67.215901505181279</v>
      </c>
      <c r="BG618">
        <f t="shared" si="505"/>
        <v>-200.68483950855574</v>
      </c>
      <c r="BH618">
        <f t="shared" si="516"/>
        <v>-20.68483950855574</v>
      </c>
      <c r="BI618">
        <f t="shared" si="517"/>
        <v>-20.68483950855574</v>
      </c>
      <c r="BJ618">
        <f t="shared" si="506"/>
        <v>0</v>
      </c>
      <c r="BK618">
        <f t="shared" si="518"/>
        <v>0</v>
      </c>
      <c r="BM618">
        <f t="shared" si="519"/>
        <v>-59.463393300918426</v>
      </c>
      <c r="BN618">
        <f t="shared" si="507"/>
        <v>-92.268624392015951</v>
      </c>
      <c r="BQ618" s="56">
        <f t="shared" si="520"/>
        <v>9.1494525960222877</v>
      </c>
    </row>
    <row r="619" spans="1:69" x14ac:dyDescent="0.25">
      <c r="A619">
        <f t="shared" si="534"/>
        <v>3250000</v>
      </c>
      <c r="B619">
        <f t="shared" si="508"/>
        <v>3250</v>
      </c>
      <c r="C619">
        <f t="shared" si="477"/>
        <v>26.973408085963335</v>
      </c>
      <c r="D619">
        <f t="shared" si="526"/>
        <v>1.5337142786792346</v>
      </c>
      <c r="F619">
        <f t="shared" si="479"/>
        <v>2.4265495491196625E-6</v>
      </c>
      <c r="G619">
        <f t="shared" si="527"/>
        <v>5.2989808345451522E-4</v>
      </c>
      <c r="H619">
        <f t="shared" si="481"/>
        <v>-3.1410627519165457</v>
      </c>
      <c r="J619">
        <f t="shared" si="482"/>
        <v>15</v>
      </c>
      <c r="M619">
        <f t="shared" si="528"/>
        <v>3.9145285193077878E-4</v>
      </c>
      <c r="N619">
        <f t="shared" si="484"/>
        <v>-1.5707963250000001</v>
      </c>
      <c r="O619">
        <f t="shared" si="529"/>
        <v>944.23761641187673</v>
      </c>
      <c r="P619">
        <f t="shared" si="486"/>
        <v>1.5697372711403113</v>
      </c>
      <c r="Q619">
        <f t="shared" si="530"/>
        <v>833.80442171242373</v>
      </c>
      <c r="R619">
        <f t="shared" si="488"/>
        <v>1.5695970044913818</v>
      </c>
      <c r="S619">
        <f t="shared" si="531"/>
        <v>3.9717622651901686E-2</v>
      </c>
      <c r="T619">
        <f t="shared" si="490"/>
        <v>-1.531068254367534</v>
      </c>
      <c r="U619">
        <f t="shared" si="491"/>
        <v>4.9010627967137198E-2</v>
      </c>
      <c r="V619">
        <f t="shared" si="492"/>
        <v>-1.5217660566604481</v>
      </c>
      <c r="X619">
        <f t="shared" si="532"/>
        <v>-64.597705770094692</v>
      </c>
      <c r="Y619">
        <f t="shared" si="533"/>
        <v>-177.13820092304073</v>
      </c>
      <c r="Z619">
        <f t="shared" si="510"/>
        <v>2.8617990769592723</v>
      </c>
      <c r="AC619">
        <v>1</v>
      </c>
      <c r="AD619">
        <f t="shared" si="494"/>
        <v>944.23708688400006</v>
      </c>
      <c r="AE619">
        <f t="shared" si="495"/>
        <v>-2.8922480847118814</v>
      </c>
      <c r="AF619">
        <f t="shared" si="496"/>
        <v>0.14192144796374997</v>
      </c>
      <c r="AG619">
        <f t="shared" si="535"/>
        <v>15.636432094956071</v>
      </c>
      <c r="AH619">
        <f t="shared" si="536"/>
        <v>-325.70440508872827</v>
      </c>
      <c r="AJ619">
        <f t="shared" si="497"/>
        <v>18000</v>
      </c>
      <c r="AK619">
        <f t="shared" si="498"/>
        <v>452841.73094160005</v>
      </c>
      <c r="AL619">
        <v>1</v>
      </c>
      <c r="AM619">
        <f t="shared" si="499"/>
        <v>833.80382205120009</v>
      </c>
      <c r="AN619">
        <f t="shared" si="537"/>
        <v>543.12855780972916</v>
      </c>
      <c r="AO619">
        <f t="shared" si="538"/>
        <v>-20.93642530834828</v>
      </c>
      <c r="AQ619">
        <f t="shared" si="500"/>
        <v>2.3668638493049978E-4</v>
      </c>
      <c r="AR619">
        <f t="shared" si="501"/>
        <v>-1.5384615020482484</v>
      </c>
      <c r="AT619">
        <f t="shared" si="523"/>
        <v>-501.07998734595031</v>
      </c>
      <c r="AU619">
        <f t="shared" si="524"/>
        <v>-24.133138605677946</v>
      </c>
      <c r="AV619">
        <f t="shared" si="511"/>
        <v>-3.0934675929572975</v>
      </c>
      <c r="AW619">
        <f t="shared" si="512"/>
        <v>527.18338445608026</v>
      </c>
      <c r="AX619">
        <f t="shared" si="513"/>
        <v>-1235.1500348146008</v>
      </c>
      <c r="AY619">
        <f t="shared" si="521"/>
        <v>-1.1673874300973646</v>
      </c>
      <c r="BA619">
        <f t="shared" si="502"/>
        <v>0.37355102948210317</v>
      </c>
      <c r="BB619">
        <f t="shared" si="514"/>
        <v>-8.5530012473224453</v>
      </c>
      <c r="BC619">
        <f t="shared" si="515"/>
        <v>-1.9260801628599329</v>
      </c>
      <c r="BD619">
        <f t="shared" si="503"/>
        <v>-290.35626446184483</v>
      </c>
      <c r="BF619">
        <f t="shared" si="504"/>
        <v>-68.712676329948607</v>
      </c>
      <c r="BG619">
        <f t="shared" si="505"/>
        <v>-202.45054829037235</v>
      </c>
      <c r="BH619">
        <f t="shared" si="516"/>
        <v>-22.450548290372353</v>
      </c>
      <c r="BI619">
        <f t="shared" si="517"/>
        <v>-22.450548290372353</v>
      </c>
      <c r="BJ619">
        <f t="shared" si="506"/>
        <v>0</v>
      </c>
      <c r="BK619">
        <f t="shared" si="518"/>
        <v>0</v>
      </c>
      <c r="BM619">
        <f t="shared" si="519"/>
        <v>-60.159675082626158</v>
      </c>
      <c r="BN619">
        <f t="shared" si="507"/>
        <v>-92.094283828527537</v>
      </c>
      <c r="BQ619" s="56">
        <f t="shared" si="520"/>
        <v>8.3489595529626914</v>
      </c>
    </row>
    <row r="620" spans="1:69" x14ac:dyDescent="0.25">
      <c r="A620">
        <f t="shared" si="534"/>
        <v>3500000</v>
      </c>
      <c r="B620">
        <f t="shared" si="508"/>
        <v>3500</v>
      </c>
      <c r="C620">
        <f t="shared" si="477"/>
        <v>29.045535539712926</v>
      </c>
      <c r="D620">
        <f t="shared" si="526"/>
        <v>1.5363608225856866</v>
      </c>
      <c r="F620">
        <f t="shared" si="479"/>
        <v>2.0922793053393812E-6</v>
      </c>
      <c r="G620">
        <f t="shared" si="527"/>
        <v>4.9204806125060509E-4</v>
      </c>
      <c r="H620">
        <f t="shared" si="481"/>
        <v>-3.1411006019387497</v>
      </c>
      <c r="J620">
        <f t="shared" si="482"/>
        <v>15</v>
      </c>
      <c r="M620">
        <f t="shared" si="528"/>
        <v>3.6349193393572321E-4</v>
      </c>
      <c r="N620">
        <f t="shared" si="484"/>
        <v>-1.5707963250000001</v>
      </c>
      <c r="O620">
        <f t="shared" si="529"/>
        <v>1016.871200656476</v>
      </c>
      <c r="P620">
        <f t="shared" si="486"/>
        <v>1.5698129179221341</v>
      </c>
      <c r="Q620">
        <f t="shared" si="530"/>
        <v>897.94313442190685</v>
      </c>
      <c r="R620">
        <f t="shared" si="488"/>
        <v>1.5696826702966498</v>
      </c>
      <c r="S620">
        <f t="shared" si="531"/>
        <v>3.6884657474526711E-2</v>
      </c>
      <c r="T620">
        <f t="shared" si="490"/>
        <v>-1.5339033007354086</v>
      </c>
      <c r="U620">
        <f t="shared" si="491"/>
        <v>4.5517400155463371E-2</v>
      </c>
      <c r="V620">
        <f t="shared" si="492"/>
        <v>-1.5252631945535373</v>
      </c>
      <c r="X620">
        <f t="shared" si="532"/>
        <v>-65.883538602183748</v>
      </c>
      <c r="Y620">
        <f t="shared" si="533"/>
        <v>-177.34229867649469</v>
      </c>
      <c r="Z620">
        <f t="shared" si="510"/>
        <v>2.6577013235053073</v>
      </c>
      <c r="AC620">
        <v>1</v>
      </c>
      <c r="AD620">
        <f t="shared" si="494"/>
        <v>1016.8707089520001</v>
      </c>
      <c r="AE620">
        <f t="shared" si="495"/>
        <v>-3.3543232225060873</v>
      </c>
      <c r="AF620">
        <f t="shared" si="496"/>
        <v>0.1528384824225</v>
      </c>
      <c r="AG620">
        <f t="shared" si="535"/>
        <v>13.486896522462722</v>
      </c>
      <c r="AH620">
        <f t="shared" si="536"/>
        <v>-302.53774750923725</v>
      </c>
      <c r="AJ620">
        <f t="shared" si="497"/>
        <v>18000</v>
      </c>
      <c r="AK620">
        <f t="shared" si="498"/>
        <v>487675.71024479996</v>
      </c>
      <c r="AL620">
        <v>1</v>
      </c>
      <c r="AM620">
        <f t="shared" si="499"/>
        <v>897.94257759360005</v>
      </c>
      <c r="AN620">
        <f t="shared" si="537"/>
        <v>543.12509884761903</v>
      </c>
      <c r="AO620">
        <f t="shared" si="538"/>
        <v>-19.440970209849198</v>
      </c>
      <c r="AQ620">
        <f t="shared" si="500"/>
        <v>2.0408162848813003E-4</v>
      </c>
      <c r="AR620">
        <f t="shared" si="501"/>
        <v>-1.4285713994169102</v>
      </c>
      <c r="AT620">
        <f t="shared" si="523"/>
        <v>-432.19402090790538</v>
      </c>
      <c r="AU620">
        <f t="shared" si="524"/>
        <v>-19.328737035076447</v>
      </c>
      <c r="AV620">
        <f t="shared" si="511"/>
        <v>-3.0969000730793108</v>
      </c>
      <c r="AW620">
        <f t="shared" si="512"/>
        <v>529.38105182282493</v>
      </c>
      <c r="AX620">
        <f t="shared" si="513"/>
        <v>-1147.02049988111</v>
      </c>
      <c r="AY620">
        <f t="shared" si="521"/>
        <v>-1.1383979126670987</v>
      </c>
      <c r="BA620">
        <f t="shared" si="502"/>
        <v>0.34245992166893763</v>
      </c>
      <c r="BB620">
        <f t="shared" si="514"/>
        <v>-9.3078049398685483</v>
      </c>
      <c r="BC620">
        <f t="shared" si="515"/>
        <v>-1.9585021604122121</v>
      </c>
      <c r="BD620">
        <f t="shared" si="503"/>
        <v>-292.21390808709657</v>
      </c>
      <c r="BF620">
        <f t="shared" si="504"/>
        <v>-70.111998801491623</v>
      </c>
      <c r="BG620">
        <f t="shared" si="505"/>
        <v>-204.15872476584431</v>
      </c>
      <c r="BH620">
        <f t="shared" si="516"/>
        <v>-24.158724765844312</v>
      </c>
      <c r="BI620">
        <f t="shared" si="517"/>
        <v>-24.158724765844312</v>
      </c>
      <c r="BJ620">
        <f t="shared" si="506"/>
        <v>0</v>
      </c>
      <c r="BK620">
        <f t="shared" si="518"/>
        <v>0</v>
      </c>
      <c r="BM620">
        <f t="shared" si="519"/>
        <v>-60.804193861623084</v>
      </c>
      <c r="BN620">
        <f t="shared" si="507"/>
        <v>-91.944816678747742</v>
      </c>
      <c r="BQ620" s="56">
        <f t="shared" si="520"/>
        <v>7.5941558604165893</v>
      </c>
    </row>
    <row r="621" spans="1:69" x14ac:dyDescent="0.25">
      <c r="A621">
        <f t="shared" si="534"/>
        <v>3750000</v>
      </c>
      <c r="B621">
        <f t="shared" si="508"/>
        <v>3750</v>
      </c>
      <c r="C621">
        <f t="shared" si="477"/>
        <v>31.117839339197698</v>
      </c>
      <c r="D621">
        <f t="shared" si="526"/>
        <v>1.5386548857212563</v>
      </c>
      <c r="F621">
        <f t="shared" si="479"/>
        <v>1.8226072844700041E-6</v>
      </c>
      <c r="G621">
        <f t="shared" si="527"/>
        <v>4.5924473737044263E-4</v>
      </c>
      <c r="H621">
        <f t="shared" si="481"/>
        <v>-3.1411334052626296</v>
      </c>
      <c r="J621">
        <f t="shared" si="482"/>
        <v>15</v>
      </c>
      <c r="M621">
        <f t="shared" si="528"/>
        <v>3.3925913834000824E-4</v>
      </c>
      <c r="N621">
        <f t="shared" si="484"/>
        <v>-1.5707963250000001</v>
      </c>
      <c r="O621">
        <f t="shared" si="529"/>
        <v>1089.5047899441918</v>
      </c>
      <c r="P621">
        <f t="shared" si="486"/>
        <v>1.5698784784755158</v>
      </c>
      <c r="Q621">
        <f t="shared" si="530"/>
        <v>962.08185284244041</v>
      </c>
      <c r="R621">
        <f t="shared" si="488"/>
        <v>1.5697569140078154</v>
      </c>
      <c r="S621">
        <f t="shared" si="531"/>
        <v>3.4428698986552875E-2</v>
      </c>
      <c r="T621">
        <f t="shared" si="490"/>
        <v>-1.5363608225856866</v>
      </c>
      <c r="U621">
        <f t="shared" si="491"/>
        <v>4.2488580188134985E-2</v>
      </c>
      <c r="V621">
        <f t="shared" si="492"/>
        <v>-1.5282949522501221</v>
      </c>
      <c r="X621">
        <f t="shared" si="532"/>
        <v>-67.080813060987396</v>
      </c>
      <c r="Y621">
        <f t="shared" si="533"/>
        <v>-177.51924038939075</v>
      </c>
      <c r="Z621">
        <f t="shared" si="510"/>
        <v>2.4807596106092547</v>
      </c>
      <c r="AC621">
        <v>1</v>
      </c>
      <c r="AD621">
        <f t="shared" si="494"/>
        <v>1089.5043310200001</v>
      </c>
      <c r="AE621">
        <f t="shared" si="495"/>
        <v>-3.8506261482850488</v>
      </c>
      <c r="AF621">
        <f t="shared" si="496"/>
        <v>0.16375551688125001</v>
      </c>
      <c r="AG621">
        <f t="shared" si="535"/>
        <v>11.751723552436621</v>
      </c>
      <c r="AH621">
        <f t="shared" si="536"/>
        <v>-282.44235601521586</v>
      </c>
      <c r="AJ621">
        <f t="shared" si="497"/>
        <v>18000</v>
      </c>
      <c r="AK621">
        <f t="shared" si="498"/>
        <v>522509.68954799994</v>
      </c>
      <c r="AL621">
        <v>1</v>
      </c>
      <c r="AM621">
        <f t="shared" si="499"/>
        <v>962.08133313600013</v>
      </c>
      <c r="AN621">
        <f t="shared" si="537"/>
        <v>543.12230833249612</v>
      </c>
      <c r="AO621">
        <f t="shared" si="538"/>
        <v>-18.14490842969073</v>
      </c>
      <c r="AQ621">
        <f t="shared" si="500"/>
        <v>1.77777774617284E-4</v>
      </c>
      <c r="AR621">
        <f t="shared" si="501"/>
        <v>-1.33333330962963</v>
      </c>
      <c r="AT621">
        <f t="shared" si="523"/>
        <v>-376.58771213009692</v>
      </c>
      <c r="AU621">
        <f t="shared" si="524"/>
        <v>-15.719176431532842</v>
      </c>
      <c r="AV621">
        <f t="shared" si="511"/>
        <v>-3.0998757940318562</v>
      </c>
      <c r="AW621">
        <f t="shared" si="512"/>
        <v>531.1529490608591</v>
      </c>
      <c r="AX621">
        <f t="shared" si="513"/>
        <v>-1070.6243958566167</v>
      </c>
      <c r="AY621">
        <f t="shared" si="521"/>
        <v>-1.1102614499636987</v>
      </c>
      <c r="BA621">
        <f t="shared" si="502"/>
        <v>0.31537357961084517</v>
      </c>
      <c r="BB621">
        <f t="shared" si="514"/>
        <v>-10.023493849174178</v>
      </c>
      <c r="BC621">
        <f t="shared" si="515"/>
        <v>-1.9896143440681575</v>
      </c>
      <c r="BD621">
        <f t="shared" si="503"/>
        <v>-293.99650490405509</v>
      </c>
      <c r="BF621">
        <f t="shared" si="504"/>
        <v>-71.427617949760304</v>
      </c>
      <c r="BG621">
        <f t="shared" si="505"/>
        <v>-205.81176093906237</v>
      </c>
      <c r="BH621">
        <f t="shared" si="516"/>
        <v>-25.811760939062367</v>
      </c>
      <c r="BI621">
        <f t="shared" si="517"/>
        <v>-25.811760939062367</v>
      </c>
      <c r="BJ621">
        <f t="shared" si="506"/>
        <v>0</v>
      </c>
      <c r="BK621">
        <f t="shared" si="518"/>
        <v>0</v>
      </c>
      <c r="BM621">
        <f t="shared" si="519"/>
        <v>-61.404124100586124</v>
      </c>
      <c r="BN621">
        <f t="shared" si="507"/>
        <v>-91.815256035007337</v>
      </c>
      <c r="BQ621" s="56">
        <f t="shared" si="520"/>
        <v>6.8784669511109566</v>
      </c>
    </row>
    <row r="622" spans="1:69" x14ac:dyDescent="0.25">
      <c r="A622">
        <f t="shared" si="534"/>
        <v>4000000</v>
      </c>
      <c r="B622">
        <f t="shared" si="508"/>
        <v>4000</v>
      </c>
      <c r="C622">
        <f t="shared" si="477"/>
        <v>33.190286452908055</v>
      </c>
      <c r="D622">
        <f t="shared" si="526"/>
        <v>1.5406624694383642</v>
      </c>
      <c r="F622">
        <f t="shared" si="479"/>
        <v>1.6019005984425867E-6</v>
      </c>
      <c r="G622">
        <f t="shared" si="527"/>
        <v>4.3054184936774421E-4</v>
      </c>
      <c r="H622">
        <f t="shared" si="481"/>
        <v>-3.1411621081506325</v>
      </c>
      <c r="J622">
        <f t="shared" si="482"/>
        <v>15</v>
      </c>
      <c r="M622">
        <f t="shared" si="528"/>
        <v>3.1805544219375777E-4</v>
      </c>
      <c r="N622">
        <f t="shared" si="484"/>
        <v>-1.5707963250000001</v>
      </c>
      <c r="O622">
        <f t="shared" si="529"/>
        <v>1162.1383833294408</v>
      </c>
      <c r="P622">
        <f t="shared" si="486"/>
        <v>1.5699358439662165</v>
      </c>
      <c r="Q622">
        <f t="shared" si="530"/>
        <v>1026.2205759032038</v>
      </c>
      <c r="R622">
        <f t="shared" si="488"/>
        <v>1.5698218772645132</v>
      </c>
      <c r="S622">
        <f t="shared" si="531"/>
        <v>3.227922200950286E-2</v>
      </c>
      <c r="T622">
        <f t="shared" si="490"/>
        <v>-1.5385114966093834</v>
      </c>
      <c r="U622">
        <f t="shared" si="491"/>
        <v>3.9837398552544583E-2</v>
      </c>
      <c r="V622">
        <f t="shared" si="492"/>
        <v>-1.5309483835964923</v>
      </c>
      <c r="X622">
        <f t="shared" si="532"/>
        <v>-68.200935053561906</v>
      </c>
      <c r="Y622">
        <f t="shared" si="533"/>
        <v>-177.67410491100256</v>
      </c>
      <c r="Z622">
        <f t="shared" si="510"/>
        <v>2.3258950889974415</v>
      </c>
      <c r="AC622">
        <v>1</v>
      </c>
      <c r="AD622">
        <f t="shared" si="494"/>
        <v>1162.1379530879999</v>
      </c>
      <c r="AE622">
        <f t="shared" si="495"/>
        <v>-4.3811568620487682</v>
      </c>
      <c r="AF622">
        <f t="shared" si="496"/>
        <v>0.17467255134000001</v>
      </c>
      <c r="AG622">
        <f t="shared" si="535"/>
        <v>10.330921701238815</v>
      </c>
      <c r="AH622">
        <f t="shared" si="536"/>
        <v>-264.84635478085625</v>
      </c>
      <c r="AJ622">
        <f t="shared" si="497"/>
        <v>18000</v>
      </c>
      <c r="AK622">
        <f t="shared" si="498"/>
        <v>557343.66885119991</v>
      </c>
      <c r="AL622">
        <v>1</v>
      </c>
      <c r="AM622">
        <f t="shared" si="499"/>
        <v>1026.2200886784001</v>
      </c>
      <c r="AN622">
        <f t="shared" si="537"/>
        <v>543.12002449968168</v>
      </c>
      <c r="AO622">
        <f t="shared" si="538"/>
        <v>-17.010853878315579</v>
      </c>
      <c r="AQ622">
        <f t="shared" si="500"/>
        <v>1.562499975585938E-4</v>
      </c>
      <c r="AR622">
        <f t="shared" si="501"/>
        <v>-1.2499999804687503</v>
      </c>
      <c r="AT622">
        <f t="shared" si="523"/>
        <v>-331.05632409679941</v>
      </c>
      <c r="AU622">
        <f t="shared" si="524"/>
        <v>-12.955034167060617</v>
      </c>
      <c r="AV622">
        <f t="shared" si="511"/>
        <v>-3.1024801932207202</v>
      </c>
      <c r="AW622">
        <f t="shared" si="512"/>
        <v>532.60240637987056</v>
      </c>
      <c r="AX622">
        <f t="shared" si="513"/>
        <v>-1003.7655890479414</v>
      </c>
      <c r="AY622">
        <f t="shared" si="521"/>
        <v>-1.082966034244349</v>
      </c>
      <c r="BA622">
        <f t="shared" si="502"/>
        <v>0.29156514603846495</v>
      </c>
      <c r="BB622">
        <f t="shared" si="514"/>
        <v>-10.705287864136777</v>
      </c>
      <c r="BC622">
        <f t="shared" si="515"/>
        <v>-2.0195141589763712</v>
      </c>
      <c r="BD622">
        <f t="shared" si="503"/>
        <v>-295.70963810847559</v>
      </c>
      <c r="BF622">
        <f t="shared" si="504"/>
        <v>-72.670531397296457</v>
      </c>
      <c r="BG622">
        <f t="shared" si="505"/>
        <v>-207.41151262368629</v>
      </c>
      <c r="BH622">
        <f t="shared" si="516"/>
        <v>-27.411512623686292</v>
      </c>
      <c r="BI622">
        <f t="shared" si="517"/>
        <v>-27.411512623686292</v>
      </c>
      <c r="BJ622">
        <f t="shared" si="506"/>
        <v>0</v>
      </c>
      <c r="BK622">
        <f t="shared" si="518"/>
        <v>0</v>
      </c>
      <c r="BM622">
        <f t="shared" si="519"/>
        <v>-61.965243533159686</v>
      </c>
      <c r="BN622">
        <f t="shared" si="507"/>
        <v>-91.701874515210704</v>
      </c>
      <c r="BQ622" s="56">
        <f t="shared" si="520"/>
        <v>6.1966729361483583</v>
      </c>
    </row>
    <row r="623" spans="1:69" x14ac:dyDescent="0.25">
      <c r="A623">
        <f>A622+250000</f>
        <v>4250000</v>
      </c>
      <c r="B623">
        <f t="shared" si="508"/>
        <v>4250</v>
      </c>
      <c r="C623">
        <f t="shared" si="477"/>
        <v>35.262851612520542</v>
      </c>
      <c r="D623">
        <f t="shared" si="526"/>
        <v>1.5424340691651743</v>
      </c>
      <c r="F623">
        <f t="shared" si="479"/>
        <v>1.4189843670889271E-6</v>
      </c>
      <c r="G623">
        <f t="shared" si="527"/>
        <v>4.0521578653098737E-4</v>
      </c>
      <c r="H623">
        <f t="shared" si="481"/>
        <v>-3.1411874342134691</v>
      </c>
      <c r="J623">
        <f t="shared" si="482"/>
        <v>15</v>
      </c>
      <c r="M623">
        <f t="shared" si="528"/>
        <v>2.9934629853530144E-4</v>
      </c>
      <c r="N623">
        <f t="shared" si="484"/>
        <v>-1.5707963250000001</v>
      </c>
      <c r="O623">
        <f t="shared" si="529"/>
        <v>1234.7719800891293</v>
      </c>
      <c r="P623">
        <f t="shared" si="486"/>
        <v>1.5699864605803735</v>
      </c>
      <c r="Q623">
        <f t="shared" si="530"/>
        <v>1090.3593027853337</v>
      </c>
      <c r="R623">
        <f t="shared" si="488"/>
        <v>1.569879197791977</v>
      </c>
      <c r="S623">
        <f t="shared" si="531"/>
        <v>3.0382251689254278E-2</v>
      </c>
      <c r="T623">
        <f t="shared" si="490"/>
        <v>-1.5404093989486547</v>
      </c>
      <c r="U623">
        <f t="shared" si="491"/>
        <v>3.749741989898242E-2</v>
      </c>
      <c r="V623">
        <f t="shared" si="492"/>
        <v>-1.5332901140828497</v>
      </c>
      <c r="X623">
        <f t="shared" si="532"/>
        <v>-69.253241316540667</v>
      </c>
      <c r="Y623">
        <f t="shared" si="533"/>
        <v>-177.81077952526428</v>
      </c>
      <c r="Z623">
        <f t="shared" si="510"/>
        <v>2.1892204747357198</v>
      </c>
      <c r="AC623">
        <v>1</v>
      </c>
      <c r="AD623">
        <f t="shared" si="494"/>
        <v>1234.7715751559999</v>
      </c>
      <c r="AE623">
        <f t="shared" si="495"/>
        <v>-4.9459153637972415</v>
      </c>
      <c r="AF623">
        <f t="shared" si="496"/>
        <v>0.18558958579875001</v>
      </c>
      <c r="AG623">
        <f t="shared" si="535"/>
        <v>9.1529249442350231</v>
      </c>
      <c r="AH623">
        <f t="shared" si="536"/>
        <v>-249.31136036667976</v>
      </c>
      <c r="AJ623">
        <f t="shared" si="497"/>
        <v>18000</v>
      </c>
      <c r="AK623">
        <f t="shared" si="498"/>
        <v>592177.64815439994</v>
      </c>
      <c r="AL623">
        <v>1</v>
      </c>
      <c r="AM623">
        <f t="shared" si="499"/>
        <v>1090.3588442208002</v>
      </c>
      <c r="AN623">
        <f t="shared" si="537"/>
        <v>543.11813171447091</v>
      </c>
      <c r="AO623">
        <f t="shared" si="538"/>
        <v>-16.010217150813947</v>
      </c>
      <c r="AQ623">
        <f t="shared" si="500"/>
        <v>1.3840830258258404E-4</v>
      </c>
      <c r="AR623">
        <f t="shared" si="501"/>
        <v>-1.1764705719519644</v>
      </c>
      <c r="AT623">
        <f t="shared" si="523"/>
        <v>-293.30621188390484</v>
      </c>
      <c r="AU623">
        <f t="shared" si="524"/>
        <v>-10.802653606380487</v>
      </c>
      <c r="AV623">
        <f t="shared" si="511"/>
        <v>-3.1047786600339884</v>
      </c>
      <c r="AW623">
        <f t="shared" si="512"/>
        <v>533.80319598993492</v>
      </c>
      <c r="AX623">
        <f t="shared" si="513"/>
        <v>-944.76364394132293</v>
      </c>
      <c r="AY623">
        <f t="shared" si="521"/>
        <v>-1.0565003683907361</v>
      </c>
      <c r="BA623">
        <f t="shared" si="502"/>
        <v>0.27047722424146636</v>
      </c>
      <c r="BB623">
        <f t="shared" si="514"/>
        <v>-11.357385982881826</v>
      </c>
      <c r="BC623">
        <f t="shared" si="515"/>
        <v>-2.0482782916432525</v>
      </c>
      <c r="BD623">
        <f t="shared" si="503"/>
        <v>-297.35770151352546</v>
      </c>
      <c r="BF623">
        <f t="shared" si="504"/>
        <v>-73.849659991956528</v>
      </c>
      <c r="BG623">
        <f t="shared" si="505"/>
        <v>-208.95952191780131</v>
      </c>
      <c r="BH623">
        <f t="shared" si="516"/>
        <v>-28.959521917801311</v>
      </c>
      <c r="BI623">
        <f t="shared" si="517"/>
        <v>-28.959521917801311</v>
      </c>
      <c r="BJ623">
        <f t="shared" si="506"/>
        <v>0</v>
      </c>
      <c r="BK623">
        <f t="shared" si="518"/>
        <v>0</v>
      </c>
      <c r="BM623">
        <f t="shared" si="519"/>
        <v>-62.492274009074706</v>
      </c>
      <c r="BN623">
        <f t="shared" si="507"/>
        <v>-91.601820404275841</v>
      </c>
      <c r="BQ623" s="56">
        <f t="shared" si="520"/>
        <v>5.5445748174033103</v>
      </c>
    </row>
    <row r="624" spans="1:69" x14ac:dyDescent="0.25">
      <c r="A624">
        <f t="shared" si="534"/>
        <v>4500000</v>
      </c>
      <c r="B624">
        <f t="shared" si="508"/>
        <v>4500</v>
      </c>
      <c r="C624">
        <f t="shared" si="477"/>
        <v>37.335515159185526</v>
      </c>
      <c r="D624">
        <f t="shared" si="526"/>
        <v>1.5440089743382059</v>
      </c>
      <c r="F624">
        <f t="shared" si="479"/>
        <v>1.2656988348631645E-6</v>
      </c>
      <c r="G624">
        <f t="shared" si="527"/>
        <v>3.8270374164516561E-4</v>
      </c>
      <c r="H624">
        <f t="shared" si="481"/>
        <v>-3.1412099462583551</v>
      </c>
      <c r="J624">
        <f t="shared" si="482"/>
        <v>15</v>
      </c>
      <c r="M624">
        <f t="shared" si="528"/>
        <v>2.8271594861667361E-4</v>
      </c>
      <c r="N624">
        <f t="shared" si="484"/>
        <v>-1.5707963250000001</v>
      </c>
      <c r="O624">
        <f t="shared" si="529"/>
        <v>1307.4055796608511</v>
      </c>
      <c r="P624">
        <f t="shared" si="486"/>
        <v>1.570031453129783</v>
      </c>
      <c r="Q624">
        <f t="shared" si="530"/>
        <v>1154.4980328519362</v>
      </c>
      <c r="R624">
        <f t="shared" si="488"/>
        <v>1.5699301493770161</v>
      </c>
      <c r="S624">
        <f t="shared" si="531"/>
        <v>2.869577956121332E-2</v>
      </c>
      <c r="T624">
        <f t="shared" si="490"/>
        <v>-1.5420966075277225</v>
      </c>
      <c r="U624">
        <f t="shared" si="491"/>
        <v>3.5416919723797596E-2</v>
      </c>
      <c r="V624">
        <f t="shared" si="492"/>
        <v>-1.5353719986379353</v>
      </c>
      <c r="X624">
        <f t="shared" si="532"/>
        <v>-70.245471158378251</v>
      </c>
      <c r="Y624">
        <f t="shared" si="533"/>
        <v>-177.93228988622104</v>
      </c>
      <c r="Z624">
        <f t="shared" si="510"/>
        <v>2.0677101137789577</v>
      </c>
      <c r="AC624">
        <v>1</v>
      </c>
      <c r="AD624">
        <f t="shared" si="494"/>
        <v>1307.4051972239999</v>
      </c>
      <c r="AE624">
        <f t="shared" si="495"/>
        <v>-5.5449016535304709</v>
      </c>
      <c r="AF624">
        <f t="shared" si="496"/>
        <v>0.19650662025749999</v>
      </c>
      <c r="AG624">
        <f t="shared" si="535"/>
        <v>8.1654232886136295</v>
      </c>
      <c r="AH624">
        <f t="shared" si="536"/>
        <v>-235.49572545784861</v>
      </c>
      <c r="AJ624">
        <f t="shared" si="497"/>
        <v>18000</v>
      </c>
      <c r="AK624">
        <f t="shared" si="498"/>
        <v>627011.62745759997</v>
      </c>
      <c r="AL624">
        <v>1</v>
      </c>
      <c r="AM624">
        <f t="shared" si="499"/>
        <v>1154.4975997632</v>
      </c>
      <c r="AN624">
        <f t="shared" si="537"/>
        <v>543.11654554173731</v>
      </c>
      <c r="AO624">
        <f t="shared" si="538"/>
        <v>-15.120762016342745</v>
      </c>
      <c r="AQ624">
        <f t="shared" si="500"/>
        <v>1.234567885992989E-4</v>
      </c>
      <c r="AR624">
        <f t="shared" si="501"/>
        <v>-1.1111110973936902</v>
      </c>
      <c r="AT624">
        <f t="shared" si="523"/>
        <v>-261.66090586805655</v>
      </c>
      <c r="AU624">
        <f t="shared" si="524"/>
        <v>-9.1017659768893733</v>
      </c>
      <c r="AV624">
        <f t="shared" si="511"/>
        <v>-3.1068220879872914</v>
      </c>
      <c r="AW624">
        <f t="shared" si="512"/>
        <v>534.80913052583844</v>
      </c>
      <c r="AX624">
        <f t="shared" si="513"/>
        <v>-892.3108902330813</v>
      </c>
      <c r="AY624">
        <f t="shared" si="521"/>
        <v>-1.0308527623129304</v>
      </c>
      <c r="BA624">
        <f t="shared" si="502"/>
        <v>0.25167479652042873</v>
      </c>
      <c r="BB624">
        <f t="shared" si="514"/>
        <v>-11.98320547688763</v>
      </c>
      <c r="BC624">
        <f t="shared" si="515"/>
        <v>-2.075969325674361</v>
      </c>
      <c r="BD624">
        <f t="shared" si="503"/>
        <v>-298.94428089567407</v>
      </c>
      <c r="BF624">
        <f t="shared" si="504"/>
        <v>-74.97232972663052</v>
      </c>
      <c r="BG624">
        <f t="shared" si="505"/>
        <v>-210.45715572546038</v>
      </c>
      <c r="BH624">
        <f t="shared" si="516"/>
        <v>-30.457155725460382</v>
      </c>
      <c r="BI624">
        <f t="shared" si="517"/>
        <v>-30.457155725460382</v>
      </c>
      <c r="BJ624">
        <f t="shared" si="506"/>
        <v>0</v>
      </c>
      <c r="BK624">
        <f t="shared" si="518"/>
        <v>0</v>
      </c>
      <c r="BM624">
        <f t="shared" si="519"/>
        <v>-62.989124249742886</v>
      </c>
      <c r="BN624">
        <f t="shared" si="507"/>
        <v>-91.512874829786369</v>
      </c>
      <c r="BQ624" s="56">
        <f t="shared" si="520"/>
        <v>4.918755323397507</v>
      </c>
    </row>
    <row r="625" spans="1:69" x14ac:dyDescent="0.25">
      <c r="A625">
        <f t="shared" si="534"/>
        <v>4750000</v>
      </c>
      <c r="B625">
        <f t="shared" si="508"/>
        <v>4750</v>
      </c>
      <c r="C625">
        <f t="shared" si="477"/>
        <v>39.408261569009625</v>
      </c>
      <c r="D625">
        <f t="shared" si="526"/>
        <v>1.5454182129250758</v>
      </c>
      <c r="F625">
        <f t="shared" si="479"/>
        <v>1.1359733298118982E-6</v>
      </c>
      <c r="G625">
        <f t="shared" si="527"/>
        <v>3.6256139395740767E-4</v>
      </c>
      <c r="H625">
        <f t="shared" si="481"/>
        <v>-3.1412300886060427</v>
      </c>
      <c r="J625">
        <f t="shared" si="482"/>
        <v>15</v>
      </c>
      <c r="M625">
        <f t="shared" si="528"/>
        <v>2.6783616184737494E-4</v>
      </c>
      <c r="N625">
        <f t="shared" si="484"/>
        <v>-1.5707963250000001</v>
      </c>
      <c r="O625">
        <f t="shared" si="529"/>
        <v>1380.0391816006013</v>
      </c>
      <c r="P625">
        <f t="shared" si="486"/>
        <v>1.57007170962399</v>
      </c>
      <c r="Q625">
        <f t="shared" si="530"/>
        <v>1218.6367656002001</v>
      </c>
      <c r="R625">
        <f t="shared" si="488"/>
        <v>1.5699757376411341</v>
      </c>
      <c r="S625">
        <f t="shared" si="531"/>
        <v>2.7186622642108429E-2</v>
      </c>
      <c r="T625">
        <f t="shared" si="490"/>
        <v>-1.5436063540432057</v>
      </c>
      <c r="U625">
        <f t="shared" si="491"/>
        <v>3.3555028354656187E-2</v>
      </c>
      <c r="V625">
        <f t="shared" si="492"/>
        <v>-1.5372349984233022</v>
      </c>
      <c r="X625">
        <f t="shared" si="532"/>
        <v>-71.184111064843123</v>
      </c>
      <c r="Y625">
        <f t="shared" si="533"/>
        <v>-178.0410261205644</v>
      </c>
      <c r="Z625">
        <f t="shared" si="510"/>
        <v>1.9589738794356037</v>
      </c>
      <c r="AC625">
        <v>1</v>
      </c>
      <c r="AD625">
        <f t="shared" si="494"/>
        <v>1380.038819292</v>
      </c>
      <c r="AE625">
        <f t="shared" si="495"/>
        <v>-6.1781157312484565</v>
      </c>
      <c r="AF625">
        <f t="shared" si="496"/>
        <v>0.20742365471625002</v>
      </c>
      <c r="AG625">
        <f t="shared" si="535"/>
        <v>7.3294662471657581</v>
      </c>
      <c r="AH625">
        <f t="shared" si="536"/>
        <v>-223.12927995884695</v>
      </c>
      <c r="AJ625">
        <f t="shared" si="497"/>
        <v>18000</v>
      </c>
      <c r="AK625">
        <f t="shared" si="498"/>
        <v>661845.6067608</v>
      </c>
      <c r="AL625">
        <v>1</v>
      </c>
      <c r="AM625">
        <f t="shared" si="499"/>
        <v>1218.6363553056001</v>
      </c>
      <c r="AN625">
        <f t="shared" si="537"/>
        <v>543.11520316359019</v>
      </c>
      <c r="AO625">
        <f t="shared" si="538"/>
        <v>-14.324933538076426</v>
      </c>
      <c r="AQ625">
        <f t="shared" si="500"/>
        <v>1.1080332287198534E-4</v>
      </c>
      <c r="AR625">
        <f t="shared" si="501"/>
        <v>-1.0526315672838606</v>
      </c>
      <c r="AT625">
        <f t="shared" si="523"/>
        <v>-234.87211154078531</v>
      </c>
      <c r="AU625">
        <f t="shared" si="524"/>
        <v>-7.7399510087577221</v>
      </c>
      <c r="AV625">
        <f t="shared" si="511"/>
        <v>-3.1086506792315993</v>
      </c>
      <c r="AW625">
        <f t="shared" si="512"/>
        <v>535.66021138227075</v>
      </c>
      <c r="AX625">
        <f t="shared" si="513"/>
        <v>-845.37451957684834</v>
      </c>
      <c r="AY625">
        <f t="shared" si="521"/>
        <v>-1.0060105365742491</v>
      </c>
      <c r="BA625">
        <f t="shared" si="502"/>
        <v>0.23481301249537551</v>
      </c>
      <c r="BB625">
        <f t="shared" si="514"/>
        <v>-12.585556794285026</v>
      </c>
      <c r="BC625">
        <f t="shared" si="515"/>
        <v>-2.10264014265735</v>
      </c>
      <c r="BD625">
        <f t="shared" si="503"/>
        <v>-300.47240614671125</v>
      </c>
      <c r="BF625">
        <f t="shared" si="504"/>
        <v>-76.044623367161975</v>
      </c>
      <c r="BG625">
        <f t="shared" si="505"/>
        <v>-211.90569162456407</v>
      </c>
      <c r="BH625">
        <f t="shared" si="516"/>
        <v>-31.905691624564071</v>
      </c>
      <c r="BI625">
        <f t="shared" si="517"/>
        <v>-31.905691624564071</v>
      </c>
      <c r="BJ625">
        <f t="shared" si="506"/>
        <v>0</v>
      </c>
      <c r="BK625">
        <f t="shared" si="518"/>
        <v>0</v>
      </c>
      <c r="BM625">
        <f t="shared" si="519"/>
        <v>-63.459066572876957</v>
      </c>
      <c r="BN625">
        <f t="shared" si="507"/>
        <v>-91.433285477852777</v>
      </c>
      <c r="BQ625" s="56">
        <f t="shared" si="520"/>
        <v>4.3164040060001092</v>
      </c>
    </row>
    <row r="626" spans="1:69" x14ac:dyDescent="0.25">
      <c r="A626">
        <f t="shared" si="534"/>
        <v>5000000</v>
      </c>
      <c r="B626">
        <f t="shared" si="508"/>
        <v>5000</v>
      </c>
      <c r="C626">
        <f t="shared" si="477"/>
        <v>41.481078420356532</v>
      </c>
      <c r="D626">
        <f t="shared" si="526"/>
        <v>1.5466866140207001</v>
      </c>
      <c r="F626">
        <f t="shared" si="479"/>
        <v>1.0252158225068503E-6</v>
      </c>
      <c r="G626">
        <f t="shared" si="527"/>
        <v>3.4443328735806117E-4</v>
      </c>
      <c r="H626">
        <f t="shared" si="481"/>
        <v>-3.1412482167126421</v>
      </c>
      <c r="J626">
        <f t="shared" si="482"/>
        <v>15</v>
      </c>
      <c r="M626">
        <f t="shared" si="528"/>
        <v>2.5444435375500618E-4</v>
      </c>
      <c r="N626">
        <f t="shared" si="484"/>
        <v>-1.5707963250000001</v>
      </c>
      <c r="O626">
        <f t="shared" si="529"/>
        <v>1452.6727855531756</v>
      </c>
      <c r="P626">
        <f t="shared" si="486"/>
        <v>1.5701079404707883</v>
      </c>
      <c r="Q626">
        <f t="shared" si="530"/>
        <v>1282.7755006278765</v>
      </c>
      <c r="R626">
        <f t="shared" si="488"/>
        <v>1.570016767081762</v>
      </c>
      <c r="S626">
        <f t="shared" si="531"/>
        <v>2.5828222162348053E-2</v>
      </c>
      <c r="T626">
        <f t="shared" si="490"/>
        <v>-1.5449652321149749</v>
      </c>
      <c r="U626">
        <f t="shared" si="491"/>
        <v>3.1879026811070604E-2</v>
      </c>
      <c r="V626">
        <f t="shared" si="492"/>
        <v>-1.5389118978840413</v>
      </c>
      <c r="X626">
        <f t="shared" si="532"/>
        <v>-72.074651167048316</v>
      </c>
      <c r="Y626">
        <f t="shared" si="533"/>
        <v>-178.13890130692579</v>
      </c>
      <c r="Z626">
        <f t="shared" si="510"/>
        <v>1.8610986930742115</v>
      </c>
      <c r="AC626">
        <v>1</v>
      </c>
      <c r="AD626">
        <f t="shared" si="494"/>
        <v>1452.67244136</v>
      </c>
      <c r="AE626">
        <f t="shared" si="495"/>
        <v>-6.8455575969511999</v>
      </c>
      <c r="AF626">
        <f t="shared" si="496"/>
        <v>0.21834068917499999</v>
      </c>
      <c r="AG626">
        <f t="shared" si="535"/>
        <v>6.6155695396214016</v>
      </c>
      <c r="AH626">
        <f t="shared" si="536"/>
        <v>-211.9955858663385</v>
      </c>
      <c r="AJ626">
        <f t="shared" si="497"/>
        <v>18000</v>
      </c>
      <c r="AK626">
        <f t="shared" si="498"/>
        <v>696679.58606399992</v>
      </c>
      <c r="AL626">
        <v>1</v>
      </c>
      <c r="AM626">
        <f t="shared" si="499"/>
        <v>1282.7751108480002</v>
      </c>
      <c r="AN626">
        <f t="shared" si="537"/>
        <v>543.11405706273308</v>
      </c>
      <c r="AO626">
        <f t="shared" si="538"/>
        <v>-13.608687754626839</v>
      </c>
      <c r="AQ626">
        <f t="shared" si="500"/>
        <v>9.9999999000000009E-5</v>
      </c>
      <c r="AR626">
        <f t="shared" si="501"/>
        <v>-0.99999999000000006</v>
      </c>
      <c r="AT626">
        <f t="shared" si="523"/>
        <v>-211.99492218943533</v>
      </c>
      <c r="AU626">
        <f t="shared" si="524"/>
        <v>-6.6367690318403447</v>
      </c>
      <c r="AV626">
        <f t="shared" si="511"/>
        <v>-3.1102966110033794</v>
      </c>
      <c r="AW626">
        <f t="shared" si="512"/>
        <v>536.38667514174358</v>
      </c>
      <c r="AX626">
        <f t="shared" si="513"/>
        <v>-803.12799107545868</v>
      </c>
      <c r="AY626">
        <f t="shared" si="521"/>
        <v>-0.98195974524712959</v>
      </c>
      <c r="BA626">
        <f t="shared" si="502"/>
        <v>0.21961465277713657</v>
      </c>
      <c r="BB626">
        <f t="shared" si="514"/>
        <v>-13.166773739087493</v>
      </c>
      <c r="BC626">
        <f t="shared" si="515"/>
        <v>-2.1283368657562498</v>
      </c>
      <c r="BD626">
        <f t="shared" si="503"/>
        <v>-301.94471992927697</v>
      </c>
      <c r="BF626">
        <f t="shared" si="504"/>
        <v>-77.071641782340336</v>
      </c>
      <c r="BG626">
        <f t="shared" si="505"/>
        <v>-213.30637004153752</v>
      </c>
      <c r="BH626">
        <f t="shared" si="516"/>
        <v>-33.306370041537519</v>
      </c>
      <c r="BI626">
        <f t="shared" si="517"/>
        <v>-33.306370041537519</v>
      </c>
      <c r="BJ626">
        <f t="shared" si="506"/>
        <v>0</v>
      </c>
      <c r="BK626">
        <f t="shared" si="518"/>
        <v>0</v>
      </c>
      <c r="BM626">
        <f t="shared" si="519"/>
        <v>-63.90486804325284</v>
      </c>
      <c r="BN626">
        <f t="shared" si="507"/>
        <v>-91.361650112260591</v>
      </c>
      <c r="BQ626" s="56">
        <f t="shared" si="520"/>
        <v>3.7351870611976445</v>
      </c>
    </row>
    <row r="627" spans="1:69" x14ac:dyDescent="0.25">
      <c r="A627">
        <f>A626+100000</f>
        <v>5100000</v>
      </c>
      <c r="B627">
        <f t="shared" si="508"/>
        <v>5100</v>
      </c>
      <c r="C627">
        <f t="shared" ref="C627:C676" si="539">SQRT((A627/Fesr)^2+1)</f>
        <v>42.310222565464784</v>
      </c>
      <c r="D627">
        <f t="shared" ref="D627:D676" si="540">ATAN(A627/Fesr)</f>
        <v>1.5471591756625656</v>
      </c>
      <c r="F627">
        <f t="shared" ref="F627:F676" si="541">(Ro/(Ro+Rdcr))/SQRT((A627/(Q*Fo))^2+(1-(A627^2/Fo^2))^2)</f>
        <v>9.8540540543441709E-7</v>
      </c>
      <c r="G627">
        <f t="shared" ref="G627:G676" si="542">-ATAN(A627*Fo/(Q*(Fo^2-A627^2)))</f>
        <v>3.3767968048458986E-4</v>
      </c>
      <c r="H627">
        <f t="shared" si="481"/>
        <v>-3.1412549703195158</v>
      </c>
      <c r="J627">
        <f t="shared" si="482"/>
        <v>15</v>
      </c>
      <c r="M627">
        <f t="shared" ref="M627:M676" si="543">1/(2*Pi*_Rfb1*(Cc1ea_u+Cc2ea_u)*A627)</f>
        <v>2.4945524877941785E-4</v>
      </c>
      <c r="N627">
        <f t="shared" si="484"/>
        <v>-1.5707963250000001</v>
      </c>
      <c r="O627">
        <f t="shared" ref="O627:O676" si="544">SQRT(1+(A627/Fz1_u)^2)</f>
        <v>1481.7262276314912</v>
      </c>
      <c r="P627">
        <f t="shared" si="486"/>
        <v>1.5701214382377096</v>
      </c>
      <c r="Q627">
        <f t="shared" ref="Q627:Q676" si="545">SQRT(1+(A627/Fz2_u)^2)</f>
        <v>1308.430995202096</v>
      </c>
      <c r="R627">
        <f t="shared" si="488"/>
        <v>1.5700320525603215</v>
      </c>
      <c r="S627">
        <f t="shared" ref="S627:S676" si="546">1/SQRT(1+(A627/Fp1_u)^2)</f>
        <v>2.5322114410253751E-2</v>
      </c>
      <c r="T627">
        <f t="shared" si="490"/>
        <v>-1.5454715054735451</v>
      </c>
      <c r="U627">
        <f t="shared" ref="U627:U676" si="547">1/SQRT(1+(A627/Fp2_u)^2)</f>
        <v>3.1254564560984133E-2</v>
      </c>
      <c r="V627">
        <f t="shared" si="492"/>
        <v>-1.539536671503668</v>
      </c>
      <c r="X627">
        <f t="shared" ref="X627:X676" si="548">20*LOG(C627*J627*O627*Q627*F627*M627*S627*U627)</f>
        <v>-72.418472666335248</v>
      </c>
      <c r="Y627">
        <f t="shared" ref="Y627:Y676" si="549">(180/Pi)*(D627+H627+N627+P627+R627+T627+V627)</f>
        <v>-178.1753675322941</v>
      </c>
      <c r="Z627">
        <f t="shared" si="510"/>
        <v>1.8246324677058965</v>
      </c>
      <c r="AC627">
        <v>1</v>
      </c>
      <c r="AD627">
        <f t="shared" ref="AD627:AD676" si="550">Rcea1_u*Cc1ea_u*A627*2*Pi</f>
        <v>1481.7258901872001</v>
      </c>
      <c r="AE627">
        <f t="shared" ref="AE627:AE676" si="551">-Rcea1_u*Cc1ea_u*Cc2ea_u*(A627*2*Pi)^2</f>
        <v>-7.1221181238680265</v>
      </c>
      <c r="AF627">
        <f t="shared" ref="AF627:AF676" si="552">(Cc2ea_u+Cc1ea_u)*A627*2*Pi</f>
        <v>0.2227075029585</v>
      </c>
      <c r="AG627">
        <f t="shared" ref="AG627:AG676" si="553">AC627*AE627/(AE627^2+AF627^2)+AD627*AF627/(AE627^2+AF627^2)</f>
        <v>6.3589298546393911</v>
      </c>
      <c r="AH627">
        <f t="shared" ref="AH627:AH676" si="554">AD627*AE627/(AE627^2+AF627^2)-AC627*AF627/(AE627^2+AF627^2)</f>
        <v>-207.84683475508379</v>
      </c>
      <c r="AJ627">
        <f t="shared" si="497"/>
        <v>18000</v>
      </c>
      <c r="AK627">
        <f t="shared" ref="AK627:AK676" si="555">_Rfb1*Rcea2_u*Cc3ea_u*A627*2*Pi</f>
        <v>710613.17778528004</v>
      </c>
      <c r="AL627">
        <v>2</v>
      </c>
      <c r="AM627">
        <f t="shared" ref="AM627:AM676" si="556">(_Rfb1+Rcea2_u)*Cc3ea_u*A627*2*Pi</f>
        <v>1308.4306130649602</v>
      </c>
      <c r="AN627">
        <f t="shared" ref="AN627:AN676" si="557">AJ627*AL627/(AL627^2+AM627^2)+AK627*AM627/(AL627^2+AM627^2)</f>
        <v>543.12320744148053</v>
      </c>
      <c r="AO627">
        <f t="shared" ref="AO627:AO676" si="558">AK627*AL627/(AL627^2+AM627^2)-AJ627*AM627/(AL627^2+AM627^2)</f>
        <v>-12.926748591961687</v>
      </c>
      <c r="AQ627">
        <f t="shared" ref="AQ627:AQ676" si="559">Eadcg/(1+(Eadcg*A627/GBP)^2)</f>
        <v>9.6116877199953123E-5</v>
      </c>
      <c r="AR627">
        <f t="shared" ref="AR627:AR676" si="560">-(A627*Eadcg*Eadcg/GBP)/(1+(Eadcg*A627/GBP)^2)</f>
        <v>-0.98039214743952185</v>
      </c>
      <c r="AT627">
        <f t="shared" ref="AT627:AT676" si="561">-AR627*AH627+AG627*AQ627</f>
        <v>-203.77079346356408</v>
      </c>
      <c r="AU627">
        <f t="shared" ref="AU627:AU676" si="562">AQ627*AH627+AG627*AR627</f>
        <v>-6.2542224842997527</v>
      </c>
      <c r="AV627">
        <f t="shared" si="511"/>
        <v>-3.1109098476403796</v>
      </c>
      <c r="AW627">
        <f t="shared" si="512"/>
        <v>537.09006223433528</v>
      </c>
      <c r="AX627">
        <f t="shared" si="513"/>
        <v>-786.98224455577065</v>
      </c>
      <c r="AY627">
        <f t="shared" si="521"/>
        <v>-0.97193408614739329</v>
      </c>
      <c r="BA627">
        <f t="shared" si="502"/>
        <v>0.2139684228944769</v>
      </c>
      <c r="BB627">
        <f t="shared" si="514"/>
        <v>-13.393006287648014</v>
      </c>
      <c r="BC627">
        <f t="shared" si="515"/>
        <v>-2.1389757614929863</v>
      </c>
      <c r="BD627">
        <f t="shared" si="503"/>
        <v>-302.55428375436816</v>
      </c>
      <c r="BF627">
        <f t="shared" si="504"/>
        <v>-77.469976103902582</v>
      </c>
      <c r="BG627">
        <f t="shared" si="505"/>
        <v>-213.88924503212996</v>
      </c>
      <c r="BH627">
        <f t="shared" si="516"/>
        <v>-33.889245032129963</v>
      </c>
      <c r="BI627">
        <f t="shared" si="517"/>
        <v>-33.889245032129963</v>
      </c>
      <c r="BJ627">
        <f t="shared" si="506"/>
        <v>0</v>
      </c>
      <c r="BK627">
        <f t="shared" si="518"/>
        <v>0</v>
      </c>
      <c r="BM627">
        <f t="shared" si="519"/>
        <v>-64.076969816254575</v>
      </c>
      <c r="BN627">
        <f t="shared" si="507"/>
        <v>-91.334961277761778</v>
      </c>
      <c r="BQ627" s="56">
        <f t="shared" si="520"/>
        <v>3.5089545126371235</v>
      </c>
    </row>
    <row r="628" spans="1:69" x14ac:dyDescent="0.25">
      <c r="A628">
        <f t="shared" ref="A628:A676" si="563">A627+100000</f>
        <v>5200000</v>
      </c>
      <c r="B628">
        <f t="shared" si="508"/>
        <v>5200</v>
      </c>
      <c r="C628">
        <f t="shared" si="539"/>
        <v>43.139375795856104</v>
      </c>
      <c r="D628">
        <f t="shared" si="540"/>
        <v>1.5476135718170769</v>
      </c>
      <c r="F628">
        <f t="shared" si="541"/>
        <v>9.4786958887928411E-7</v>
      </c>
      <c r="G628">
        <f t="shared" si="542"/>
        <v>3.3118582845032593E-4</v>
      </c>
      <c r="H628">
        <f t="shared" si="481"/>
        <v>-3.1412614641715497</v>
      </c>
      <c r="J628">
        <f t="shared" si="482"/>
        <v>15</v>
      </c>
      <c r="M628">
        <f t="shared" si="543"/>
        <v>2.4465803245673671E-4</v>
      </c>
      <c r="N628">
        <f t="shared" si="484"/>
        <v>-1.5707963250000001</v>
      </c>
      <c r="O628">
        <f t="shared" si="544"/>
        <v>1510.7796699693795</v>
      </c>
      <c r="P628">
        <f t="shared" si="486"/>
        <v>1.5701344168599813</v>
      </c>
      <c r="Q628">
        <f t="shared" si="545"/>
        <v>1334.0864900702672</v>
      </c>
      <c r="R628">
        <f t="shared" si="488"/>
        <v>1.5700467501361963</v>
      </c>
      <c r="S628">
        <f t="shared" si="546"/>
        <v>2.483545397356425E-2</v>
      </c>
      <c r="T628">
        <f t="shared" si="490"/>
        <v>-1.5459583190287052</v>
      </c>
      <c r="U628">
        <f t="shared" si="547"/>
        <v>3.0654085564146234E-2</v>
      </c>
      <c r="V628">
        <f t="shared" si="492"/>
        <v>-1.5401374383970192</v>
      </c>
      <c r="X628">
        <f t="shared" si="548"/>
        <v>-72.755624581101941</v>
      </c>
      <c r="Y628">
        <f t="shared" si="549"/>
        <v>-178.21043266100187</v>
      </c>
      <c r="Z628">
        <f t="shared" si="510"/>
        <v>1.7895673389981255</v>
      </c>
      <c r="AC628">
        <v>1</v>
      </c>
      <c r="AD628">
        <f t="shared" si="550"/>
        <v>1510.7793390144</v>
      </c>
      <c r="AE628">
        <f t="shared" si="551"/>
        <v>-7.4041550968624161</v>
      </c>
      <c r="AF628">
        <f t="shared" si="552"/>
        <v>0.22707431674200002</v>
      </c>
      <c r="AG628">
        <f t="shared" si="553"/>
        <v>6.1169349146839593</v>
      </c>
      <c r="AH628">
        <f t="shared" si="554"/>
        <v>-203.8572018619264</v>
      </c>
      <c r="AJ628">
        <f t="shared" si="497"/>
        <v>18000</v>
      </c>
      <c r="AK628">
        <f t="shared" si="555"/>
        <v>724546.76950655994</v>
      </c>
      <c r="AL628">
        <v>3</v>
      </c>
      <c r="AM628">
        <f t="shared" si="556"/>
        <v>1334.08611528192</v>
      </c>
      <c r="AN628">
        <f t="shared" si="557"/>
        <v>543.13104250750428</v>
      </c>
      <c r="AO628">
        <f t="shared" si="558"/>
        <v>-12.271027098590288</v>
      </c>
      <c r="AQ628">
        <f t="shared" si="559"/>
        <v>9.2455620446970963E-5</v>
      </c>
      <c r="AR628">
        <f t="shared" si="560"/>
        <v>-0.96153845264849802</v>
      </c>
      <c r="AT628">
        <f t="shared" si="561"/>
        <v>-196.01597289455646</v>
      </c>
      <c r="AU628">
        <f t="shared" si="562"/>
        <v>-5.9005158768975141</v>
      </c>
      <c r="AV628">
        <f t="shared" si="511"/>
        <v>-3.1114995212809733</v>
      </c>
      <c r="AW628">
        <f t="shared" si="512"/>
        <v>537.74421658315373</v>
      </c>
      <c r="AX628">
        <f t="shared" si="513"/>
        <v>-771.45573271656394</v>
      </c>
      <c r="AY628">
        <f t="shared" si="521"/>
        <v>-0.96205210258002294</v>
      </c>
      <c r="BA628">
        <f t="shared" si="502"/>
        <v>0.20853799168845144</v>
      </c>
      <c r="BB628">
        <f t="shared" si="514"/>
        <v>-13.616296264393903</v>
      </c>
      <c r="BC628">
        <f t="shared" si="515"/>
        <v>-2.1494474187009502</v>
      </c>
      <c r="BD628">
        <f t="shared" si="503"/>
        <v>-303.15426551757787</v>
      </c>
      <c r="BF628">
        <f t="shared" si="504"/>
        <v>-77.862022152573857</v>
      </c>
      <c r="BG628">
        <f t="shared" si="505"/>
        <v>-214.46356388374414</v>
      </c>
      <c r="BH628">
        <f t="shared" si="516"/>
        <v>-34.463563883744143</v>
      </c>
      <c r="BI628">
        <f t="shared" si="517"/>
        <v>-34.463563883744143</v>
      </c>
      <c r="BJ628">
        <f t="shared" si="506"/>
        <v>0</v>
      </c>
      <c r="BK628">
        <f t="shared" si="518"/>
        <v>0</v>
      </c>
      <c r="BM628">
        <f t="shared" si="519"/>
        <v>-64.245725888179948</v>
      </c>
      <c r="BN628">
        <f t="shared" si="507"/>
        <v>-91.309298366166303</v>
      </c>
      <c r="BQ628" s="56">
        <f t="shared" si="520"/>
        <v>3.2856645358912315</v>
      </c>
    </row>
    <row r="629" spans="1:69" x14ac:dyDescent="0.25">
      <c r="A629">
        <f t="shared" si="563"/>
        <v>5300000</v>
      </c>
      <c r="B629">
        <f t="shared" si="508"/>
        <v>5300</v>
      </c>
      <c r="C629">
        <f t="shared" si="539"/>
        <v>43.968537597543062</v>
      </c>
      <c r="D629">
        <f t="shared" si="540"/>
        <v>1.5480508299892111</v>
      </c>
      <c r="F629">
        <f t="shared" si="541"/>
        <v>9.124383347233749E-7</v>
      </c>
      <c r="G629">
        <f t="shared" si="542"/>
        <v>3.2493702809771775E-4</v>
      </c>
      <c r="H629">
        <f t="shared" si="481"/>
        <v>-3.1412677129719024</v>
      </c>
      <c r="J629">
        <f t="shared" si="482"/>
        <v>15</v>
      </c>
      <c r="M629">
        <f t="shared" si="543"/>
        <v>2.4004184316510021E-4</v>
      </c>
      <c r="N629">
        <f t="shared" si="484"/>
        <v>-1.5707963250000001</v>
      </c>
      <c r="O629">
        <f t="shared" si="544"/>
        <v>1539.833112552147</v>
      </c>
      <c r="P629">
        <f t="shared" si="486"/>
        <v>1.5701469057231325</v>
      </c>
      <c r="Q629">
        <f t="shared" si="545"/>
        <v>1359.7419852157509</v>
      </c>
      <c r="R629">
        <f t="shared" si="488"/>
        <v>1.570060893086872</v>
      </c>
      <c r="S629">
        <f t="shared" si="546"/>
        <v>2.4367141406968759E-2</v>
      </c>
      <c r="T629">
        <f t="shared" si="490"/>
        <v>-1.5464267733809189</v>
      </c>
      <c r="U629">
        <f t="shared" si="547"/>
        <v>3.0076234807265914E-2</v>
      </c>
      <c r="V629">
        <f t="shared" si="492"/>
        <v>-1.5407155557479486</v>
      </c>
      <c r="X629">
        <f t="shared" si="548"/>
        <v>-73.086360626892912</v>
      </c>
      <c r="Y629">
        <f t="shared" si="549"/>
        <v>-178.24417589412164</v>
      </c>
      <c r="Z629">
        <f t="shared" si="510"/>
        <v>1.7558241058783608</v>
      </c>
      <c r="AC629">
        <v>1</v>
      </c>
      <c r="AD629">
        <f t="shared" si="550"/>
        <v>1539.8327878415998</v>
      </c>
      <c r="AE629">
        <f t="shared" si="551"/>
        <v>-7.6916685159343672</v>
      </c>
      <c r="AF629">
        <f t="shared" si="552"/>
        <v>0.2314411305255</v>
      </c>
      <c r="AG629">
        <f t="shared" si="553"/>
        <v>5.8884916344694727</v>
      </c>
      <c r="AH629">
        <f t="shared" si="554"/>
        <v>-200.01771338604524</v>
      </c>
      <c r="AJ629">
        <f t="shared" si="497"/>
        <v>18000</v>
      </c>
      <c r="AK629">
        <f t="shared" si="555"/>
        <v>738480.36122783995</v>
      </c>
      <c r="AL629">
        <v>4</v>
      </c>
      <c r="AM629">
        <f t="shared" si="556"/>
        <v>1359.74161749888</v>
      </c>
      <c r="AN629">
        <f t="shared" si="557"/>
        <v>543.13769019839003</v>
      </c>
      <c r="AO629">
        <f t="shared" si="558"/>
        <v>-11.640041781113959</v>
      </c>
      <c r="AQ629">
        <f t="shared" si="559"/>
        <v>8.8999643209330341E-5</v>
      </c>
      <c r="AR629">
        <f t="shared" si="560"/>
        <v>-0.94339621801890161</v>
      </c>
      <c r="AT629">
        <f t="shared" si="561"/>
        <v>-188.6954302715292</v>
      </c>
      <c r="AU629">
        <f t="shared" si="562"/>
        <v>-5.5729822429213449</v>
      </c>
      <c r="AV629">
        <f t="shared" si="511"/>
        <v>-3.1120669639922474</v>
      </c>
      <c r="AW629">
        <f t="shared" si="512"/>
        <v>538.35315526201748</v>
      </c>
      <c r="AX629">
        <f t="shared" si="513"/>
        <v>-756.51356412371513</v>
      </c>
      <c r="AY629">
        <f t="shared" si="521"/>
        <v>-0.95231159385584208</v>
      </c>
      <c r="BA629">
        <f t="shared" si="502"/>
        <v>0.20331180547359698</v>
      </c>
      <c r="BB629">
        <f t="shared" si="514"/>
        <v>-13.836748058996903</v>
      </c>
      <c r="BC629">
        <f t="shared" si="515"/>
        <v>-2.1597553701364052</v>
      </c>
      <c r="BD629">
        <f t="shared" si="503"/>
        <v>-303.74486763093012</v>
      </c>
      <c r="BF629">
        <f t="shared" si="504"/>
        <v>-78.248011990792932</v>
      </c>
      <c r="BG629">
        <f t="shared" si="505"/>
        <v>-215.02947097913452</v>
      </c>
      <c r="BH629">
        <f t="shared" si="516"/>
        <v>-35.029470979134516</v>
      </c>
      <c r="BI629">
        <f t="shared" si="517"/>
        <v>-35.029470979134516</v>
      </c>
      <c r="BJ629">
        <f t="shared" si="506"/>
        <v>0</v>
      </c>
      <c r="BK629">
        <f t="shared" si="518"/>
        <v>0</v>
      </c>
      <c r="BM629">
        <f t="shared" si="519"/>
        <v>-64.411263931796029</v>
      </c>
      <c r="BN629">
        <f t="shared" si="507"/>
        <v>-91.284603348204428</v>
      </c>
      <c r="BQ629" s="56">
        <f t="shared" si="520"/>
        <v>3.065212741288232</v>
      </c>
    </row>
    <row r="630" spans="1:69" x14ac:dyDescent="0.25">
      <c r="A630">
        <f t="shared" si="563"/>
        <v>5400000</v>
      </c>
      <c r="B630">
        <f t="shared" si="508"/>
        <v>5400</v>
      </c>
      <c r="C630">
        <f t="shared" si="539"/>
        <v>44.797707494586732</v>
      </c>
      <c r="D630">
        <f t="shared" si="540"/>
        <v>1.5484719016381585</v>
      </c>
      <c r="F630">
        <f t="shared" si="541"/>
        <v>8.7895720194951423E-7</v>
      </c>
      <c r="G630">
        <f t="shared" si="542"/>
        <v>3.1891966539680702E-4</v>
      </c>
      <c r="H630">
        <f t="shared" si="481"/>
        <v>-3.1412737303346034</v>
      </c>
      <c r="J630">
        <f t="shared" si="482"/>
        <v>15</v>
      </c>
      <c r="M630">
        <f t="shared" si="543"/>
        <v>2.3559662384722797E-4</v>
      </c>
      <c r="N630">
        <f t="shared" si="484"/>
        <v>-1.5707963250000001</v>
      </c>
      <c r="O630">
        <f t="shared" si="544"/>
        <v>1568.8865553661901</v>
      </c>
      <c r="P630">
        <f t="shared" si="486"/>
        <v>1.5701589320359883</v>
      </c>
      <c r="Q630">
        <f t="shared" si="545"/>
        <v>1385.3974806231411</v>
      </c>
      <c r="R630">
        <f t="shared" si="488"/>
        <v>1.5700745122248381</v>
      </c>
      <c r="S630">
        <f t="shared" si="546"/>
        <v>2.3916158584467394E-2</v>
      </c>
      <c r="T630">
        <f t="shared" si="490"/>
        <v>-1.5468778876854645</v>
      </c>
      <c r="U630">
        <f t="shared" si="547"/>
        <v>2.9519757421000839E-2</v>
      </c>
      <c r="V630">
        <f t="shared" si="492"/>
        <v>-1.5412722803599272</v>
      </c>
      <c r="X630">
        <f t="shared" si="548"/>
        <v>-73.4109203186229</v>
      </c>
      <c r="Y630">
        <f t="shared" si="549"/>
        <v>-178.27667057553813</v>
      </c>
      <c r="Z630">
        <f t="shared" si="510"/>
        <v>1.7233294244618662</v>
      </c>
      <c r="AC630">
        <v>1</v>
      </c>
      <c r="AD630">
        <f t="shared" si="550"/>
        <v>1568.8862366688002</v>
      </c>
      <c r="AE630">
        <f t="shared" si="551"/>
        <v>-7.9846583810838796</v>
      </c>
      <c r="AF630">
        <f t="shared" si="552"/>
        <v>0.23580794430899998</v>
      </c>
      <c r="AG630">
        <f t="shared" si="553"/>
        <v>5.6726070141074798</v>
      </c>
      <c r="AH630">
        <f t="shared" si="554"/>
        <v>-196.32005729682118</v>
      </c>
      <c r="AJ630">
        <f t="shared" si="497"/>
        <v>18000</v>
      </c>
      <c r="AK630">
        <f t="shared" si="555"/>
        <v>752413.95294911996</v>
      </c>
      <c r="AL630">
        <v>5</v>
      </c>
      <c r="AM630">
        <f t="shared" si="556"/>
        <v>1385.3971197158401</v>
      </c>
      <c r="AN630">
        <f t="shared" si="557"/>
        <v>543.14326509231205</v>
      </c>
      <c r="AO630">
        <f t="shared" si="558"/>
        <v>-11.032420565211954</v>
      </c>
      <c r="AQ630">
        <f t="shared" si="559"/>
        <v>8.5733881295148485E-5</v>
      </c>
      <c r="AR630">
        <f t="shared" si="560"/>
        <v>-0.9259259179876036</v>
      </c>
      <c r="AT630">
        <f t="shared" si="561"/>
        <v>-181.77734293732172</v>
      </c>
      <c r="AU630">
        <f t="shared" si="562"/>
        <v>-5.2692451374085296</v>
      </c>
      <c r="AV630">
        <f t="shared" si="511"/>
        <v>-3.112613409321404</v>
      </c>
      <c r="AW630">
        <f t="shared" si="512"/>
        <v>538.92050855885316</v>
      </c>
      <c r="AX630">
        <f t="shared" si="513"/>
        <v>-742.1234158694308</v>
      </c>
      <c r="AY630">
        <f t="shared" si="521"/>
        <v>-0.94271041545403456</v>
      </c>
      <c r="BA630">
        <f t="shared" si="502"/>
        <v>0.1982791401841893</v>
      </c>
      <c r="BB630">
        <f t="shared" si="514"/>
        <v>-14.054459460666731</v>
      </c>
      <c r="BC630">
        <f t="shared" si="515"/>
        <v>-2.1699029938673693</v>
      </c>
      <c r="BD630">
        <f t="shared" si="503"/>
        <v>-304.3262836434655</v>
      </c>
      <c r="BF630">
        <f t="shared" si="504"/>
        <v>-78.62816390551761</v>
      </c>
      <c r="BG630">
        <f t="shared" si="505"/>
        <v>-215.58710613277202</v>
      </c>
      <c r="BH630">
        <f t="shared" si="516"/>
        <v>-35.587106132772021</v>
      </c>
      <c r="BI630">
        <f t="shared" si="517"/>
        <v>-35.587106132772021</v>
      </c>
      <c r="BJ630">
        <f t="shared" si="506"/>
        <v>0</v>
      </c>
      <c r="BK630">
        <f t="shared" si="518"/>
        <v>0</v>
      </c>
      <c r="BM630">
        <f t="shared" si="519"/>
        <v>-64.573704444850875</v>
      </c>
      <c r="BN630">
        <f t="shared" si="507"/>
        <v>-91.26082248930652</v>
      </c>
      <c r="BQ630" s="56">
        <f t="shared" si="520"/>
        <v>2.8475013396184061</v>
      </c>
    </row>
    <row r="631" spans="1:69" x14ac:dyDescent="0.25">
      <c r="A631">
        <f t="shared" si="563"/>
        <v>5500000</v>
      </c>
      <c r="B631">
        <f t="shared" si="508"/>
        <v>5500</v>
      </c>
      <c r="C631">
        <f t="shared" si="539"/>
        <v>45.626885045640364</v>
      </c>
      <c r="D631">
        <f t="shared" si="540"/>
        <v>1.5488776690836119</v>
      </c>
      <c r="F631">
        <f t="shared" si="541"/>
        <v>8.4728566080283974E-7</v>
      </c>
      <c r="G631">
        <f t="shared" si="542"/>
        <v>3.1312111643311871E-4</v>
      </c>
      <c r="H631">
        <f t="shared" si="481"/>
        <v>-3.1412795288835671</v>
      </c>
      <c r="J631">
        <f t="shared" si="482"/>
        <v>15</v>
      </c>
      <c r="M631">
        <f t="shared" si="543"/>
        <v>2.3131304886818744E-4</v>
      </c>
      <c r="N631">
        <f t="shared" si="484"/>
        <v>-1.5707963250000001</v>
      </c>
      <c r="O631">
        <f t="shared" si="544"/>
        <v>1597.9399983988931</v>
      </c>
      <c r="P631">
        <f t="shared" si="486"/>
        <v>1.570170521028551</v>
      </c>
      <c r="Q631">
        <f t="shared" si="545"/>
        <v>1411.0529762781516</v>
      </c>
      <c r="R631">
        <f t="shared" si="488"/>
        <v>1.5700876361216771</v>
      </c>
      <c r="S631">
        <f t="shared" si="546"/>
        <v>2.3481561319543098E-2</v>
      </c>
      <c r="T631">
        <f t="shared" si="490"/>
        <v>-1.5473126070479761</v>
      </c>
      <c r="U631">
        <f t="shared" si="547"/>
        <v>2.8983489600057782E-2</v>
      </c>
      <c r="V631">
        <f t="shared" si="492"/>
        <v>-1.5418087777654472</v>
      </c>
      <c r="X631">
        <f t="shared" si="548"/>
        <v>-73.72953001047216</v>
      </c>
      <c r="Y631">
        <f t="shared" si="549"/>
        <v>-178.30798472340678</v>
      </c>
      <c r="Z631">
        <f t="shared" si="510"/>
        <v>1.6920152765932244</v>
      </c>
      <c r="AC631">
        <v>1</v>
      </c>
      <c r="AD631">
        <f t="shared" si="550"/>
        <v>1597.939685496</v>
      </c>
      <c r="AE631">
        <f t="shared" si="551"/>
        <v>-8.2831246923109525</v>
      </c>
      <c r="AF631">
        <f t="shared" si="552"/>
        <v>0.2401747580925</v>
      </c>
      <c r="AG631">
        <f t="shared" si="553"/>
        <v>5.4683773432789149</v>
      </c>
      <c r="AH631">
        <f t="shared" si="554"/>
        <v>-192.7565234859417</v>
      </c>
      <c r="AJ631">
        <f t="shared" si="497"/>
        <v>18000</v>
      </c>
      <c r="AK631">
        <f t="shared" si="555"/>
        <v>766347.54467039998</v>
      </c>
      <c r="AL631">
        <v>6</v>
      </c>
      <c r="AM631">
        <f t="shared" si="556"/>
        <v>1411.0526219328001</v>
      </c>
      <c r="AN631">
        <f t="shared" si="557"/>
        <v>543.14786996812245</v>
      </c>
      <c r="AO631">
        <f t="shared" si="558"/>
        <v>-10.446890889157281</v>
      </c>
      <c r="AQ631">
        <f t="shared" si="559"/>
        <v>8.26446274161601E-5</v>
      </c>
      <c r="AR631">
        <f t="shared" si="560"/>
        <v>-0.90909090157776118</v>
      </c>
      <c r="AT631">
        <f t="shared" si="561"/>
        <v>-175.23274978882154</v>
      </c>
      <c r="AU631">
        <f t="shared" si="562"/>
        <v>-4.9871823802343611</v>
      </c>
      <c r="AV631">
        <f t="shared" si="511"/>
        <v>-3.1131400012360304</v>
      </c>
      <c r="AW631">
        <f t="shared" si="512"/>
        <v>539.4495630722048</v>
      </c>
      <c r="AX631">
        <f t="shared" si="513"/>
        <v>-728.25530188648816</v>
      </c>
      <c r="AY631">
        <f t="shared" si="521"/>
        <v>-0.9332464723925149</v>
      </c>
      <c r="BA631">
        <f t="shared" si="502"/>
        <v>0.19343002608335821</v>
      </c>
      <c r="BB631">
        <f t="shared" si="514"/>
        <v>-14.269522192428173</v>
      </c>
      <c r="BC631">
        <f t="shared" si="515"/>
        <v>-2.1798935288435155</v>
      </c>
      <c r="BD631">
        <f t="shared" si="503"/>
        <v>-304.89869913333058</v>
      </c>
      <c r="BF631">
        <f t="shared" si="504"/>
        <v>-79.002683470517439</v>
      </c>
      <c r="BG631">
        <f t="shared" si="505"/>
        <v>-216.13660509290557</v>
      </c>
      <c r="BH631">
        <f t="shared" si="516"/>
        <v>-36.136605092905569</v>
      </c>
      <c r="BI631">
        <f t="shared" si="517"/>
        <v>-36.136605092905569</v>
      </c>
      <c r="BJ631">
        <f t="shared" si="506"/>
        <v>0</v>
      </c>
      <c r="BK631">
        <f t="shared" si="518"/>
        <v>0</v>
      </c>
      <c r="BM631">
        <f t="shared" si="519"/>
        <v>-64.73316127808927</v>
      </c>
      <c r="BN631">
        <f t="shared" si="507"/>
        <v>-91.237905959574974</v>
      </c>
      <c r="BQ631" s="56">
        <f t="shared" si="520"/>
        <v>2.6324386078569639</v>
      </c>
    </row>
    <row r="632" spans="1:69" x14ac:dyDescent="0.25">
      <c r="A632">
        <f t="shared" si="563"/>
        <v>5600000</v>
      </c>
      <c r="B632">
        <f t="shared" si="508"/>
        <v>5600</v>
      </c>
      <c r="C632">
        <f t="shared" si="539"/>
        <v>46.456069840862988</v>
      </c>
      <c r="D632">
        <f t="shared" si="540"/>
        <v>1.5492689516729385</v>
      </c>
      <c r="F632">
        <f t="shared" si="541"/>
        <v>8.1729561577108847E-7</v>
      </c>
      <c r="G632">
        <f t="shared" si="542"/>
        <v>3.0752965900405311E-4</v>
      </c>
      <c r="H632">
        <f t="shared" si="481"/>
        <v>-3.1412851203409962</v>
      </c>
      <c r="J632">
        <f t="shared" si="482"/>
        <v>15</v>
      </c>
      <c r="M632">
        <f t="shared" si="543"/>
        <v>2.2718245870982699E-4</v>
      </c>
      <c r="N632">
        <f t="shared" si="484"/>
        <v>-1.5707963250000001</v>
      </c>
      <c r="O632">
        <f t="shared" si="544"/>
        <v>1626.9934416385427</v>
      </c>
      <c r="P632">
        <f t="shared" si="486"/>
        <v>1.5701816961286816</v>
      </c>
      <c r="Q632">
        <f t="shared" si="545"/>
        <v>1436.7084721675176</v>
      </c>
      <c r="R632">
        <f t="shared" si="488"/>
        <v>1.5701002913081457</v>
      </c>
      <c r="S632">
        <f t="shared" si="546"/>
        <v>2.3062472774469548E-2</v>
      </c>
      <c r="T632">
        <f t="shared" si="490"/>
        <v>-1.5477318091286492</v>
      </c>
      <c r="U632">
        <f t="shared" si="547"/>
        <v>2.8466350493213055E-2</v>
      </c>
      <c r="V632">
        <f t="shared" si="492"/>
        <v>-1.5423261303613738</v>
      </c>
      <c r="X632">
        <f t="shared" si="548"/>
        <v>-74.04240384234447</v>
      </c>
      <c r="Y632">
        <f t="shared" si="549"/>
        <v>-178.3381815047936</v>
      </c>
      <c r="Z632">
        <f t="shared" si="510"/>
        <v>1.6618184952064041</v>
      </c>
      <c r="AC632">
        <v>1</v>
      </c>
      <c r="AD632">
        <f t="shared" si="550"/>
        <v>1626.9931343231999</v>
      </c>
      <c r="AE632">
        <f t="shared" si="551"/>
        <v>-8.5870674496155832</v>
      </c>
      <c r="AF632">
        <f t="shared" si="552"/>
        <v>0.24454157187599998</v>
      </c>
      <c r="AG632">
        <f t="shared" si="553"/>
        <v>5.2749787396110657</v>
      </c>
      <c r="AH632">
        <f t="shared" si="554"/>
        <v>-189.31995029378521</v>
      </c>
      <c r="AJ632">
        <f t="shared" si="497"/>
        <v>18000</v>
      </c>
      <c r="AK632">
        <f t="shared" si="555"/>
        <v>780281.13639167999</v>
      </c>
      <c r="AL632">
        <v>7</v>
      </c>
      <c r="AM632">
        <f t="shared" si="556"/>
        <v>1436.7081241497601</v>
      </c>
      <c r="AN632">
        <f t="shared" si="557"/>
        <v>543.15159716206222</v>
      </c>
      <c r="AO632">
        <f t="shared" si="558"/>
        <v>-9.8822708532172214</v>
      </c>
      <c r="AQ632">
        <f t="shared" si="559"/>
        <v>7.9719387119583961E-5</v>
      </c>
      <c r="AR632">
        <f t="shared" si="560"/>
        <v>-0.89285713573934045</v>
      </c>
      <c r="AT632">
        <f t="shared" si="561"/>
        <v>-169.03524803955119</v>
      </c>
      <c r="AU632">
        <f t="shared" si="562"/>
        <v>-4.7248948789419822</v>
      </c>
      <c r="AV632">
        <f t="shared" si="511"/>
        <v>-3.1136478021084368</v>
      </c>
      <c r="AW632">
        <f t="shared" si="512"/>
        <v>539.94329935946564</v>
      </c>
      <c r="AX632">
        <f t="shared" si="513"/>
        <v>-714.88136585501843</v>
      </c>
      <c r="AY632">
        <f t="shared" si="521"/>
        <v>-0.92391771362358943</v>
      </c>
      <c r="BA632">
        <f t="shared" si="502"/>
        <v>0.18875518062143712</v>
      </c>
      <c r="BB632">
        <f t="shared" si="514"/>
        <v>-14.48202239562562</v>
      </c>
      <c r="BC632">
        <f t="shared" si="515"/>
        <v>-2.1897300884848474</v>
      </c>
      <c r="BD632">
        <f t="shared" si="503"/>
        <v>-305.46229248635166</v>
      </c>
      <c r="BF632">
        <f t="shared" si="504"/>
        <v>-79.371764511176792</v>
      </c>
      <c r="BG632">
        <f t="shared" si="505"/>
        <v>-216.67809997184798</v>
      </c>
      <c r="BH632">
        <f t="shared" si="516"/>
        <v>-36.678099971847985</v>
      </c>
      <c r="BI632">
        <f t="shared" si="517"/>
        <v>-36.678099971847985</v>
      </c>
      <c r="BJ632">
        <f t="shared" si="506"/>
        <v>0</v>
      </c>
      <c r="BK632">
        <f t="shared" si="518"/>
        <v>0</v>
      </c>
      <c r="BM632">
        <f t="shared" si="519"/>
        <v>-64.889742115551172</v>
      </c>
      <c r="BN632">
        <f t="shared" si="507"/>
        <v>-91.21580748549637</v>
      </c>
      <c r="BQ632" s="56">
        <f t="shared" si="520"/>
        <v>2.4199384046595154</v>
      </c>
    </row>
    <row r="633" spans="1:69" x14ac:dyDescent="0.25">
      <c r="A633">
        <f t="shared" si="563"/>
        <v>5700000</v>
      </c>
      <c r="B633">
        <f t="shared" si="508"/>
        <v>5700</v>
      </c>
      <c r="C633">
        <f t="shared" si="539"/>
        <v>47.285261499157777</v>
      </c>
      <c r="D633">
        <f t="shared" si="540"/>
        <v>1.5496465112998954</v>
      </c>
      <c r="F633">
        <f t="shared" si="541"/>
        <v>7.8887010833771062E-7</v>
      </c>
      <c r="G633">
        <f t="shared" si="542"/>
        <v>3.0213439352097461E-4</v>
      </c>
      <c r="H633">
        <f t="shared" si="481"/>
        <v>-3.1412905156064794</v>
      </c>
      <c r="J633">
        <f t="shared" si="482"/>
        <v>15</v>
      </c>
      <c r="M633">
        <f t="shared" si="543"/>
        <v>2.2319680153947913E-4</v>
      </c>
      <c r="N633">
        <f t="shared" si="484"/>
        <v>-1.5707963250000001</v>
      </c>
      <c r="O633">
        <f t="shared" si="544"/>
        <v>1656.0468850742463</v>
      </c>
      <c r="P633">
        <f t="shared" si="486"/>
        <v>1.5701924791201811</v>
      </c>
      <c r="Q633">
        <f t="shared" si="545"/>
        <v>1462.3639682789042</v>
      </c>
      <c r="R633">
        <f t="shared" si="488"/>
        <v>1.5701125024531954</v>
      </c>
      <c r="S633">
        <f t="shared" si="546"/>
        <v>2.265807756205649E-2</v>
      </c>
      <c r="T633">
        <f t="shared" si="490"/>
        <v>-1.5481363100521457</v>
      </c>
      <c r="U633">
        <f t="shared" si="547"/>
        <v>2.7967334944539131E-2</v>
      </c>
      <c r="V633">
        <f t="shared" si="492"/>
        <v>-1.5428253446895965</v>
      </c>
      <c r="X633">
        <f t="shared" si="548"/>
        <v>-74.349744602780859</v>
      </c>
      <c r="Y633">
        <f t="shared" si="549"/>
        <v>-178.36731966045659</v>
      </c>
      <c r="Z633">
        <f t="shared" si="510"/>
        <v>1.6326803395434126</v>
      </c>
      <c r="AC633">
        <v>1</v>
      </c>
      <c r="AD633">
        <f t="shared" si="550"/>
        <v>1656.0465831504</v>
      </c>
      <c r="AE633">
        <f t="shared" si="551"/>
        <v>-8.896486652997778</v>
      </c>
      <c r="AF633">
        <f t="shared" si="552"/>
        <v>0.24890838565949999</v>
      </c>
      <c r="AG633">
        <f t="shared" si="553"/>
        <v>5.0916588361376185</v>
      </c>
      <c r="AH633">
        <f t="shared" si="554"/>
        <v>-186.00367663245697</v>
      </c>
      <c r="AJ633">
        <f t="shared" si="497"/>
        <v>18000</v>
      </c>
      <c r="AK633">
        <f t="shared" si="555"/>
        <v>794214.72811295989</v>
      </c>
      <c r="AL633">
        <v>8</v>
      </c>
      <c r="AM633">
        <f t="shared" si="556"/>
        <v>1462.3636263667199</v>
      </c>
      <c r="AN633">
        <f t="shared" si="557"/>
        <v>543.1545297504158</v>
      </c>
      <c r="AO633">
        <f t="shared" si="558"/>
        <v>-9.3374612960815266</v>
      </c>
      <c r="AQ633">
        <f t="shared" si="559"/>
        <v>7.694675225494958E-5</v>
      </c>
      <c r="AR633">
        <f t="shared" si="560"/>
        <v>-0.87719297570642529</v>
      </c>
      <c r="AT633">
        <f t="shared" si="561"/>
        <v>-163.16072681094957</v>
      </c>
      <c r="AU633">
        <f t="shared" si="562"/>
        <v>-4.4806797445778193</v>
      </c>
      <c r="AV633">
        <f t="shared" si="511"/>
        <v>-3.1141377998611879</v>
      </c>
      <c r="AW633">
        <f t="shared" si="512"/>
        <v>540.40442490554403</v>
      </c>
      <c r="AX633">
        <f t="shared" si="513"/>
        <v>-701.9756957142456</v>
      </c>
      <c r="AY633">
        <f t="shared" si="521"/>
        <v>-0.914722127309884</v>
      </c>
      <c r="BA633">
        <f t="shared" si="502"/>
        <v>0.18424594843305483</v>
      </c>
      <c r="BB633">
        <f t="shared" si="514"/>
        <v>-14.692041069922446</v>
      </c>
      <c r="BC633">
        <f t="shared" si="515"/>
        <v>-2.1994156725513037</v>
      </c>
      <c r="BD633">
        <f t="shared" si="503"/>
        <v>-306.01723557611285</v>
      </c>
      <c r="BF633">
        <f t="shared" si="504"/>
        <v>-79.735589982160988</v>
      </c>
      <c r="BG633">
        <f t="shared" si="505"/>
        <v>-217.21171961438722</v>
      </c>
      <c r="BH633">
        <f t="shared" si="516"/>
        <v>-37.211719614387221</v>
      </c>
      <c r="BI633">
        <f t="shared" si="517"/>
        <v>-37.211719614387221</v>
      </c>
      <c r="BJ633">
        <f t="shared" si="506"/>
        <v>0</v>
      </c>
      <c r="BK633">
        <f t="shared" si="518"/>
        <v>0</v>
      </c>
      <c r="BM633">
        <f t="shared" si="519"/>
        <v>-65.043548912238535</v>
      </c>
      <c r="BN633">
        <f t="shared" si="507"/>
        <v>-91.194484038274382</v>
      </c>
      <c r="BQ633" s="56">
        <f t="shared" si="520"/>
        <v>2.2099197303626901</v>
      </c>
    </row>
    <row r="634" spans="1:69" x14ac:dyDescent="0.25">
      <c r="A634">
        <f t="shared" si="563"/>
        <v>5800000</v>
      </c>
      <c r="B634">
        <f t="shared" si="508"/>
        <v>5800</v>
      </c>
      <c r="C634">
        <f t="shared" si="539"/>
        <v>48.114459665695698</v>
      </c>
      <c r="D634">
        <f t="shared" si="540"/>
        <v>1.5500110573530492</v>
      </c>
      <c r="F634">
        <f t="shared" si="541"/>
        <v>7.6190217492923782E-7</v>
      </c>
      <c r="G634">
        <f t="shared" si="542"/>
        <v>2.9692517209388604E-4</v>
      </c>
      <c r="H634">
        <f t="shared" si="481"/>
        <v>-3.1412957248279065</v>
      </c>
      <c r="J634">
        <f t="shared" si="482"/>
        <v>15</v>
      </c>
      <c r="M634">
        <f t="shared" si="543"/>
        <v>2.193485808232812E-4</v>
      </c>
      <c r="N634">
        <f t="shared" si="484"/>
        <v>-1.5707963250000001</v>
      </c>
      <c r="O634">
        <f t="shared" si="544"/>
        <v>1685.1003286958637</v>
      </c>
      <c r="P634">
        <f t="shared" si="486"/>
        <v>1.5702028902845209</v>
      </c>
      <c r="Q634">
        <f t="shared" si="545"/>
        <v>1488.0194646008281</v>
      </c>
      <c r="R634">
        <f t="shared" si="488"/>
        <v>1.5701242925244714</v>
      </c>
      <c r="S634">
        <f t="shared" si="546"/>
        <v>2.2267616456439633E-2</v>
      </c>
      <c r="T634">
        <f t="shared" si="490"/>
        <v>-1.5485268697068777</v>
      </c>
      <c r="U634">
        <f t="shared" si="547"/>
        <v>2.7485506983437793E-2</v>
      </c>
      <c r="V634">
        <f t="shared" si="492"/>
        <v>-1.5433073579659127</v>
      </c>
      <c r="X634">
        <f t="shared" si="548"/>
        <v>-74.651744517021271</v>
      </c>
      <c r="Y634">
        <f t="shared" si="549"/>
        <v>-178.39545388577287</v>
      </c>
      <c r="Z634">
        <f t="shared" si="510"/>
        <v>1.6045461142271336</v>
      </c>
      <c r="AC634">
        <v>1</v>
      </c>
      <c r="AD634">
        <f t="shared" si="550"/>
        <v>1685.1000319776001</v>
      </c>
      <c r="AE634">
        <f t="shared" si="551"/>
        <v>-9.2113823024575332</v>
      </c>
      <c r="AF634">
        <f t="shared" si="552"/>
        <v>0.25327519944300003</v>
      </c>
      <c r="AG634">
        <f t="shared" si="553"/>
        <v>4.9177294611161297</v>
      </c>
      <c r="AH634">
        <f t="shared" si="554"/>
        <v>-182.80149903432934</v>
      </c>
      <c r="AJ634">
        <f t="shared" si="497"/>
        <v>18000</v>
      </c>
      <c r="AK634">
        <f t="shared" si="555"/>
        <v>808148.31983424001</v>
      </c>
      <c r="AL634">
        <v>9</v>
      </c>
      <c r="AM634">
        <f t="shared" si="556"/>
        <v>1488.01912858368</v>
      </c>
      <c r="AN634">
        <f t="shared" si="557"/>
        <v>543.15674258281047</v>
      </c>
      <c r="AO634">
        <f t="shared" si="558"/>
        <v>-8.8114386871051309</v>
      </c>
      <c r="AQ634">
        <f t="shared" si="559"/>
        <v>7.4316289578505582E-5</v>
      </c>
      <c r="AR634">
        <f t="shared" si="560"/>
        <v>-0.86206895911066472</v>
      </c>
      <c r="AT634">
        <f t="shared" si="561"/>
        <v>-157.58713252898676</v>
      </c>
      <c r="AU634">
        <f t="shared" si="562"/>
        <v>-4.2530070468698531</v>
      </c>
      <c r="AV634">
        <f t="shared" si="511"/>
        <v>-3.1146109143748468</v>
      </c>
      <c r="AW634">
        <f t="shared" si="512"/>
        <v>540.83540306124803</v>
      </c>
      <c r="AX634">
        <f t="shared" si="513"/>
        <v>-689.51415719865099</v>
      </c>
      <c r="AY634">
        <f t="shared" si="521"/>
        <v>-0.90565773685582063</v>
      </c>
      <c r="BA634">
        <f t="shared" si="502"/>
        <v>0.17989424760270781</v>
      </c>
      <c r="BB634">
        <f t="shared" si="514"/>
        <v>-14.899654473427354</v>
      </c>
      <c r="BC634">
        <f t="shared" si="515"/>
        <v>-2.2089531775190263</v>
      </c>
      <c r="BD634">
        <f t="shared" si="503"/>
        <v>-306.56369435847284</v>
      </c>
      <c r="BF634">
        <f t="shared" si="504"/>
        <v>-80.094332767040996</v>
      </c>
      <c r="BG634">
        <f t="shared" si="505"/>
        <v>-217.73758991284214</v>
      </c>
      <c r="BH634">
        <f t="shared" si="516"/>
        <v>-37.737589912842139</v>
      </c>
      <c r="BI634">
        <f t="shared" si="517"/>
        <v>-37.737589912842139</v>
      </c>
      <c r="BJ634">
        <f t="shared" si="506"/>
        <v>0</v>
      </c>
      <c r="BK634">
        <f t="shared" si="518"/>
        <v>0</v>
      </c>
      <c r="BM634">
        <f t="shared" si="519"/>
        <v>-65.194678293613634</v>
      </c>
      <c r="BN634">
        <f t="shared" si="507"/>
        <v>-91.173895554369309</v>
      </c>
      <c r="BQ634" s="56">
        <f t="shared" si="520"/>
        <v>2.0023063268577816</v>
      </c>
    </row>
    <row r="635" spans="1:69" x14ac:dyDescent="0.25">
      <c r="A635">
        <f t="shared" si="563"/>
        <v>5900000</v>
      </c>
      <c r="B635">
        <f t="shared" si="508"/>
        <v>5900</v>
      </c>
      <c r="C635">
        <f t="shared" si="539"/>
        <v>48.943664009690934</v>
      </c>
      <c r="D635">
        <f t="shared" si="540"/>
        <v>1.550363251161486</v>
      </c>
      <c r="F635">
        <f t="shared" si="541"/>
        <v>7.3629383919513631E-7</v>
      </c>
      <c r="G635">
        <f t="shared" si="542"/>
        <v>2.9189253482787006E-4</v>
      </c>
      <c r="H635">
        <f t="shared" si="481"/>
        <v>-3.1413007574651721</v>
      </c>
      <c r="J635">
        <f t="shared" si="482"/>
        <v>15</v>
      </c>
      <c r="M635">
        <f t="shared" si="543"/>
        <v>2.1563080826695442E-4</v>
      </c>
      <c r="N635">
        <f t="shared" si="484"/>
        <v>-1.5707963250000001</v>
      </c>
      <c r="O635">
        <f t="shared" si="544"/>
        <v>1714.1537724939415</v>
      </c>
      <c r="P635">
        <f t="shared" si="486"/>
        <v>1.5702129485281575</v>
      </c>
      <c r="Q635">
        <f t="shared" si="545"/>
        <v>1513.6749611225835</v>
      </c>
      <c r="R635">
        <f t="shared" si="488"/>
        <v>1.5701356829324917</v>
      </c>
      <c r="S635">
        <f t="shared" si="546"/>
        <v>2.1890381640803314E-2</v>
      </c>
      <c r="T635">
        <f t="shared" si="490"/>
        <v>-1.5489041965060151</v>
      </c>
      <c r="U635">
        <f t="shared" si="547"/>
        <v>2.7019993974915373E-2</v>
      </c>
      <c r="V635">
        <f t="shared" si="492"/>
        <v>-1.5437730439461512</v>
      </c>
      <c r="X635">
        <f t="shared" si="548"/>
        <v>-74.948585967870116</v>
      </c>
      <c r="Y635">
        <f t="shared" si="549"/>
        <v>-178.42263517300265</v>
      </c>
      <c r="Z635">
        <f t="shared" si="510"/>
        <v>1.5773648269973535</v>
      </c>
      <c r="AC635">
        <v>1</v>
      </c>
      <c r="AD635">
        <f t="shared" si="550"/>
        <v>1714.1534808048</v>
      </c>
      <c r="AE635">
        <f t="shared" si="551"/>
        <v>-9.5317543979948489</v>
      </c>
      <c r="AF635">
        <f t="shared" si="552"/>
        <v>0.25764201322649999</v>
      </c>
      <c r="AG635">
        <f t="shared" si="553"/>
        <v>4.7525601771159698</v>
      </c>
      <c r="AH635">
        <f t="shared" si="554"/>
        <v>-179.7076330453005</v>
      </c>
      <c r="AJ635">
        <f t="shared" si="497"/>
        <v>18000</v>
      </c>
      <c r="AK635">
        <f t="shared" si="555"/>
        <v>822081.91155552003</v>
      </c>
      <c r="AL635">
        <v>10</v>
      </c>
      <c r="AM635">
        <f t="shared" si="556"/>
        <v>1513.67463080064</v>
      </c>
      <c r="AN635">
        <f t="shared" si="557"/>
        <v>543.15830318701114</v>
      </c>
      <c r="AO635">
        <f t="shared" si="558"/>
        <v>-8.303248738126749</v>
      </c>
      <c r="AQ635">
        <f t="shared" si="559"/>
        <v>7.1818442460367399E-5</v>
      </c>
      <c r="AR635">
        <f t="shared" si="560"/>
        <v>-0.84745762103233535</v>
      </c>
      <c r="AT635">
        <f t="shared" si="561"/>
        <v>-152.29426186045262</v>
      </c>
      <c r="AU635">
        <f t="shared" si="562"/>
        <v>-4.0404996638152673</v>
      </c>
      <c r="AV635">
        <f t="shared" si="511"/>
        <v>-3.1150680032452778</v>
      </c>
      <c r="AW635">
        <f t="shared" si="512"/>
        <v>541.23847850143613</v>
      </c>
      <c r="AX635">
        <f t="shared" si="513"/>
        <v>-677.47424416381773</v>
      </c>
      <c r="AY635">
        <f t="shared" si="521"/>
        <v>-0.89672259758722583</v>
      </c>
      <c r="BA635">
        <f t="shared" si="502"/>
        <v>0.17569252144730776</v>
      </c>
      <c r="BB635">
        <f t="shared" si="514"/>
        <v>-15.104934487031043</v>
      </c>
      <c r="BC635">
        <f t="shared" si="515"/>
        <v>-2.2183454056580518</v>
      </c>
      <c r="BD635">
        <f t="shared" si="503"/>
        <v>-307.10182939167794</v>
      </c>
      <c r="BF635">
        <f t="shared" si="504"/>
        <v>-80.448156407887822</v>
      </c>
      <c r="BG635">
        <f t="shared" si="505"/>
        <v>-218.25583407610554</v>
      </c>
      <c r="BH635">
        <f t="shared" si="516"/>
        <v>-38.255834076105543</v>
      </c>
      <c r="BI635">
        <f t="shared" si="517"/>
        <v>-38.255834076105543</v>
      </c>
      <c r="BJ635">
        <f t="shared" si="506"/>
        <v>0</v>
      </c>
      <c r="BK635">
        <f t="shared" si="518"/>
        <v>0</v>
      </c>
      <c r="BM635">
        <f t="shared" si="519"/>
        <v>-65.343221920856777</v>
      </c>
      <c r="BN635">
        <f t="shared" si="507"/>
        <v>-91.154004684427662</v>
      </c>
      <c r="BQ635" s="56">
        <f t="shared" si="520"/>
        <v>1.7970263132540936</v>
      </c>
    </row>
    <row r="636" spans="1:69" x14ac:dyDescent="0.25">
      <c r="A636">
        <f t="shared" si="563"/>
        <v>6000000</v>
      </c>
      <c r="B636">
        <f t="shared" si="508"/>
        <v>6000</v>
      </c>
      <c r="C636">
        <f t="shared" si="539"/>
        <v>49.772874222398556</v>
      </c>
      <c r="D636">
        <f t="shared" si="540"/>
        <v>1.5507037099963903</v>
      </c>
      <c r="F636">
        <f t="shared" si="541"/>
        <v>7.1195522086104722E-7</v>
      </c>
      <c r="G636">
        <f t="shared" si="542"/>
        <v>2.8702765248991814E-4</v>
      </c>
      <c r="H636">
        <f t="shared" si="481"/>
        <v>-3.1413056223475104</v>
      </c>
      <c r="J636">
        <f t="shared" si="482"/>
        <v>15</v>
      </c>
      <c r="M636">
        <f t="shared" si="543"/>
        <v>2.1203696146250518E-4</v>
      </c>
      <c r="N636">
        <f t="shared" si="484"/>
        <v>-1.5707963250000001</v>
      </c>
      <c r="O636">
        <f t="shared" si="544"/>
        <v>1743.2072164596566</v>
      </c>
      <c r="P636">
        <f t="shared" si="486"/>
        <v>1.5702226714971188</v>
      </c>
      <c r="Q636">
        <f t="shared" si="545"/>
        <v>1539.330457834179</v>
      </c>
      <c r="R636">
        <f t="shared" si="488"/>
        <v>1.5701466936604076</v>
      </c>
      <c r="S636">
        <f t="shared" si="546"/>
        <v>2.1525712429517556E-2</v>
      </c>
      <c r="T636">
        <f t="shared" si="490"/>
        <v>-1.5492689516729385</v>
      </c>
      <c r="U636">
        <f t="shared" si="547"/>
        <v>2.6569981353304146E-2</v>
      </c>
      <c r="V636">
        <f t="shared" si="492"/>
        <v>-1.5442232182067019</v>
      </c>
      <c r="X636">
        <f t="shared" si="548"/>
        <v>-75.240442156123351</v>
      </c>
      <c r="Y636">
        <f t="shared" si="549"/>
        <v>-178.44891111939103</v>
      </c>
      <c r="Z636">
        <f t="shared" si="510"/>
        <v>1.5510888806089724</v>
      </c>
      <c r="AC636">
        <v>1</v>
      </c>
      <c r="AD636">
        <f t="shared" si="550"/>
        <v>1743.2069296320001</v>
      </c>
      <c r="AE636">
        <f t="shared" si="551"/>
        <v>-9.8576029396097269</v>
      </c>
      <c r="AF636">
        <f t="shared" si="552"/>
        <v>0.26200882701</v>
      </c>
      <c r="AG636">
        <f t="shared" si="553"/>
        <v>4.5955725660333444</v>
      </c>
      <c r="AH636">
        <f t="shared" si="554"/>
        <v>-176.7166784589015</v>
      </c>
      <c r="AJ636">
        <f t="shared" si="497"/>
        <v>18000</v>
      </c>
      <c r="AK636">
        <f t="shared" si="555"/>
        <v>836015.50327680004</v>
      </c>
      <c r="AL636">
        <v>11</v>
      </c>
      <c r="AM636">
        <f t="shared" si="556"/>
        <v>1539.3301330176</v>
      </c>
      <c r="AN636">
        <f t="shared" si="557"/>
        <v>543.15927256288273</v>
      </c>
      <c r="AO636">
        <f t="shared" si="558"/>
        <v>-7.8120006513708642</v>
      </c>
      <c r="AQ636">
        <f t="shared" si="559"/>
        <v>6.9444443962191359E-5</v>
      </c>
      <c r="AR636">
        <f t="shared" si="560"/>
        <v>-0.8333333275462963</v>
      </c>
      <c r="AT636">
        <f t="shared" si="561"/>
        <v>-147.26357855610374</v>
      </c>
      <c r="AU636">
        <f t="shared" si="562"/>
        <v>-3.841915769907462</v>
      </c>
      <c r="AV636">
        <f t="shared" si="511"/>
        <v>-3.115509866966236</v>
      </c>
      <c r="AW636">
        <f t="shared" si="512"/>
        <v>541.615699670288</v>
      </c>
      <c r="AX636">
        <f t="shared" si="513"/>
        <v>-665.83494376183489</v>
      </c>
      <c r="AY636">
        <f t="shared" si="521"/>
        <v>-0.88791479398641904</v>
      </c>
      <c r="BA636">
        <f t="shared" si="502"/>
        <v>0.17163369516506596</v>
      </c>
      <c r="BB636">
        <f t="shared" si="514"/>
        <v>-15.307948946561794</v>
      </c>
      <c r="BC636">
        <f t="shared" si="515"/>
        <v>-2.2275950729798168</v>
      </c>
      <c r="BD636">
        <f t="shared" si="503"/>
        <v>-307.63179629172072</v>
      </c>
      <c r="BF636">
        <f t="shared" si="504"/>
        <v>-80.797215771908938</v>
      </c>
      <c r="BG636">
        <f t="shared" si="505"/>
        <v>-218.76657285901425</v>
      </c>
      <c r="BH636">
        <f t="shared" si="516"/>
        <v>-38.766572859014246</v>
      </c>
      <c r="BI636">
        <f t="shared" si="517"/>
        <v>-38.766572859014246</v>
      </c>
      <c r="BJ636">
        <f t="shared" si="506"/>
        <v>0</v>
      </c>
      <c r="BK636">
        <f t="shared" si="518"/>
        <v>0</v>
      </c>
      <c r="BM636">
        <f t="shared" si="519"/>
        <v>-65.48926682534713</v>
      </c>
      <c r="BN636">
        <f t="shared" si="507"/>
        <v>-91.134776567293542</v>
      </c>
      <c r="BQ636" s="56">
        <f t="shared" si="520"/>
        <v>1.594011853723343</v>
      </c>
    </row>
    <row r="637" spans="1:69" x14ac:dyDescent="0.25">
      <c r="A637">
        <f t="shared" si="563"/>
        <v>6100000</v>
      </c>
      <c r="B637">
        <f t="shared" si="508"/>
        <v>6100</v>
      </c>
      <c r="C637">
        <f t="shared" si="539"/>
        <v>50.602090015308946</v>
      </c>
      <c r="D637">
        <f t="shared" si="540"/>
        <v>1.5510330106794032</v>
      </c>
      <c r="F637">
        <f t="shared" si="541"/>
        <v>6.8880374599457572E-7</v>
      </c>
      <c r="G637">
        <f t="shared" si="542"/>
        <v>2.8232227481511614E-4</v>
      </c>
      <c r="H637">
        <f t="shared" si="481"/>
        <v>-3.141310327725185</v>
      </c>
      <c r="J637">
        <f t="shared" si="482"/>
        <v>15</v>
      </c>
      <c r="M637">
        <f t="shared" si="543"/>
        <v>2.0856094570082475E-4</v>
      </c>
      <c r="N637">
        <f t="shared" si="484"/>
        <v>-1.5707963250000001</v>
      </c>
      <c r="O637">
        <f t="shared" si="544"/>
        <v>1772.2606605847648</v>
      </c>
      <c r="P637">
        <f t="shared" si="486"/>
        <v>1.5702320756803154</v>
      </c>
      <c r="Q637">
        <f t="shared" si="545"/>
        <v>1564.9859547262781</v>
      </c>
      <c r="R637">
        <f t="shared" si="488"/>
        <v>1.5701573433810008</v>
      </c>
      <c r="S637">
        <f t="shared" si="546"/>
        <v>2.1172991410352456E-2</v>
      </c>
      <c r="T637">
        <f t="shared" si="490"/>
        <v>-1.5496217531056333</v>
      </c>
      <c r="U637">
        <f t="shared" si="547"/>
        <v>2.6134707872671796E-2</v>
      </c>
      <c r="V637">
        <f t="shared" si="492"/>
        <v>-1.5446586429065225</v>
      </c>
      <c r="X637">
        <f t="shared" si="548"/>
        <v>-75.527477706535521</v>
      </c>
      <c r="Y637">
        <f t="shared" si="549"/>
        <v>-178.47432620501957</v>
      </c>
      <c r="Z637">
        <f t="shared" si="510"/>
        <v>1.5256737949804346</v>
      </c>
      <c r="AC637">
        <v>1</v>
      </c>
      <c r="AD637">
        <f t="shared" si="550"/>
        <v>1772.2603784592</v>
      </c>
      <c r="AE637">
        <f t="shared" si="551"/>
        <v>-10.188927927302165</v>
      </c>
      <c r="AF637">
        <f t="shared" si="552"/>
        <v>0.26637564079350001</v>
      </c>
      <c r="AG637">
        <f t="shared" si="553"/>
        <v>4.4462351632325721</v>
      </c>
      <c r="AH637">
        <f t="shared" si="554"/>
        <v>-173.82358795302841</v>
      </c>
      <c r="AJ637">
        <f t="shared" si="497"/>
        <v>18000</v>
      </c>
      <c r="AK637">
        <f t="shared" si="555"/>
        <v>849949.09499807993</v>
      </c>
      <c r="AL637">
        <v>12</v>
      </c>
      <c r="AM637">
        <f t="shared" si="556"/>
        <v>1564.98563523456</v>
      </c>
      <c r="AN637">
        <f t="shared" si="557"/>
        <v>543.15970588052471</v>
      </c>
      <c r="AO637">
        <f t="shared" si="558"/>
        <v>-7.3368619308207057</v>
      </c>
      <c r="AQ637">
        <f t="shared" si="559"/>
        <v>6.7186239806596079E-5</v>
      </c>
      <c r="AR637">
        <f t="shared" si="560"/>
        <v>-0.81967212564047209</v>
      </c>
      <c r="AT637">
        <f t="shared" si="561"/>
        <v>-142.47805109809042</v>
      </c>
      <c r="AU637">
        <f t="shared" si="562"/>
        <v>-3.6561335806085089</v>
      </c>
      <c r="AV637">
        <f t="shared" si="511"/>
        <v>-3.1159372536030689</v>
      </c>
      <c r="AW637">
        <f t="shared" si="512"/>
        <v>541.9689386118896</v>
      </c>
      <c r="AX637">
        <f t="shared" si="513"/>
        <v>-654.57661477781767</v>
      </c>
      <c r="AY637">
        <f t="shared" si="521"/>
        <v>-0.87923243740277324</v>
      </c>
      <c r="BA637">
        <f t="shared" si="502"/>
        <v>0.16771113678600461</v>
      </c>
      <c r="BB637">
        <f t="shared" si="514"/>
        <v>-15.508761945956195</v>
      </c>
      <c r="BC637">
        <f t="shared" si="515"/>
        <v>-2.2367048162002958</v>
      </c>
      <c r="BD637">
        <f t="shared" si="503"/>
        <v>-308.15374613129848</v>
      </c>
      <c r="BF637">
        <f t="shared" si="504"/>
        <v>-81.141657661384428</v>
      </c>
      <c r="BG637">
        <f t="shared" si="505"/>
        <v>-219.26992475752508</v>
      </c>
      <c r="BH637">
        <f t="shared" si="516"/>
        <v>-39.269924757525075</v>
      </c>
      <c r="BI637">
        <f t="shared" si="517"/>
        <v>-39.269924757525075</v>
      </c>
      <c r="BJ637">
        <f t="shared" si="506"/>
        <v>0</v>
      </c>
      <c r="BK637">
        <f t="shared" si="518"/>
        <v>0</v>
      </c>
      <c r="BM637">
        <f t="shared" si="519"/>
        <v>-65.632895715428248</v>
      </c>
      <c r="BN637">
        <f t="shared" si="507"/>
        <v>-91.116178626226642</v>
      </c>
      <c r="BQ637" s="56">
        <f t="shared" si="520"/>
        <v>1.3931988543289409</v>
      </c>
    </row>
    <row r="638" spans="1:69" x14ac:dyDescent="0.25">
      <c r="A638">
        <f t="shared" si="563"/>
        <v>6200000</v>
      </c>
      <c r="B638">
        <f t="shared" si="508"/>
        <v>6200</v>
      </c>
      <c r="C638">
        <f t="shared" si="539"/>
        <v>51.431311118516952</v>
      </c>
      <c r="D638">
        <f t="shared" si="540"/>
        <v>1.5513516928421112</v>
      </c>
      <c r="F638">
        <f t="shared" si="541"/>
        <v>6.6676344570546799E-7</v>
      </c>
      <c r="G638">
        <f t="shared" si="542"/>
        <v>2.7776868381548038E-4</v>
      </c>
      <c r="H638">
        <f t="shared" si="481"/>
        <v>-3.1413148813161849</v>
      </c>
      <c r="J638">
        <f t="shared" si="482"/>
        <v>15</v>
      </c>
      <c r="M638">
        <f t="shared" si="543"/>
        <v>2.0519705947984372E-4</v>
      </c>
      <c r="N638">
        <f t="shared" si="484"/>
        <v>-1.5707963250000001</v>
      </c>
      <c r="O638">
        <f t="shared" si="544"/>
        <v>1801.314104861553</v>
      </c>
      <c r="P638">
        <f t="shared" si="486"/>
        <v>1.570241176502859</v>
      </c>
      <c r="Q638">
        <f t="shared" si="545"/>
        <v>1590.6414517901469</v>
      </c>
      <c r="R638">
        <f t="shared" si="488"/>
        <v>1.570167649562358</v>
      </c>
      <c r="S638">
        <f t="shared" si="546"/>
        <v>2.0831640959429392E-2</v>
      </c>
      <c r="T638">
        <f t="shared" si="490"/>
        <v>-1.5499631788675106</v>
      </c>
      <c r="U638">
        <f t="shared" si="547"/>
        <v>2.5713461315747574E-2</v>
      </c>
      <c r="V638">
        <f t="shared" si="492"/>
        <v>-1.545080031089052</v>
      </c>
      <c r="X638">
        <f t="shared" si="548"/>
        <v>-75.809849224626362</v>
      </c>
      <c r="Y638">
        <f t="shared" si="549"/>
        <v>-178.49892204381604</v>
      </c>
      <c r="Z638">
        <f t="shared" si="510"/>
        <v>1.5010779561839627</v>
      </c>
      <c r="AC638">
        <v>1</v>
      </c>
      <c r="AD638">
        <f t="shared" si="550"/>
        <v>1801.3138272864001</v>
      </c>
      <c r="AE638">
        <f t="shared" si="551"/>
        <v>-10.525729361072161</v>
      </c>
      <c r="AF638">
        <f t="shared" si="552"/>
        <v>0.27074245457699997</v>
      </c>
      <c r="AG638">
        <f t="shared" si="553"/>
        <v>4.3040589579162534</v>
      </c>
      <c r="AH638">
        <f t="shared" si="554"/>
        <v>-171.02363874726541</v>
      </c>
      <c r="AJ638">
        <f t="shared" si="497"/>
        <v>18000</v>
      </c>
      <c r="AK638">
        <f t="shared" si="555"/>
        <v>863882.68671935995</v>
      </c>
      <c r="AL638">
        <v>13</v>
      </c>
      <c r="AM638">
        <f t="shared" si="556"/>
        <v>1590.6411374515201</v>
      </c>
      <c r="AN638">
        <f t="shared" si="557"/>
        <v>543.15965309536136</v>
      </c>
      <c r="AO638">
        <f t="shared" si="558"/>
        <v>-6.8770536937617059</v>
      </c>
      <c r="AQ638">
        <f t="shared" si="559"/>
        <v>6.5036419972447842E-5</v>
      </c>
      <c r="AR638">
        <f t="shared" si="560"/>
        <v>-0.80645160765835322</v>
      </c>
      <c r="AT638">
        <f t="shared" si="561"/>
        <v>-137.92200849472766</v>
      </c>
      <c r="AU638">
        <f t="shared" si="562"/>
        <v>-3.4821380312626822</v>
      </c>
      <c r="AV638">
        <f t="shared" si="511"/>
        <v>-3.1163508630148704</v>
      </c>
      <c r="AW638">
        <f t="shared" si="512"/>
        <v>542.29990852633205</v>
      </c>
      <c r="AX638">
        <f t="shared" si="513"/>
        <v>-643.68087765470568</v>
      </c>
      <c r="AY638">
        <f t="shared" si="521"/>
        <v>-0.87067366416959802</v>
      </c>
      <c r="BA638">
        <f t="shared" si="502"/>
        <v>0.16391862193278728</v>
      </c>
      <c r="BB638">
        <f t="shared" si="514"/>
        <v>-15.70743411428241</v>
      </c>
      <c r="BC638">
        <f t="shared" si="515"/>
        <v>-2.2456771988452724</v>
      </c>
      <c r="BD638">
        <f t="shared" si="503"/>
        <v>-308.66782578961949</v>
      </c>
      <c r="BF638">
        <f t="shared" si="504"/>
        <v>-81.481621372452508</v>
      </c>
      <c r="BG638">
        <f t="shared" si="505"/>
        <v>-219.7660061744422</v>
      </c>
      <c r="BH638">
        <f t="shared" si="516"/>
        <v>-39.766006174442197</v>
      </c>
      <c r="BI638">
        <f t="shared" si="517"/>
        <v>-39.766006174442197</v>
      </c>
      <c r="BJ638">
        <f t="shared" si="506"/>
        <v>0</v>
      </c>
      <c r="BK638">
        <f t="shared" si="518"/>
        <v>0</v>
      </c>
      <c r="BM638">
        <f t="shared" si="519"/>
        <v>-65.774187258170102</v>
      </c>
      <c r="BN638">
        <f t="shared" si="507"/>
        <v>-91.098180384822726</v>
      </c>
      <c r="BQ638" s="56">
        <f t="shared" si="520"/>
        <v>1.1945266860027257</v>
      </c>
    </row>
    <row r="639" spans="1:69" x14ac:dyDescent="0.25">
      <c r="A639">
        <f t="shared" si="563"/>
        <v>6300000</v>
      </c>
      <c r="B639">
        <f t="shared" si="508"/>
        <v>6300</v>
      </c>
      <c r="C639">
        <f t="shared" si="539"/>
        <v>52.26053727924613</v>
      </c>
      <c r="D639">
        <f t="shared" si="540"/>
        <v>1.5516602618753841</v>
      </c>
      <c r="F639">
        <f t="shared" si="541"/>
        <v>6.4576433214102275E-7</v>
      </c>
      <c r="G639">
        <f t="shared" si="542"/>
        <v>2.7335965153559168E-4</v>
      </c>
      <c r="H639">
        <f t="shared" si="481"/>
        <v>-3.1413192903484646</v>
      </c>
      <c r="J639">
        <f t="shared" si="482"/>
        <v>15</v>
      </c>
      <c r="M639">
        <f t="shared" si="543"/>
        <v>2.0193996329762398E-4</v>
      </c>
      <c r="N639">
        <f t="shared" si="484"/>
        <v>-1.5707963250000001</v>
      </c>
      <c r="O639">
        <f t="shared" si="544"/>
        <v>1830.367549282799</v>
      </c>
      <c r="P639">
        <f t="shared" si="486"/>
        <v>1.5702499884104888</v>
      </c>
      <c r="Q639">
        <f t="shared" si="545"/>
        <v>1616.2969490176058</v>
      </c>
      <c r="R639">
        <f t="shared" si="488"/>
        <v>1.5701776285634821</v>
      </c>
      <c r="S639">
        <f t="shared" si="546"/>
        <v>2.0501120087567729E-2</v>
      </c>
      <c r="T639">
        <f t="shared" si="490"/>
        <v>-1.5502937703461108</v>
      </c>
      <c r="U639">
        <f t="shared" si="547"/>
        <v>2.5305574610557519E-2</v>
      </c>
      <c r="V639">
        <f t="shared" si="492"/>
        <v>-1.5454880505750648</v>
      </c>
      <c r="X639">
        <f t="shared" si="548"/>
        <v>-76.087705809035228</v>
      </c>
      <c r="Y639">
        <f t="shared" si="549"/>
        <v>-178.52273761069924</v>
      </c>
      <c r="Z639">
        <f t="shared" si="510"/>
        <v>1.4772623893007619</v>
      </c>
      <c r="AC639">
        <v>1</v>
      </c>
      <c r="AD639">
        <f t="shared" si="550"/>
        <v>1830.3672761136002</v>
      </c>
      <c r="AE639">
        <f t="shared" si="551"/>
        <v>-10.868007240919722</v>
      </c>
      <c r="AF639">
        <f t="shared" si="552"/>
        <v>0.27510926836049998</v>
      </c>
      <c r="AG639">
        <f t="shared" si="553"/>
        <v>4.168593388546908</v>
      </c>
      <c r="AH639">
        <f t="shared" si="554"/>
        <v>-168.31240694697809</v>
      </c>
      <c r="AJ639">
        <f t="shared" si="497"/>
        <v>18000</v>
      </c>
      <c r="AK639">
        <f t="shared" si="555"/>
        <v>877816.27844063996</v>
      </c>
      <c r="AL639">
        <v>14</v>
      </c>
      <c r="AM639">
        <f t="shared" si="556"/>
        <v>1616.2966396684801</v>
      </c>
      <c r="AN639">
        <f t="shared" si="557"/>
        <v>543.15915949109967</v>
      </c>
      <c r="AO639">
        <f t="shared" si="558"/>
        <v>-6.4318464271860956</v>
      </c>
      <c r="AQ639">
        <f t="shared" si="559"/>
        <v>6.2988157829502655E-5</v>
      </c>
      <c r="AR639">
        <f t="shared" si="560"/>
        <v>-0.79365078865173355</v>
      </c>
      <c r="AT639">
        <f t="shared" si="561"/>
        <v>-133.5810119413224</v>
      </c>
      <c r="AU639">
        <f t="shared" si="562"/>
        <v>-3.3190091188420956</v>
      </c>
      <c r="AV639">
        <f t="shared" si="511"/>
        <v>-3.1167513506751705</v>
      </c>
      <c r="AW639">
        <f t="shared" si="512"/>
        <v>542.61017934272797</v>
      </c>
      <c r="AX639">
        <f t="shared" si="513"/>
        <v>-633.13051491864258</v>
      </c>
      <c r="AY639">
        <f t="shared" si="521"/>
        <v>-0.86223663406752826</v>
      </c>
      <c r="BA639">
        <f t="shared" si="502"/>
        <v>0.16025030196343662</v>
      </c>
      <c r="BB639">
        <f t="shared" si="514"/>
        <v>-15.904022869140066</v>
      </c>
      <c r="BC639">
        <f t="shared" si="515"/>
        <v>-2.254514716607642</v>
      </c>
      <c r="BD639">
        <f t="shared" si="503"/>
        <v>-309.17417825935377</v>
      </c>
      <c r="BF639">
        <f t="shared" si="504"/>
        <v>-81.817239207675243</v>
      </c>
      <c r="BG639">
        <f t="shared" si="505"/>
        <v>-220.25493155980294</v>
      </c>
      <c r="BH639">
        <f t="shared" si="516"/>
        <v>-40.254931559802941</v>
      </c>
      <c r="BI639">
        <f t="shared" si="517"/>
        <v>-40.254931559802941</v>
      </c>
      <c r="BJ639">
        <f t="shared" si="506"/>
        <v>0</v>
      </c>
      <c r="BK639">
        <f t="shared" si="518"/>
        <v>0</v>
      </c>
      <c r="BM639">
        <f t="shared" si="519"/>
        <v>-65.913216338535179</v>
      </c>
      <c r="BN639">
        <f t="shared" si="507"/>
        <v>-91.080753300449203</v>
      </c>
      <c r="BQ639" s="56">
        <f t="shared" si="520"/>
        <v>0.99793793114507023</v>
      </c>
    </row>
    <row r="640" spans="1:69" x14ac:dyDescent="0.25">
      <c r="A640">
        <f t="shared" si="563"/>
        <v>6400000</v>
      </c>
      <c r="B640">
        <f t="shared" si="508"/>
        <v>6400</v>
      </c>
      <c r="C640">
        <f t="shared" si="539"/>
        <v>53.08976826051132</v>
      </c>
      <c r="D640">
        <f t="shared" si="540"/>
        <v>1.5519591916024538</v>
      </c>
      <c r="F640">
        <f t="shared" si="541"/>
        <v>6.257418421915627E-7</v>
      </c>
      <c r="G640">
        <f t="shared" si="542"/>
        <v>2.6908840176865676E-4</v>
      </c>
      <c r="H640">
        <f t="shared" si="481"/>
        <v>-3.1413235615982313</v>
      </c>
      <c r="J640">
        <f t="shared" si="482"/>
        <v>15</v>
      </c>
      <c r="M640">
        <f t="shared" si="543"/>
        <v>1.9878465137109858E-4</v>
      </c>
      <c r="N640">
        <f t="shared" si="484"/>
        <v>-1.5707963250000001</v>
      </c>
      <c r="O640">
        <f t="shared" si="544"/>
        <v>1859.4209938417307</v>
      </c>
      <c r="P640">
        <f t="shared" si="486"/>
        <v>1.5702585249460861</v>
      </c>
      <c r="Q640">
        <f t="shared" si="545"/>
        <v>1641.9524464009864</v>
      </c>
      <c r="R640">
        <f t="shared" si="488"/>
        <v>1.5701872957209384</v>
      </c>
      <c r="S640">
        <f t="shared" si="546"/>
        <v>2.0180921581843432E-2</v>
      </c>
      <c r="T640">
        <f t="shared" si="490"/>
        <v>-1.5506140351159758</v>
      </c>
      <c r="U640">
        <f t="shared" si="547"/>
        <v>2.4910422310293213E-2</v>
      </c>
      <c r="V640">
        <f t="shared" si="492"/>
        <v>-1.5458833274911228</v>
      </c>
      <c r="X640">
        <f t="shared" si="548"/>
        <v>-76.361189523613263</v>
      </c>
      <c r="Y640">
        <f t="shared" si="549"/>
        <v>-178.54580944746394</v>
      </c>
      <c r="Z640">
        <f t="shared" si="510"/>
        <v>1.4541905525360619</v>
      </c>
      <c r="AC640">
        <v>1</v>
      </c>
      <c r="AD640">
        <f t="shared" si="550"/>
        <v>1859.4207249408</v>
      </c>
      <c r="AE640">
        <f t="shared" si="551"/>
        <v>-11.215761566844844</v>
      </c>
      <c r="AF640">
        <f t="shared" si="552"/>
        <v>0.27947608214399999</v>
      </c>
      <c r="AG640">
        <f t="shared" si="553"/>
        <v>4.0394227720504503</v>
      </c>
      <c r="AH640">
        <f t="shared" si="554"/>
        <v>-165.68574428184002</v>
      </c>
      <c r="AJ640">
        <f t="shared" si="497"/>
        <v>18000</v>
      </c>
      <c r="AK640">
        <f t="shared" si="555"/>
        <v>891749.87016191997</v>
      </c>
      <c r="AL640">
        <v>15</v>
      </c>
      <c r="AM640">
        <f t="shared" si="556"/>
        <v>1641.9521418854399</v>
      </c>
      <c r="AN640">
        <f t="shared" si="557"/>
        <v>543.15826615989988</v>
      </c>
      <c r="AO640">
        <f t="shared" si="558"/>
        <v>-6.0005561406240604</v>
      </c>
      <c r="AQ640">
        <f t="shared" si="559"/>
        <v>6.1035155877470973E-5</v>
      </c>
      <c r="AR640">
        <f t="shared" si="560"/>
        <v>-0.78124999523162841</v>
      </c>
      <c r="AT640">
        <f t="shared" si="561"/>
        <v>-129.44174038333779</v>
      </c>
      <c r="AU640">
        <f t="shared" si="562"/>
        <v>-3.1659116766318625</v>
      </c>
      <c r="AV640">
        <f t="shared" si="511"/>
        <v>-3.1171393311349886</v>
      </c>
      <c r="AW640">
        <f t="shared" si="512"/>
        <v>542.90119155939362</v>
      </c>
      <c r="AX640">
        <f t="shared" si="513"/>
        <v>-622.90938087666132</v>
      </c>
      <c r="AY640">
        <f t="shared" si="521"/>
        <v>-0.85391952908266389</v>
      </c>
      <c r="BA640">
        <f t="shared" si="502"/>
        <v>0.1567006751215049</v>
      </c>
      <c r="BB640">
        <f t="shared" si="514"/>
        <v>-16.09858264868658</v>
      </c>
      <c r="BC640">
        <f t="shared" si="515"/>
        <v>-2.2632198020523249</v>
      </c>
      <c r="BD640">
        <f t="shared" si="503"/>
        <v>-309.67294291620476</v>
      </c>
      <c r="BF640">
        <f t="shared" si="504"/>
        <v>-82.148636946775923</v>
      </c>
      <c r="BG640">
        <f t="shared" si="505"/>
        <v>-220.73681352948745</v>
      </c>
      <c r="BH640">
        <f t="shared" si="516"/>
        <v>-40.736813529487449</v>
      </c>
      <c r="BI640">
        <f t="shared" si="517"/>
        <v>-40.736813529487449</v>
      </c>
      <c r="BJ640">
        <f t="shared" si="506"/>
        <v>0</v>
      </c>
      <c r="BK640">
        <f t="shared" si="518"/>
        <v>0</v>
      </c>
      <c r="BM640">
        <f t="shared" si="519"/>
        <v>-66.05005429808935</v>
      </c>
      <c r="BN640">
        <f t="shared" si="507"/>
        <v>-91.063870613282702</v>
      </c>
      <c r="BQ640" s="56">
        <f t="shared" si="520"/>
        <v>0.80337815159855741</v>
      </c>
    </row>
    <row r="641" spans="1:69" x14ac:dyDescent="0.25">
      <c r="A641">
        <f t="shared" si="563"/>
        <v>6500000</v>
      </c>
      <c r="B641">
        <f t="shared" si="508"/>
        <v>6500</v>
      </c>
      <c r="C641">
        <f t="shared" si="539"/>
        <v>53.919003839904619</v>
      </c>
      <c r="D641">
        <f t="shared" si="540"/>
        <v>1.5522489267054556</v>
      </c>
      <c r="F641">
        <f t="shared" si="541"/>
        <v>6.0663634063755741E-7</v>
      </c>
      <c r="G641">
        <f t="shared" si="542"/>
        <v>2.6494857530648619E-4</v>
      </c>
      <c r="H641">
        <f t="shared" si="481"/>
        <v>-3.1413277014246939</v>
      </c>
      <c r="J641">
        <f t="shared" si="482"/>
        <v>15</v>
      </c>
      <c r="M641">
        <f t="shared" si="543"/>
        <v>1.9572642596538939E-4</v>
      </c>
      <c r="N641">
        <f t="shared" si="484"/>
        <v>-1.5707963250000001</v>
      </c>
      <c r="O641">
        <f t="shared" si="544"/>
        <v>1888.4744385319939</v>
      </c>
      <c r="P641">
        <f t="shared" si="486"/>
        <v>1.5702667988191246</v>
      </c>
      <c r="Q641">
        <f t="shared" si="545"/>
        <v>1667.6079439330929</v>
      </c>
      <c r="R641">
        <f t="shared" si="488"/>
        <v>1.5701966654275048</v>
      </c>
      <c r="S641">
        <f t="shared" si="546"/>
        <v>1.9870569410620667E-2</v>
      </c>
      <c r="T641">
        <f t="shared" si="490"/>
        <v>-1.5509244495375105</v>
      </c>
      <c r="U641">
        <f t="shared" si="547"/>
        <v>2.4527417397396473E-2</v>
      </c>
      <c r="V641">
        <f t="shared" si="492"/>
        <v>-1.5462664494728058</v>
      </c>
      <c r="X641">
        <f t="shared" si="548"/>
        <v>-76.630435832990202</v>
      </c>
      <c r="Y641">
        <f t="shared" si="549"/>
        <v>-178.56817184969114</v>
      </c>
      <c r="Z641">
        <f t="shared" si="510"/>
        <v>1.4318281503088599</v>
      </c>
      <c r="AC641">
        <v>1</v>
      </c>
      <c r="AD641">
        <f t="shared" si="550"/>
        <v>1888.4741737680001</v>
      </c>
      <c r="AE641">
        <f t="shared" si="551"/>
        <v>-11.568992338847526</v>
      </c>
      <c r="AF641">
        <f t="shared" si="552"/>
        <v>0.28384289592749995</v>
      </c>
      <c r="AG641">
        <f t="shared" si="553"/>
        <v>3.9161631139308737</v>
      </c>
      <c r="AH641">
        <f t="shared" si="554"/>
        <v>-163.1397569822258</v>
      </c>
      <c r="AJ641">
        <f t="shared" si="497"/>
        <v>18000</v>
      </c>
      <c r="AK641">
        <f t="shared" si="555"/>
        <v>905683.4618832001</v>
      </c>
      <c r="AL641">
        <v>16</v>
      </c>
      <c r="AM641">
        <f t="shared" si="556"/>
        <v>1667.6076441024002</v>
      </c>
      <c r="AN641">
        <f t="shared" si="557"/>
        <v>543.15701042777607</v>
      </c>
      <c r="AO641">
        <f t="shared" si="558"/>
        <v>-5.582540872896077</v>
      </c>
      <c r="AQ641">
        <f t="shared" si="559"/>
        <v>5.9171597283008303E-5</v>
      </c>
      <c r="AR641">
        <f t="shared" si="560"/>
        <v>-0.76923076467910789</v>
      </c>
      <c r="AT641">
        <f t="shared" si="561"/>
        <v>-125.49188828737471</v>
      </c>
      <c r="AU641">
        <f t="shared" si="562"/>
        <v>-3.0220863867381622</v>
      </c>
      <c r="AV641">
        <f t="shared" si="511"/>
        <v>-3.1175153811667031</v>
      </c>
      <c r="AW641">
        <f t="shared" si="512"/>
        <v>543.1742685666236</v>
      </c>
      <c r="AX641">
        <f t="shared" si="513"/>
        <v>-613.00231959596556</v>
      </c>
      <c r="AY641">
        <f t="shared" si="521"/>
        <v>-0.84572055241465227</v>
      </c>
      <c r="BA641">
        <f t="shared" si="502"/>
        <v>0.1532645603657459</v>
      </c>
      <c r="BB641">
        <f t="shared" si="514"/>
        <v>-16.291165124299525</v>
      </c>
      <c r="BC641">
        <f t="shared" si="515"/>
        <v>-2.2717948287520509</v>
      </c>
      <c r="BD641">
        <f t="shared" si="503"/>
        <v>-310.16425575587243</v>
      </c>
      <c r="BF641">
        <f t="shared" si="504"/>
        <v>-82.475934279464994</v>
      </c>
      <c r="BG641">
        <f t="shared" si="505"/>
        <v>-221.2117629651419</v>
      </c>
      <c r="BH641">
        <f t="shared" si="516"/>
        <v>-41.211762965141901</v>
      </c>
      <c r="BI641">
        <f t="shared" si="517"/>
        <v>-41.211762965141901</v>
      </c>
      <c r="BJ641">
        <f t="shared" si="506"/>
        <v>0</v>
      </c>
      <c r="BK641">
        <f t="shared" si="518"/>
        <v>0</v>
      </c>
      <c r="BM641">
        <f t="shared" si="519"/>
        <v>-66.184769155165469</v>
      </c>
      <c r="BN641">
        <f t="shared" si="507"/>
        <v>-91.04750720926944</v>
      </c>
      <c r="BQ641" s="56">
        <f t="shared" si="520"/>
        <v>0.61079567598561157</v>
      </c>
    </row>
    <row r="642" spans="1:69" x14ac:dyDescent="0.25">
      <c r="A642">
        <f t="shared" si="563"/>
        <v>6600000</v>
      </c>
      <c r="B642">
        <f t="shared" si="508"/>
        <v>6600</v>
      </c>
      <c r="C642">
        <f t="shared" si="539"/>
        <v>54.748243808491559</v>
      </c>
      <c r="D642">
        <f t="shared" si="540"/>
        <v>1.5525298849315543</v>
      </c>
      <c r="F642">
        <f t="shared" si="541"/>
        <v>5.8839267558880358E-7</v>
      </c>
      <c r="G642">
        <f t="shared" si="542"/>
        <v>2.609341983485792E-4</v>
      </c>
      <c r="H642">
        <f t="shared" si="481"/>
        <v>-3.1413317158016518</v>
      </c>
      <c r="J642">
        <f t="shared" si="482"/>
        <v>15</v>
      </c>
      <c r="M642">
        <f t="shared" si="543"/>
        <v>1.9276087405682287E-4</v>
      </c>
      <c r="N642">
        <f t="shared" si="484"/>
        <v>-1.5707963250000001</v>
      </c>
      <c r="O642">
        <f t="shared" si="544"/>
        <v>1917.5278833476186</v>
      </c>
      <c r="P642">
        <f t="shared" si="486"/>
        <v>1.5702748219688067</v>
      </c>
      <c r="Q642">
        <f t="shared" si="545"/>
        <v>1693.2634416071644</v>
      </c>
      <c r="R642">
        <f t="shared" si="488"/>
        <v>1.5702057512036698</v>
      </c>
      <c r="S642">
        <f t="shared" si="546"/>
        <v>1.956961636415766E-2</v>
      </c>
      <c r="T642">
        <f t="shared" si="490"/>
        <v>-1.5512254611198049</v>
      </c>
      <c r="U642">
        <f t="shared" si="547"/>
        <v>2.4156008377558495E-2</v>
      </c>
      <c r="V642">
        <f t="shared" si="492"/>
        <v>-1.5466379685771541</v>
      </c>
      <c r="X642">
        <f t="shared" si="548"/>
        <v>-76.89557400495454</v>
      </c>
      <c r="Y642">
        <f t="shared" si="549"/>
        <v>-178.58985703669262</v>
      </c>
      <c r="Z642">
        <f t="shared" si="510"/>
        <v>1.4101429633073792</v>
      </c>
      <c r="AC642">
        <v>1</v>
      </c>
      <c r="AD642">
        <f t="shared" si="550"/>
        <v>1917.5276225952</v>
      </c>
      <c r="AE642">
        <f t="shared" si="551"/>
        <v>-11.92769955692777</v>
      </c>
      <c r="AF642">
        <f t="shared" si="552"/>
        <v>0.28820970971099996</v>
      </c>
      <c r="AG642">
        <f t="shared" si="553"/>
        <v>3.798459253564817</v>
      </c>
      <c r="AH642">
        <f t="shared" si="554"/>
        <v>-160.67078656783326</v>
      </c>
      <c r="AJ642">
        <f t="shared" si="497"/>
        <v>18000</v>
      </c>
      <c r="AK642">
        <f t="shared" si="555"/>
        <v>919617.05360447988</v>
      </c>
      <c r="AL642">
        <v>17</v>
      </c>
      <c r="AM642">
        <f t="shared" si="556"/>
        <v>1693.26314631936</v>
      </c>
      <c r="AN642">
        <f t="shared" si="557"/>
        <v>543.15542623212548</v>
      </c>
      <c r="AO642">
        <f t="shared" si="558"/>
        <v>-5.1771975154064318</v>
      </c>
      <c r="AQ642">
        <f t="shared" si="559"/>
        <v>5.7392102517262957E-5</v>
      </c>
      <c r="AR642">
        <f t="shared" si="560"/>
        <v>-0.75757575322787107</v>
      </c>
      <c r="AT642">
        <f t="shared" si="561"/>
        <v>-121.72007415427791</v>
      </c>
      <c r="AU642">
        <f t="shared" si="562"/>
        <v>-2.8868418643789737</v>
      </c>
      <c r="AV642">
        <f t="shared" si="511"/>
        <v>-3.1178800426225282</v>
      </c>
      <c r="AW642">
        <f t="shared" si="512"/>
        <v>543.4306276379516</v>
      </c>
      <c r="AX642">
        <f t="shared" si="513"/>
        <v>-603.3950902931108</v>
      </c>
      <c r="AY642">
        <f t="shared" si="521"/>
        <v>-0.83763792769593881</v>
      </c>
      <c r="BA642">
        <f t="shared" si="502"/>
        <v>0.14993707359146086</v>
      </c>
      <c r="BB642">
        <f t="shared" si="514"/>
        <v>-16.481819395672868</v>
      </c>
      <c r="BC642">
        <f t="shared" si="515"/>
        <v>-2.2802421149265895</v>
      </c>
      <c r="BD642">
        <f t="shared" si="503"/>
        <v>-310.64824960256578</v>
      </c>
      <c r="BF642">
        <f t="shared" si="504"/>
        <v>-82.799245203856145</v>
      </c>
      <c r="BG642">
        <f t="shared" si="505"/>
        <v>-221.67988909809918</v>
      </c>
      <c r="BH642">
        <f t="shared" si="516"/>
        <v>-41.679889098099181</v>
      </c>
      <c r="BI642">
        <f t="shared" si="517"/>
        <v>-41.679889098099181</v>
      </c>
      <c r="BJ642">
        <f t="shared" si="506"/>
        <v>0</v>
      </c>
      <c r="BK642">
        <f t="shared" si="518"/>
        <v>0</v>
      </c>
      <c r="BM642">
        <f t="shared" si="519"/>
        <v>-66.317425808183287</v>
      </c>
      <c r="BN642">
        <f t="shared" si="507"/>
        <v>-91.03163949553344</v>
      </c>
      <c r="BQ642" s="56">
        <f t="shared" si="520"/>
        <v>0.42014140461226823</v>
      </c>
    </row>
    <row r="643" spans="1:69" x14ac:dyDescent="0.25">
      <c r="A643">
        <f t="shared" si="563"/>
        <v>6700000</v>
      </c>
      <c r="B643">
        <f t="shared" si="508"/>
        <v>6700</v>
      </c>
      <c r="C643">
        <f t="shared" si="539"/>
        <v>55.577487969806207</v>
      </c>
      <c r="D643">
        <f t="shared" si="540"/>
        <v>1.552802459101664</v>
      </c>
      <c r="F643">
        <f t="shared" si="541"/>
        <v>5.7095978001915832E-7</v>
      </c>
      <c r="G643">
        <f t="shared" si="542"/>
        <v>2.5703965374025678E-4</v>
      </c>
      <c r="H643">
        <f t="shared" si="481"/>
        <v>-3.14133561034626</v>
      </c>
      <c r="J643">
        <f t="shared" si="482"/>
        <v>15</v>
      </c>
      <c r="M643">
        <f t="shared" si="543"/>
        <v>1.8988384608582552E-4</v>
      </c>
      <c r="N643">
        <f t="shared" si="484"/>
        <v>-1.5707963250000001</v>
      </c>
      <c r="O643">
        <f t="shared" si="544"/>
        <v>1946.5813282829922</v>
      </c>
      <c r="P643">
        <f t="shared" si="486"/>
        <v>1.5702826056215475</v>
      </c>
      <c r="Q643">
        <f t="shared" si="545"/>
        <v>1718.9189394168445</v>
      </c>
      <c r="R643">
        <f t="shared" si="488"/>
        <v>1.5702145657627289</v>
      </c>
      <c r="S643">
        <f t="shared" si="546"/>
        <v>1.9277641906213321E-2</v>
      </c>
      <c r="T643">
        <f t="shared" si="490"/>
        <v>-1.5515174906720552</v>
      </c>
      <c r="U643">
        <f t="shared" si="547"/>
        <v>2.3795676633416602E-2</v>
      </c>
      <c r="V643">
        <f t="shared" si="492"/>
        <v>-1.5469984039346569</v>
      </c>
      <c r="X643">
        <f t="shared" si="548"/>
        <v>-77.156727482634366</v>
      </c>
      <c r="Y643">
        <f t="shared" si="549"/>
        <v>-178.61089530625992</v>
      </c>
      <c r="Z643">
        <f t="shared" si="510"/>
        <v>1.3891046937400802</v>
      </c>
      <c r="AC643">
        <v>1</v>
      </c>
      <c r="AD643">
        <f t="shared" si="550"/>
        <v>1946.5810714224001</v>
      </c>
      <c r="AE643">
        <f t="shared" si="551"/>
        <v>-12.291883221085573</v>
      </c>
      <c r="AF643">
        <f t="shared" si="552"/>
        <v>0.29257652349449997</v>
      </c>
      <c r="AG643">
        <f t="shared" si="553"/>
        <v>3.6859823050287552</v>
      </c>
      <c r="AH643">
        <f t="shared" si="554"/>
        <v>-158.27539234969342</v>
      </c>
      <c r="AJ643">
        <f t="shared" si="497"/>
        <v>18000</v>
      </c>
      <c r="AK643">
        <f t="shared" si="555"/>
        <v>933550.64532576001</v>
      </c>
      <c r="AL643">
        <v>18</v>
      </c>
      <c r="AM643">
        <f t="shared" si="556"/>
        <v>1718.91864853632</v>
      </c>
      <c r="AN643">
        <f t="shared" si="557"/>
        <v>543.15354445732828</v>
      </c>
      <c r="AO643">
        <f t="shared" si="558"/>
        <v>-4.7839589190391738</v>
      </c>
      <c r="AQ643">
        <f t="shared" si="559"/>
        <v>5.5691690489576241E-5</v>
      </c>
      <c r="AR643">
        <f t="shared" si="560"/>
        <v>-0.7462686525603216</v>
      </c>
      <c r="AT643">
        <f t="shared" si="561"/>
        <v>-118.11575850367626</v>
      </c>
      <c r="AU643">
        <f t="shared" si="562"/>
        <v>-2.7595476722978529</v>
      </c>
      <c r="AV643">
        <f t="shared" si="511"/>
        <v>-3.1182338250373696</v>
      </c>
      <c r="AW643">
        <f t="shared" si="512"/>
        <v>543.67138975066803</v>
      </c>
      <c r="AX643">
        <f t="shared" si="513"/>
        <v>-594.07429936456992</v>
      </c>
      <c r="AY643">
        <f t="shared" si="521"/>
        <v>-0.82966989838862304</v>
      </c>
      <c r="BA643">
        <f t="shared" si="502"/>
        <v>0.14671360599039288</v>
      </c>
      <c r="BB643">
        <f t="shared" si="514"/>
        <v>-16.670592169958617</v>
      </c>
      <c r="BC643">
        <f t="shared" si="515"/>
        <v>-2.2885639266487465</v>
      </c>
      <c r="BD643">
        <f t="shared" si="503"/>
        <v>-311.12505429269271</v>
      </c>
      <c r="BF643">
        <f t="shared" si="504"/>
        <v>-83.118678393607709</v>
      </c>
      <c r="BG643">
        <f t="shared" si="505"/>
        <v>-222.14129957962612</v>
      </c>
      <c r="BH643">
        <f t="shared" si="516"/>
        <v>-42.141299579626121</v>
      </c>
      <c r="BI643">
        <f t="shared" si="517"/>
        <v>-42.141299579626121</v>
      </c>
      <c r="BJ643">
        <f t="shared" si="506"/>
        <v>0</v>
      </c>
      <c r="BK643">
        <f t="shared" si="518"/>
        <v>0</v>
      </c>
      <c r="BM643">
        <f t="shared" si="519"/>
        <v>-66.448086223649085</v>
      </c>
      <c r="BN643">
        <f t="shared" si="507"/>
        <v>-91.01624528693344</v>
      </c>
      <c r="BQ643" s="56">
        <f t="shared" si="520"/>
        <v>0.2313686303265193</v>
      </c>
    </row>
    <row r="644" spans="1:69" x14ac:dyDescent="0.25">
      <c r="A644">
        <f t="shared" si="563"/>
        <v>6800000</v>
      </c>
      <c r="B644">
        <f t="shared" si="508"/>
        <v>6800</v>
      </c>
      <c r="C644">
        <f t="shared" si="539"/>
        <v>56.406736138934733</v>
      </c>
      <c r="D644">
        <f t="shared" si="540"/>
        <v>1.5530670189420634</v>
      </c>
      <c r="F644">
        <f t="shared" si="541"/>
        <v>5.5429031401431078E-7</v>
      </c>
      <c r="G644">
        <f t="shared" si="542"/>
        <v>2.5325965474861631E-4</v>
      </c>
      <c r="H644">
        <f t="shared" si="481"/>
        <v>-3.1413393903452516</v>
      </c>
      <c r="J644">
        <f t="shared" si="482"/>
        <v>15</v>
      </c>
      <c r="M644">
        <f t="shared" si="543"/>
        <v>1.8709143658456338E-4</v>
      </c>
      <c r="N644">
        <f t="shared" si="484"/>
        <v>-1.5707963250000001</v>
      </c>
      <c r="O644">
        <f t="shared" si="544"/>
        <v>1975.6347733328312</v>
      </c>
      <c r="P644">
        <f t="shared" si="486"/>
        <v>1.570290160343385</v>
      </c>
      <c r="Q644">
        <f t="shared" si="545"/>
        <v>1744.5744373561504</v>
      </c>
      <c r="R644">
        <f t="shared" si="488"/>
        <v>1.5702231210701376</v>
      </c>
      <c r="S644">
        <f t="shared" si="546"/>
        <v>1.8994250214967045E-2</v>
      </c>
      <c r="T644">
        <f t="shared" si="490"/>
        <v>-1.5518009342653187</v>
      </c>
      <c r="U644">
        <f t="shared" si="547"/>
        <v>2.3445934011277123E-2</v>
      </c>
      <c r="V644">
        <f t="shared" si="492"/>
        <v>-1.5473482441675572</v>
      </c>
      <c r="X644">
        <f t="shared" si="548"/>
        <v>-77.414014229158283</v>
      </c>
      <c r="Y644">
        <f t="shared" si="549"/>
        <v>-178.6313151757779</v>
      </c>
      <c r="Z644">
        <f t="shared" si="510"/>
        <v>1.3686848242221004</v>
      </c>
      <c r="AC644">
        <v>1</v>
      </c>
      <c r="AD644">
        <f t="shared" si="550"/>
        <v>1975.6345202496</v>
      </c>
      <c r="AE644">
        <f t="shared" si="551"/>
        <v>-12.661543331320939</v>
      </c>
      <c r="AF644">
        <f t="shared" si="552"/>
        <v>0.29694333727799999</v>
      </c>
      <c r="AG644">
        <f t="shared" si="553"/>
        <v>3.5784273590096221</v>
      </c>
      <c r="AH644">
        <f t="shared" si="554"/>
        <v>-155.95033546999741</v>
      </c>
      <c r="AJ644">
        <f t="shared" si="497"/>
        <v>18000</v>
      </c>
      <c r="AK644">
        <f t="shared" si="555"/>
        <v>947484.23704704002</v>
      </c>
      <c r="AL644">
        <v>19</v>
      </c>
      <c r="AM644">
        <f t="shared" si="556"/>
        <v>1744.57415075328</v>
      </c>
      <c r="AN644">
        <f t="shared" si="557"/>
        <v>543.15139323355834</v>
      </c>
      <c r="AO644">
        <f t="shared" si="558"/>
        <v>-4.4022912555744531</v>
      </c>
      <c r="AQ644">
        <f t="shared" si="559"/>
        <v>5.4065743652326213E-5</v>
      </c>
      <c r="AR644">
        <f t="shared" si="560"/>
        <v>-0.73529411367163655</v>
      </c>
      <c r="AT644">
        <f t="shared" si="561"/>
        <v>-114.66917022586986</v>
      </c>
      <c r="AU644">
        <f t="shared" si="562"/>
        <v>-2.6396281441413305</v>
      </c>
      <c r="AV644">
        <f t="shared" si="511"/>
        <v>-3.1185772080023333</v>
      </c>
      <c r="AW644">
        <f t="shared" si="512"/>
        <v>543.89758837495833</v>
      </c>
      <c r="AX644">
        <f t="shared" si="513"/>
        <v>-585.02733837983237</v>
      </c>
      <c r="AY644">
        <f t="shared" si="521"/>
        <v>-0.82181472732989791</v>
      </c>
      <c r="BA644">
        <f t="shared" si="502"/>
        <v>0.14358980432613236</v>
      </c>
      <c r="BB644">
        <f t="shared" si="514"/>
        <v>-16.85752792640082</v>
      </c>
      <c r="BC644">
        <f t="shared" si="515"/>
        <v>-2.2967624806724354</v>
      </c>
      <c r="BD644">
        <f t="shared" si="503"/>
        <v>-311.59479683689682</v>
      </c>
      <c r="BF644">
        <f t="shared" si="504"/>
        <v>-83.434337536601092</v>
      </c>
      <c r="BG644">
        <f t="shared" si="505"/>
        <v>-222.59610053951843</v>
      </c>
      <c r="BH644">
        <f t="shared" si="516"/>
        <v>-42.596100539518432</v>
      </c>
      <c r="BI644">
        <f t="shared" si="517"/>
        <v>-42.596100539518432</v>
      </c>
      <c r="BJ644">
        <f t="shared" si="506"/>
        <v>0</v>
      </c>
      <c r="BK644">
        <f t="shared" si="518"/>
        <v>0</v>
      </c>
      <c r="BM644">
        <f t="shared" si="519"/>
        <v>-66.576809610200286</v>
      </c>
      <c r="BN644">
        <f t="shared" si="507"/>
        <v>-91.001303702621613</v>
      </c>
      <c r="BQ644" s="56">
        <f t="shared" si="520"/>
        <v>4.4432873884316992E-2</v>
      </c>
    </row>
    <row r="645" spans="1:69" x14ac:dyDescent="0.25">
      <c r="A645">
        <f t="shared" si="563"/>
        <v>6900000</v>
      </c>
      <c r="B645">
        <f t="shared" si="508"/>
        <v>6900</v>
      </c>
      <c r="C645">
        <f t="shared" si="539"/>
        <v>57.235988141678739</v>
      </c>
      <c r="D645">
        <f t="shared" si="540"/>
        <v>1.5533239127568585</v>
      </c>
      <c r="F645">
        <f t="shared" si="541"/>
        <v>5.3834034304696259E-7</v>
      </c>
      <c r="G645">
        <f t="shared" si="542"/>
        <v>2.4958922111884712E-4</v>
      </c>
      <c r="H645">
        <f t="shared" si="481"/>
        <v>-3.1413430607788815</v>
      </c>
      <c r="J645">
        <f t="shared" si="482"/>
        <v>15</v>
      </c>
      <c r="M645">
        <f t="shared" si="543"/>
        <v>1.8437996648913493E-4</v>
      </c>
      <c r="N645">
        <f t="shared" si="484"/>
        <v>-1.5707963250000001</v>
      </c>
      <c r="O645">
        <f t="shared" si="544"/>
        <v>2004.6882184921585</v>
      </c>
      <c r="P645">
        <f t="shared" si="486"/>
        <v>1.5702974960878333</v>
      </c>
      <c r="Q645">
        <f t="shared" si="545"/>
        <v>1770.2299354194465</v>
      </c>
      <c r="R645">
        <f t="shared" si="488"/>
        <v>1.5702314283977017</v>
      </c>
      <c r="S645">
        <f t="shared" si="546"/>
        <v>1.8719068394074508E-2</v>
      </c>
      <c r="T645">
        <f t="shared" si="490"/>
        <v>-1.5520761650238271</v>
      </c>
      <c r="U645">
        <f t="shared" si="547"/>
        <v>2.3106320617277579E-2</v>
      </c>
      <c r="V645">
        <f t="shared" si="492"/>
        <v>-1.5476879495981415</v>
      </c>
      <c r="X645">
        <f t="shared" si="548"/>
        <v>-77.667547047201509</v>
      </c>
      <c r="Y645">
        <f t="shared" si="549"/>
        <v>-178.65114351108571</v>
      </c>
      <c r="Z645">
        <f t="shared" si="510"/>
        <v>1.3488564889142935</v>
      </c>
      <c r="AC645">
        <v>1</v>
      </c>
      <c r="AD645">
        <f t="shared" si="550"/>
        <v>2004.6879690768001</v>
      </c>
      <c r="AE645">
        <f t="shared" si="551"/>
        <v>-13.036679887633861</v>
      </c>
      <c r="AF645">
        <f t="shared" si="552"/>
        <v>0.3013101510615</v>
      </c>
      <c r="AG645">
        <f t="shared" si="553"/>
        <v>3.4755114158015101</v>
      </c>
      <c r="AH645">
        <f t="shared" si="554"/>
        <v>-153.69256432442378</v>
      </c>
      <c r="AJ645">
        <f t="shared" si="497"/>
        <v>18000</v>
      </c>
      <c r="AK645">
        <f t="shared" si="555"/>
        <v>961417.82876832003</v>
      </c>
      <c r="AL645">
        <v>20</v>
      </c>
      <c r="AM645">
        <f t="shared" si="556"/>
        <v>1770.2296529702401</v>
      </c>
      <c r="AN645">
        <f t="shared" si="557"/>
        <v>543.14899820325297</v>
      </c>
      <c r="AO645">
        <f t="shared" si="558"/>
        <v>-4.0316916078994893</v>
      </c>
      <c r="AQ645">
        <f t="shared" si="559"/>
        <v>5.25099766198804E-5</v>
      </c>
      <c r="AR645">
        <f t="shared" si="560"/>
        <v>-0.72463767735434947</v>
      </c>
      <c r="AT645">
        <f t="shared" si="561"/>
        <v>-111.37124033966123</v>
      </c>
      <c r="AU645">
        <f t="shared" si="562"/>
        <v>-2.5265569129242582</v>
      </c>
      <c r="AV645">
        <f t="shared" si="511"/>
        <v>-3.1189106433321121</v>
      </c>
      <c r="AW645">
        <f t="shared" si="512"/>
        <v>544.11017735272162</v>
      </c>
      <c r="AX645">
        <f t="shared" si="513"/>
        <v>-576.24232743625271</v>
      </c>
      <c r="AY645">
        <f t="shared" si="521"/>
        <v>-0.81407069640097873</v>
      </c>
      <c r="BA645">
        <f t="shared" si="502"/>
        <v>0.14056155292813752</v>
      </c>
      <c r="BB645">
        <f t="shared" si="514"/>
        <v>-17.042669067763004</v>
      </c>
      <c r="BC645">
        <f t="shared" si="515"/>
        <v>-2.3048399469311334</v>
      </c>
      <c r="BD645">
        <f t="shared" si="503"/>
        <v>-312.05760156320838</v>
      </c>
      <c r="BF645">
        <f t="shared" si="504"/>
        <v>-83.746321647683232</v>
      </c>
      <c r="BG645">
        <f t="shared" si="505"/>
        <v>-223.0443966347986</v>
      </c>
      <c r="BH645">
        <f t="shared" si="516"/>
        <v>-43.044396634798602</v>
      </c>
      <c r="BI645">
        <f t="shared" si="517"/>
        <v>-43.044396634798602</v>
      </c>
      <c r="BJ645">
        <f t="shared" si="506"/>
        <v>0</v>
      </c>
      <c r="BK645">
        <f t="shared" si="518"/>
        <v>0</v>
      </c>
      <c r="BM645">
        <f t="shared" si="519"/>
        <v>-66.703652579920231</v>
      </c>
      <c r="BN645">
        <f t="shared" si="507"/>
        <v>-90.986795071590237</v>
      </c>
      <c r="BQ645" s="56">
        <f t="shared" si="520"/>
        <v>-0.14070826747786833</v>
      </c>
    </row>
    <row r="646" spans="1:69" x14ac:dyDescent="0.25">
      <c r="A646">
        <f t="shared" si="563"/>
        <v>7000000</v>
      </c>
      <c r="B646">
        <f t="shared" si="508"/>
        <v>7000</v>
      </c>
      <c r="C646">
        <f t="shared" si="539"/>
        <v>58.065243813790246</v>
      </c>
      <c r="D646">
        <f t="shared" si="540"/>
        <v>1.5535734689571972</v>
      </c>
      <c r="F646">
        <f t="shared" si="541"/>
        <v>5.2306904819185018E-7</v>
      </c>
      <c r="G646">
        <f t="shared" si="542"/>
        <v>2.4602365718286916E-4</v>
      </c>
      <c r="H646">
        <f t="shared" si="481"/>
        <v>-3.1413466263428171</v>
      </c>
      <c r="J646">
        <f t="shared" si="482"/>
        <v>15</v>
      </c>
      <c r="M646">
        <f t="shared" si="543"/>
        <v>1.8174596696786161E-4</v>
      </c>
      <c r="N646">
        <f t="shared" si="484"/>
        <v>-1.5707963250000001</v>
      </c>
      <c r="O646">
        <f t="shared" si="544"/>
        <v>2033.7416637562826</v>
      </c>
      <c r="P646">
        <f t="shared" si="486"/>
        <v>1.5703046222396344</v>
      </c>
      <c r="Q646">
        <f t="shared" si="545"/>
        <v>1795.8854336014183</v>
      </c>
      <c r="R646">
        <f t="shared" si="488"/>
        <v>1.5702394983731243</v>
      </c>
      <c r="S646">
        <f t="shared" si="546"/>
        <v>1.8451744836870246E-2</v>
      </c>
      <c r="T646">
        <f t="shared" si="490"/>
        <v>-1.5523435347628887</v>
      </c>
      <c r="U646">
        <f t="shared" si="547"/>
        <v>2.2776402802089979E-2</v>
      </c>
      <c r="V646">
        <f t="shared" si="492"/>
        <v>-1.5480179542679895</v>
      </c>
      <c r="X646">
        <f t="shared" si="548"/>
        <v>-77.917433875581494</v>
      </c>
      <c r="Y646">
        <f t="shared" si="549"/>
        <v>-178.6704056443069</v>
      </c>
      <c r="Z646">
        <f t="shared" si="510"/>
        <v>1.3295943556931036</v>
      </c>
      <c r="AC646">
        <v>1</v>
      </c>
      <c r="AD646">
        <f t="shared" si="550"/>
        <v>2033.7414179040002</v>
      </c>
      <c r="AE646">
        <f t="shared" si="551"/>
        <v>-13.417292890024349</v>
      </c>
      <c r="AF646">
        <f t="shared" si="552"/>
        <v>0.30567696484500001</v>
      </c>
      <c r="AG646">
        <f t="shared" si="553"/>
        <v>3.376971523212815</v>
      </c>
      <c r="AH646">
        <f t="shared" si="554"/>
        <v>-151.49920122931206</v>
      </c>
      <c r="AJ646">
        <f t="shared" si="497"/>
        <v>18000</v>
      </c>
      <c r="AK646">
        <f t="shared" si="555"/>
        <v>975351.42048959993</v>
      </c>
      <c r="AL646">
        <v>21</v>
      </c>
      <c r="AM646">
        <f t="shared" si="556"/>
        <v>1795.8851551872001</v>
      </c>
      <c r="AN646">
        <f t="shared" si="557"/>
        <v>543.14638275909874</v>
      </c>
      <c r="AO646">
        <f t="shared" si="558"/>
        <v>-3.6716857662157061</v>
      </c>
      <c r="AQ646">
        <f t="shared" si="559"/>
        <v>5.1020407902957101E-5</v>
      </c>
      <c r="AR646">
        <f t="shared" si="560"/>
        <v>-0.71428571064139945</v>
      </c>
      <c r="AT646">
        <f t="shared" si="561"/>
        <v>-108.21354231721895</v>
      </c>
      <c r="AU646">
        <f t="shared" si="562"/>
        <v>-2.4198520553175267</v>
      </c>
      <c r="AV646">
        <f t="shared" si="511"/>
        <v>-3.1192345570468412</v>
      </c>
      <c r="AW646">
        <f t="shared" si="512"/>
        <v>544.31003797144717</v>
      </c>
      <c r="AX646">
        <f t="shared" si="513"/>
        <v>-567.70806334299755</v>
      </c>
      <c r="AY646">
        <f t="shared" si="521"/>
        <v>-0.80643610629786977</v>
      </c>
      <c r="BA646">
        <f t="shared" si="502"/>
        <v>0.13762495723023516</v>
      </c>
      <c r="BB646">
        <f t="shared" si="514"/>
        <v>-17.226056059720928</v>
      </c>
      <c r="BC646">
        <f t="shared" si="515"/>
        <v>-2.3127984507489714</v>
      </c>
      <c r="BD646">
        <f t="shared" si="503"/>
        <v>-312.51359024373028</v>
      </c>
      <c r="BF646">
        <f t="shared" si="504"/>
        <v>-84.054725357745582</v>
      </c>
      <c r="BG646">
        <f t="shared" si="505"/>
        <v>-223.4862910900388</v>
      </c>
      <c r="BH646">
        <f t="shared" si="516"/>
        <v>-43.486291090038804</v>
      </c>
      <c r="BI646">
        <f t="shared" si="517"/>
        <v>-43.486291090038804</v>
      </c>
      <c r="BJ646">
        <f t="shared" si="506"/>
        <v>0</v>
      </c>
      <c r="BK646">
        <f t="shared" si="518"/>
        <v>0</v>
      </c>
      <c r="BM646">
        <f t="shared" si="519"/>
        <v>-66.82866929802465</v>
      </c>
      <c r="BN646">
        <f t="shared" si="507"/>
        <v>-90.972700846308513</v>
      </c>
      <c r="BQ646" s="56">
        <f t="shared" si="520"/>
        <v>-0.32409525943579315</v>
      </c>
    </row>
    <row r="647" spans="1:69" x14ac:dyDescent="0.25">
      <c r="A647">
        <f t="shared" si="563"/>
        <v>7100000</v>
      </c>
      <c r="B647">
        <f t="shared" si="508"/>
        <v>7100</v>
      </c>
      <c r="C647">
        <f t="shared" si="539"/>
        <v>58.894503000271214</v>
      </c>
      <c r="D647">
        <f t="shared" si="540"/>
        <v>1.5538159974613424</v>
      </c>
      <c r="F647">
        <f t="shared" si="541"/>
        <v>5.0843846470747025E-7</v>
      </c>
      <c r="G647">
        <f t="shared" si="542"/>
        <v>2.4255853181795264E-4</v>
      </c>
      <c r="H647">
        <f t="shared" si="481"/>
        <v>-3.1413500914681824</v>
      </c>
      <c r="J647">
        <f t="shared" si="482"/>
        <v>15</v>
      </c>
      <c r="M647">
        <f t="shared" si="543"/>
        <v>1.7918616461620157E-4</v>
      </c>
      <c r="N647">
        <f t="shared" si="484"/>
        <v>-1.5707963250000001</v>
      </c>
      <c r="O647">
        <f t="shared" si="544"/>
        <v>2062.7951091207747</v>
      </c>
      <c r="P647">
        <f t="shared" si="486"/>
        <v>1.5703115476548128</v>
      </c>
      <c r="Q647">
        <f t="shared" si="545"/>
        <v>1821.5409318970519</v>
      </c>
      <c r="R647">
        <f t="shared" si="488"/>
        <v>1.570247341025365</v>
      </c>
      <c r="S647">
        <f t="shared" si="546"/>
        <v>1.819194772863918E-2</v>
      </c>
      <c r="T647">
        <f t="shared" si="490"/>
        <v>-1.5526033754884851</v>
      </c>
      <c r="U647">
        <f t="shared" si="547"/>
        <v>2.2455771315616421E-2</v>
      </c>
      <c r="V647">
        <f t="shared" si="492"/>
        <v>-1.548338667786791</v>
      </c>
      <c r="X647">
        <f t="shared" si="548"/>
        <v>-78.163778064852295</v>
      </c>
      <c r="Y647">
        <f t="shared" si="549"/>
        <v>-178.68912548173577</v>
      </c>
      <c r="Z647">
        <f t="shared" si="510"/>
        <v>1.3108745182642281</v>
      </c>
      <c r="AC647">
        <v>1</v>
      </c>
      <c r="AD647">
        <f t="shared" si="550"/>
        <v>2062.7948667311998</v>
      </c>
      <c r="AE647">
        <f t="shared" si="551"/>
        <v>-13.803382338492398</v>
      </c>
      <c r="AF647">
        <f t="shared" si="552"/>
        <v>0.31004377862849997</v>
      </c>
      <c r="AG647">
        <f t="shared" si="553"/>
        <v>3.2825630964966996</v>
      </c>
      <c r="AH647">
        <f t="shared" si="554"/>
        <v>-149.36753021146572</v>
      </c>
      <c r="AJ647">
        <f t="shared" si="497"/>
        <v>18000</v>
      </c>
      <c r="AK647">
        <f t="shared" si="555"/>
        <v>989285.01221087994</v>
      </c>
      <c r="AL647">
        <v>22</v>
      </c>
      <c r="AM647">
        <f t="shared" si="556"/>
        <v>1821.5406574041601</v>
      </c>
      <c r="AN647">
        <f t="shared" si="557"/>
        <v>543.14356825689185</v>
      </c>
      <c r="AO647">
        <f t="shared" si="558"/>
        <v>-3.3218262100014337</v>
      </c>
      <c r="AQ647">
        <f t="shared" si="559"/>
        <v>4.9593334409872377E-5</v>
      </c>
      <c r="AR647">
        <f t="shared" si="560"/>
        <v>-0.70422534862018771</v>
      </c>
      <c r="AT647">
        <f t="shared" si="561"/>
        <v>-105.18823824245651</v>
      </c>
      <c r="AU647">
        <f t="shared" si="562"/>
        <v>-2.3190717748739051</v>
      </c>
      <c r="AV647">
        <f t="shared" si="511"/>
        <v>-3.1195493511866763</v>
      </c>
      <c r="AW647">
        <f t="shared" si="512"/>
        <v>544.49798532507327</v>
      </c>
      <c r="AX647">
        <f t="shared" si="513"/>
        <v>-559.41397216100336</v>
      </c>
      <c r="AY647">
        <f t="shared" si="521"/>
        <v>-0.79890927638528553</v>
      </c>
      <c r="BA647">
        <f t="shared" si="502"/>
        <v>0.13477632869932393</v>
      </c>
      <c r="BB647">
        <f t="shared" si="514"/>
        <v>-17.407727559277554</v>
      </c>
      <c r="BC647">
        <f t="shared" si="515"/>
        <v>-2.3206400748013909</v>
      </c>
      <c r="BD647">
        <f t="shared" si="503"/>
        <v>-312.96288220697562</v>
      </c>
      <c r="BF647">
        <f t="shared" si="504"/>
        <v>-84.359639181189323</v>
      </c>
      <c r="BG647">
        <f t="shared" si="505"/>
        <v>-223.92188573062822</v>
      </c>
      <c r="BH647">
        <f t="shared" si="516"/>
        <v>-43.921885730628219</v>
      </c>
      <c r="BI647">
        <f t="shared" si="517"/>
        <v>-43.921885730628219</v>
      </c>
      <c r="BJ647">
        <f t="shared" si="506"/>
        <v>0</v>
      </c>
      <c r="BK647">
        <f t="shared" si="518"/>
        <v>0</v>
      </c>
      <c r="BM647">
        <f t="shared" si="519"/>
        <v>-66.951911621911776</v>
      </c>
      <c r="BN647">
        <f t="shared" si="507"/>
        <v>-90.959003523652626</v>
      </c>
      <c r="BQ647" s="56">
        <f t="shared" si="520"/>
        <v>-0.50576675899241819</v>
      </c>
    </row>
    <row r="648" spans="1:69" x14ac:dyDescent="0.25">
      <c r="A648">
        <f t="shared" si="563"/>
        <v>7200000</v>
      </c>
      <c r="B648">
        <f t="shared" si="508"/>
        <v>7200</v>
      </c>
      <c r="C648">
        <f t="shared" si="539"/>
        <v>59.723765554731543</v>
      </c>
      <c r="D648">
        <f t="shared" si="540"/>
        <v>1.5540517909781546</v>
      </c>
      <c r="F648">
        <f t="shared" si="541"/>
        <v>4.9441324585485674E-7</v>
      </c>
      <c r="G648">
        <f t="shared" si="542"/>
        <v>2.3918966007545843E-4</v>
      </c>
      <c r="H648">
        <f t="shared" si="481"/>
        <v>-3.1413534603399249</v>
      </c>
      <c r="J648">
        <f t="shared" si="482"/>
        <v>15</v>
      </c>
      <c r="M648">
        <f t="shared" si="543"/>
        <v>1.7669746788542096E-4</v>
      </c>
      <c r="N648">
        <f t="shared" si="484"/>
        <v>-1.5707963250000001</v>
      </c>
      <c r="O648">
        <f t="shared" si="544"/>
        <v>2091.8485545814533</v>
      </c>
      <c r="P648">
        <f t="shared" si="486"/>
        <v>1.5703182806973921</v>
      </c>
      <c r="Q648">
        <f t="shared" si="545"/>
        <v>1847.1964303016111</v>
      </c>
      <c r="R648">
        <f t="shared" si="488"/>
        <v>1.5702549658262193</v>
      </c>
      <c r="S648">
        <f t="shared" si="546"/>
        <v>1.7939363673551877E-2</v>
      </c>
      <c r="T648">
        <f t="shared" si="490"/>
        <v>-1.5528560007720027</v>
      </c>
      <c r="U648">
        <f t="shared" si="547"/>
        <v>2.2144039615183957E-2</v>
      </c>
      <c r="V648">
        <f t="shared" si="492"/>
        <v>-1.5486504770272804</v>
      </c>
      <c r="X648">
        <f t="shared" si="548"/>
        <v>-78.406678633657037</v>
      </c>
      <c r="Y648">
        <f t="shared" si="549"/>
        <v>-178.70732560274467</v>
      </c>
      <c r="Z648">
        <f t="shared" si="510"/>
        <v>1.2926743972553254</v>
      </c>
      <c r="AC648">
        <v>1</v>
      </c>
      <c r="AD648">
        <f t="shared" si="550"/>
        <v>2091.8483155583999</v>
      </c>
      <c r="AE648">
        <f t="shared" si="551"/>
        <v>-14.194948233038007</v>
      </c>
      <c r="AF648">
        <f t="shared" si="552"/>
        <v>0.31441059241199998</v>
      </c>
      <c r="AG648">
        <f t="shared" si="553"/>
        <v>3.1920584002534338</v>
      </c>
      <c r="AH648">
        <f t="shared" si="554"/>
        <v>-147.29498581188409</v>
      </c>
      <c r="AJ648">
        <f t="shared" si="497"/>
        <v>18000</v>
      </c>
      <c r="AK648">
        <f t="shared" si="555"/>
        <v>1003218.60393216</v>
      </c>
      <c r="AL648">
        <v>23</v>
      </c>
      <c r="AM648">
        <f t="shared" si="556"/>
        <v>1847.1961596211199</v>
      </c>
      <c r="AN648">
        <f t="shared" si="557"/>
        <v>543.14057420619201</v>
      </c>
      <c r="AO648">
        <f t="shared" si="558"/>
        <v>-2.9816902577294702</v>
      </c>
      <c r="AQ648">
        <f t="shared" si="559"/>
        <v>4.8225308409407272E-5</v>
      </c>
      <c r="AR648">
        <f t="shared" si="560"/>
        <v>-0.69444444109546466</v>
      </c>
      <c r="AT648">
        <f t="shared" si="561"/>
        <v>-102.28803016029744</v>
      </c>
      <c r="AU648">
        <f t="shared" si="562"/>
        <v>-2.2238105578260163</v>
      </c>
      <c r="AV648">
        <f t="shared" si="511"/>
        <v>-3.1198554054753487</v>
      </c>
      <c r="AW648">
        <f t="shared" si="512"/>
        <v>544.6747740421589</v>
      </c>
      <c r="AX648">
        <f t="shared" si="513"/>
        <v>-551.35006567803691</v>
      </c>
      <c r="AY648">
        <f t="shared" si="521"/>
        <v>-0.79148854461765683</v>
      </c>
      <c r="BA648">
        <f t="shared" si="502"/>
        <v>0.13201217101736204</v>
      </c>
      <c r="BB648">
        <f t="shared" si="514"/>
        <v>-17.587720533154751</v>
      </c>
      <c r="BC648">
        <f t="shared" si="515"/>
        <v>-2.3283668608576917</v>
      </c>
      <c r="BD648">
        <f t="shared" si="503"/>
        <v>-313.40559443770803</v>
      </c>
      <c r="BF648">
        <f t="shared" si="504"/>
        <v>-84.661149763625218</v>
      </c>
      <c r="BG648">
        <f t="shared" si="505"/>
        <v>-224.35128101012813</v>
      </c>
      <c r="BH648">
        <f t="shared" si="516"/>
        <v>-44.351281010128133</v>
      </c>
      <c r="BI648">
        <f t="shared" si="517"/>
        <v>-44.351281010128133</v>
      </c>
      <c r="BJ648">
        <f t="shared" si="506"/>
        <v>0</v>
      </c>
      <c r="BK648">
        <f t="shared" si="518"/>
        <v>0</v>
      </c>
      <c r="BM648">
        <f t="shared" si="519"/>
        <v>-67.073429230470467</v>
      </c>
      <c r="BN648">
        <f t="shared" si="507"/>
        <v>-90.945686572420087</v>
      </c>
      <c r="BQ648" s="56">
        <f t="shared" si="520"/>
        <v>-0.685759732869615</v>
      </c>
    </row>
    <row r="649" spans="1:69" x14ac:dyDescent="0.25">
      <c r="A649">
        <f t="shared" si="563"/>
        <v>7300000</v>
      </c>
      <c r="B649">
        <f t="shared" si="508"/>
        <v>7300</v>
      </c>
      <c r="C649">
        <f t="shared" si="539"/>
        <v>60.553031338799649</v>
      </c>
      <c r="D649">
        <f t="shared" si="540"/>
        <v>1.5542811261851517</v>
      </c>
      <c r="F649">
        <f t="shared" si="541"/>
        <v>4.8096044920692075E-7</v>
      </c>
      <c r="G649">
        <f t="shared" si="542"/>
        <v>2.3591308631955031E-4</v>
      </c>
      <c r="H649">
        <f t="shared" ref="H649:H676" si="564">IF(G649&gt;0,G649-Pi,G649)</f>
        <v>-3.1413567369136808</v>
      </c>
      <c r="J649">
        <f t="shared" ref="J649:J676" si="565">Vin/Vramp</f>
        <v>15</v>
      </c>
      <c r="M649">
        <f t="shared" si="543"/>
        <v>1.7427695462671658E-4</v>
      </c>
      <c r="N649">
        <f t="shared" ref="N649:N676" si="566">-Pi/2</f>
        <v>-1.5707963250000001</v>
      </c>
      <c r="O649">
        <f t="shared" si="544"/>
        <v>2120.9020001343652</v>
      </c>
      <c r="P649">
        <f t="shared" ref="P649:P676" si="567">ATAN2(Fz1_u,A649)</f>
        <v>1.5703248292730929</v>
      </c>
      <c r="Q649">
        <f t="shared" si="545"/>
        <v>1872.8519288106197</v>
      </c>
      <c r="R649">
        <f t="shared" ref="R649:R676" si="568">ATAN2(Fz2_u,A649)</f>
        <v>1.5702623817284806</v>
      </c>
      <c r="S649">
        <f t="shared" si="546"/>
        <v>1.7693696434325282E-2</v>
      </c>
      <c r="T649">
        <f t="shared" ref="T649:T676" si="569">-ATAN2(Fp1_u,A649)</f>
        <v>-1.5531017070120545</v>
      </c>
      <c r="U649">
        <f t="shared" si="547"/>
        <v>2.1840842312549402E-2</v>
      </c>
      <c r="V649">
        <f t="shared" ref="V649:V676" si="570">-ATAN2(Fp2_u,A649)</f>
        <v>-1.5489537476810222</v>
      </c>
      <c r="X649">
        <f t="shared" si="548"/>
        <v>-78.646230507427816</v>
      </c>
      <c r="Y649">
        <f t="shared" si="549"/>
        <v>-178.72502735057196</v>
      </c>
      <c r="Z649">
        <f t="shared" si="510"/>
        <v>1.2749726494280367</v>
      </c>
      <c r="AC649">
        <v>1</v>
      </c>
      <c r="AD649">
        <f t="shared" si="550"/>
        <v>2120.9017643856</v>
      </c>
      <c r="AE649">
        <f t="shared" si="551"/>
        <v>-14.591990573661176</v>
      </c>
      <c r="AF649">
        <f t="shared" si="552"/>
        <v>0.31877740619549999</v>
      </c>
      <c r="AG649">
        <f t="shared" si="553"/>
        <v>3.1052451747039944</v>
      </c>
      <c r="AH649">
        <f t="shared" si="554"/>
        <v>-145.27914280658106</v>
      </c>
      <c r="AJ649">
        <f t="shared" ref="AJ649:AJ676" si="571">_Rfb1</f>
        <v>18000</v>
      </c>
      <c r="AK649">
        <f t="shared" si="555"/>
        <v>1017152.19565344</v>
      </c>
      <c r="AL649">
        <v>24</v>
      </c>
      <c r="AM649">
        <f t="shared" si="556"/>
        <v>1872.8516618380802</v>
      </c>
      <c r="AN649">
        <f t="shared" si="557"/>
        <v>543.13741844132448</v>
      </c>
      <c r="AO649">
        <f t="shared" si="558"/>
        <v>-2.6508783683037063</v>
      </c>
      <c r="AQ649">
        <f t="shared" si="559"/>
        <v>4.691311668740328E-5</v>
      </c>
      <c r="AR649">
        <f t="shared" si="560"/>
        <v>-0.6849315036360879</v>
      </c>
      <c r="AT649">
        <f t="shared" si="561"/>
        <v>-99.506116052744289</v>
      </c>
      <c r="AU649">
        <f t="shared" si="562"/>
        <v>-2.1336957440474444</v>
      </c>
      <c r="AV649">
        <f t="shared" si="511"/>
        <v>-3.1201530788471445</v>
      </c>
      <c r="AW649">
        <f t="shared" si="512"/>
        <v>544.8411034517178</v>
      </c>
      <c r="AX649">
        <f t="shared" si="513"/>
        <v>-543.50690144376313</v>
      </c>
      <c r="AY649">
        <f t="shared" si="521"/>
        <v>-0.78417226751341329</v>
      </c>
      <c r="BA649">
        <f t="shared" ref="BA649:BA676" si="572">SQRT(AT649^2+AU649^2)/SQRT(AW649^2+AX649^2)</f>
        <v>0.12932916739492037</v>
      </c>
      <c r="BB649">
        <f t="shared" si="514"/>
        <v>-17.766070367025183</v>
      </c>
      <c r="BC649">
        <f t="shared" si="515"/>
        <v>-2.335980811333731</v>
      </c>
      <c r="BD649">
        <f t="shared" ref="BD649:BD678" si="573">BC649*180/Pi-180</f>
        <v>-313.84184166590524</v>
      </c>
      <c r="BF649">
        <f t="shared" ref="BF649:BF676" si="574">20*LOG(BA649*J649*F649*C649)</f>
        <v>-84.959340111479591</v>
      </c>
      <c r="BG649">
        <f t="shared" ref="BG649:BG676" si="575">(180/Pi)*(D649+H649+BC649)</f>
        <v>-224.77457603270327</v>
      </c>
      <c r="BH649">
        <f t="shared" si="516"/>
        <v>-44.774576032703266</v>
      </c>
      <c r="BI649">
        <f t="shared" si="517"/>
        <v>-44.774576032703266</v>
      </c>
      <c r="BJ649">
        <f t="shared" ref="BJ649:BJ676" si="576">SUM((BF650&lt;0)*(BF649&gt;0))*A649</f>
        <v>0</v>
      </c>
      <c r="BK649">
        <f t="shared" si="518"/>
        <v>0</v>
      </c>
      <c r="BM649">
        <f t="shared" si="519"/>
        <v>-67.193269744454398</v>
      </c>
      <c r="BN649">
        <f t="shared" ref="BN649:BN676" si="577">(H649+D649)*180/Pi</f>
        <v>-90.932734366798059</v>
      </c>
      <c r="BQ649" s="56">
        <f t="shared" si="520"/>
        <v>-0.86410956674004724</v>
      </c>
    </row>
    <row r="650" spans="1:69" x14ac:dyDescent="0.25">
      <c r="A650">
        <f t="shared" si="563"/>
        <v>7400000</v>
      </c>
      <c r="B650">
        <f t="shared" ref="B650:B676" si="578">A650/1000</f>
        <v>7400</v>
      </c>
      <c r="C650">
        <f t="shared" si="539"/>
        <v>61.382300221580969</v>
      </c>
      <c r="D650">
        <f t="shared" si="540"/>
        <v>1.5545042648111123</v>
      </c>
      <c r="F650">
        <f t="shared" si="541"/>
        <v>4.6804934303360038E-7</v>
      </c>
      <c r="G650">
        <f t="shared" si="542"/>
        <v>2.3272506873304313E-4</v>
      </c>
      <c r="H650">
        <f t="shared" si="564"/>
        <v>-3.1413599249312671</v>
      </c>
      <c r="J650">
        <f t="shared" si="565"/>
        <v>15</v>
      </c>
      <c r="M650">
        <f t="shared" si="543"/>
        <v>1.7192186064527446E-4</v>
      </c>
      <c r="N650">
        <f t="shared" si="566"/>
        <v>-1.5707963250000001</v>
      </c>
      <c r="O650">
        <f t="shared" si="544"/>
        <v>2149.9554457757713</v>
      </c>
      <c r="P650">
        <f t="shared" si="567"/>
        <v>1.5703312008603003</v>
      </c>
      <c r="Q650">
        <f t="shared" si="545"/>
        <v>1898.5074274198432</v>
      </c>
      <c r="R650">
        <f t="shared" si="568"/>
        <v>1.5702695972010072</v>
      </c>
      <c r="S650">
        <f t="shared" si="546"/>
        <v>1.7454665773959342E-2</v>
      </c>
      <c r="T650">
        <f t="shared" si="569"/>
        <v>-1.5533407745940726</v>
      </c>
      <c r="U650">
        <f t="shared" si="547"/>
        <v>2.1545833746608904E-2</v>
      </c>
      <c r="V650">
        <f t="shared" si="570"/>
        <v>-1.5492488256881951</v>
      </c>
      <c r="X650">
        <f t="shared" si="548"/>
        <v>-78.882524740871688</v>
      </c>
      <c r="Y650">
        <f t="shared" si="549"/>
        <v>-178.74225091575784</v>
      </c>
      <c r="Z650">
        <f t="shared" ref="Z650:Z676" si="579">Y650+180</f>
        <v>1.2577490842421639</v>
      </c>
      <c r="AC650">
        <v>1</v>
      </c>
      <c r="AD650">
        <f t="shared" si="550"/>
        <v>2149.9552132128001</v>
      </c>
      <c r="AE650">
        <f t="shared" si="551"/>
        <v>-14.994509360361906</v>
      </c>
      <c r="AF650">
        <f t="shared" si="552"/>
        <v>0.323144219979</v>
      </c>
      <c r="AG650">
        <f t="shared" si="553"/>
        <v>3.0219253908567425</v>
      </c>
      <c r="AH650">
        <f t="shared" si="554"/>
        <v>-143.31770675807354</v>
      </c>
      <c r="AJ650">
        <f t="shared" si="571"/>
        <v>18000</v>
      </c>
      <c r="AK650">
        <f t="shared" si="555"/>
        <v>1031085.78737472</v>
      </c>
      <c r="AL650">
        <v>25</v>
      </c>
      <c r="AM650">
        <f t="shared" si="556"/>
        <v>1898.50716405504</v>
      </c>
      <c r="AN650">
        <f t="shared" si="557"/>
        <v>543.13411727495782</v>
      </c>
      <c r="AO650">
        <f t="shared" si="558"/>
        <v>-2.3290125799061059</v>
      </c>
      <c r="AQ650">
        <f t="shared" si="559"/>
        <v>4.5653761661551488E-5</v>
      </c>
      <c r="AR650">
        <f t="shared" si="560"/>
        <v>-0.67567567259096206</v>
      </c>
      <c r="AT650">
        <f t="shared" si="561"/>
        <v>-96.836149945694061</v>
      </c>
      <c r="AU650">
        <f t="shared" si="562"/>
        <v>-2.0483844634130488</v>
      </c>
      <c r="AV650">
        <f t="shared" ref="AV650:AV676" si="580">ATAN2(AT650,AU650)</f>
        <v>-3.1204427108502233</v>
      </c>
      <c r="AW650">
        <f t="shared" ref="AW650:AW676" si="581">AG650-AH650*AO650/_Rfb2+AG650*AN650/_Rfb2+AN650-AO650*AR650+AQ650*AN650</f>
        <v>544.99762224842516</v>
      </c>
      <c r="AX650">
        <f t="shared" ref="AX650:AX676" si="582">AH650+AH650*AN650/_Rfb2+AG650*AO650/_Rfb2+AO650+AO650*AQ650+AN650*AR650</f>
        <v>-535.87554602998739</v>
      </c>
      <c r="AY650">
        <f t="shared" si="521"/>
        <v>-0.77695882017070828</v>
      </c>
      <c r="BA650">
        <f t="shared" si="572"/>
        <v>0.12672416890792559</v>
      </c>
      <c r="BB650">
        <f t="shared" ref="BB650:BB676" si="583">20*LOG(BA650)</f>
        <v>-17.94281096636589</v>
      </c>
      <c r="BC650">
        <f t="shared" ref="BC650:BC676" si="584">AV650-AY650</f>
        <v>-2.343483890679515</v>
      </c>
      <c r="BD650">
        <f t="shared" si="573"/>
        <v>-314.27173644626168</v>
      </c>
      <c r="BF650">
        <f t="shared" si="574"/>
        <v>-85.254289805019027</v>
      </c>
      <c r="BG650">
        <f t="shared" si="575"/>
        <v>-225.19186857148412</v>
      </c>
      <c r="BH650">
        <f t="shared" ref="BH650:BH676" si="585">IF(BG650&gt;180,BG650-180,BG650+180)</f>
        <v>-45.191868571484122</v>
      </c>
      <c r="BI650">
        <f t="shared" ref="BI650:BI676" si="586">IF(BH650&gt;180,BH650-360,BH650)</f>
        <v>-45.191868571484122</v>
      </c>
      <c r="BJ650">
        <f t="shared" si="576"/>
        <v>0</v>
      </c>
      <c r="BK650">
        <f t="shared" ref="BK650:BK676" si="587">IF(BJ650&gt;0,BI650,0)</f>
        <v>0</v>
      </c>
      <c r="BM650">
        <f t="shared" ref="BM650:BM676" si="588">20*LOG(J650*F650*C650)</f>
        <v>-67.311478838653144</v>
      </c>
      <c r="BN650">
        <f t="shared" si="577"/>
        <v>-90.920132125222494</v>
      </c>
      <c r="BQ650" s="56">
        <f t="shared" ref="BQ650:BQ676" si="589">20*LOG(BA650*7)</f>
        <v>-1.0408501660807548</v>
      </c>
    </row>
    <row r="651" spans="1:69" x14ac:dyDescent="0.25">
      <c r="A651">
        <f t="shared" si="563"/>
        <v>7500000</v>
      </c>
      <c r="B651">
        <f t="shared" si="578"/>
        <v>7500</v>
      </c>
      <c r="C651">
        <f t="shared" si="539"/>
        <v>62.211572079159673</v>
      </c>
      <c r="D651">
        <f t="shared" si="540"/>
        <v>1.5547214546321251</v>
      </c>
      <c r="F651">
        <f t="shared" si="541"/>
        <v>4.5565123063587435E-7</v>
      </c>
      <c r="G651">
        <f t="shared" si="542"/>
        <v>2.2962206506278677E-4</v>
      </c>
      <c r="H651">
        <f t="shared" si="564"/>
        <v>-3.1413630279349376</v>
      </c>
      <c r="J651">
        <f t="shared" si="565"/>
        <v>15</v>
      </c>
      <c r="M651">
        <f t="shared" si="543"/>
        <v>1.6962956917000412E-4</v>
      </c>
      <c r="N651">
        <f t="shared" si="566"/>
        <v>-1.5707963250000001</v>
      </c>
      <c r="O651">
        <f t="shared" si="544"/>
        <v>2179.008891502132</v>
      </c>
      <c r="P651">
        <f t="shared" si="567"/>
        <v>1.5703374025385515</v>
      </c>
      <c r="Q651">
        <f t="shared" si="545"/>
        <v>1924.1629261252731</v>
      </c>
      <c r="R651">
        <f t="shared" si="568"/>
        <v>1.5702766202609861</v>
      </c>
      <c r="S651">
        <f t="shared" si="546"/>
        <v>1.7222006390034381E-2</v>
      </c>
      <c r="T651">
        <f t="shared" si="569"/>
        <v>-1.5535734689571972</v>
      </c>
      <c r="U651">
        <f t="shared" si="547"/>
        <v>2.1258686670102282E-2</v>
      </c>
      <c r="V651">
        <f t="shared" si="570"/>
        <v>-1.5495360385531192</v>
      </c>
      <c r="X651">
        <f t="shared" si="548"/>
        <v>-79.115648725546265</v>
      </c>
      <c r="Y651">
        <f t="shared" si="549"/>
        <v>-178.75901541291367</v>
      </c>
      <c r="Z651">
        <f t="shared" si="579"/>
        <v>1.2409845870863307</v>
      </c>
      <c r="AC651">
        <v>1</v>
      </c>
      <c r="AD651">
        <f t="shared" si="550"/>
        <v>2179.0086620400002</v>
      </c>
      <c r="AE651">
        <f t="shared" si="551"/>
        <v>-15.402504593140195</v>
      </c>
      <c r="AF651">
        <f t="shared" si="552"/>
        <v>0.32751103376250001</v>
      </c>
      <c r="AG651">
        <f t="shared" si="553"/>
        <v>2.9419141209308557</v>
      </c>
      <c r="AH651">
        <f t="shared" si="554"/>
        <v>-141.40850532030021</v>
      </c>
      <c r="AJ651">
        <f t="shared" si="571"/>
        <v>18000</v>
      </c>
      <c r="AK651">
        <f t="shared" si="555"/>
        <v>1045019.3790959999</v>
      </c>
      <c r="AL651">
        <v>26</v>
      </c>
      <c r="AM651">
        <f t="shared" si="556"/>
        <v>1924.1626662720003</v>
      </c>
      <c r="AN651">
        <f t="shared" si="557"/>
        <v>543.13068563621039</v>
      </c>
      <c r="AO651">
        <f t="shared" si="558"/>
        <v>-2.015735073466109</v>
      </c>
      <c r="AQ651">
        <f t="shared" si="559"/>
        <v>4.4444444246913578E-5</v>
      </c>
      <c r="AR651">
        <f t="shared" si="560"/>
        <v>-0.66666666370370375</v>
      </c>
      <c r="AT651">
        <f t="shared" si="561"/>
        <v>-94.272205709473852</v>
      </c>
      <c r="AU651">
        <f t="shared" si="562"/>
        <v>-1.9675608943345355</v>
      </c>
      <c r="AV651">
        <f t="shared" si="580"/>
        <v>-3.120724622937793</v>
      </c>
      <c r="AW651">
        <f t="shared" si="581"/>
        <v>545.14493271143317</v>
      </c>
      <c r="AX651">
        <f t="shared" si="582"/>
        <v>-528.44754121673031</v>
      </c>
      <c r="AY651">
        <f t="shared" ref="AY651:AY676" si="590">ATAN2(AW651,AX651)</f>
        <v>-0.7698465963144836</v>
      </c>
      <c r="BA651">
        <f t="shared" si="572"/>
        <v>0.12419418376093826</v>
      </c>
      <c r="BB651">
        <f t="shared" si="583"/>
        <v>-18.117974849642344</v>
      </c>
      <c r="BC651">
        <f t="shared" si="584"/>
        <v>-2.3508780266233096</v>
      </c>
      <c r="BD651">
        <f t="shared" si="573"/>
        <v>-314.69538922947117</v>
      </c>
      <c r="BF651">
        <f t="shared" si="574"/>
        <v>-85.546075196164338</v>
      </c>
      <c r="BG651">
        <f t="shared" si="575"/>
        <v>-225.60325508359651</v>
      </c>
      <c r="BH651">
        <f t="shared" si="585"/>
        <v>-45.603255083596508</v>
      </c>
      <c r="BI651">
        <f t="shared" si="586"/>
        <v>-45.603255083596508</v>
      </c>
      <c r="BJ651">
        <f t="shared" si="576"/>
        <v>0</v>
      </c>
      <c r="BK651">
        <f t="shared" si="587"/>
        <v>0</v>
      </c>
      <c r="BM651">
        <f t="shared" si="588"/>
        <v>-67.428100346522001</v>
      </c>
      <c r="BN651">
        <f t="shared" si="577"/>
        <v>-90.907865854125362</v>
      </c>
      <c r="BQ651" s="56">
        <f t="shared" si="589"/>
        <v>-1.2160140493572076</v>
      </c>
    </row>
    <row r="652" spans="1:69" x14ac:dyDescent="0.25">
      <c r="A652">
        <f t="shared" si="563"/>
        <v>7600000</v>
      </c>
      <c r="B652">
        <f t="shared" si="578"/>
        <v>7600</v>
      </c>
      <c r="C652">
        <f t="shared" si="539"/>
        <v>63.040846794139682</v>
      </c>
      <c r="D652">
        <f t="shared" si="540"/>
        <v>1.5549329303890507</v>
      </c>
      <c r="F652">
        <f t="shared" si="541"/>
        <v>4.4373929075188785E-7</v>
      </c>
      <c r="G652">
        <f t="shared" si="542"/>
        <v>2.2660071949041861E-4</v>
      </c>
      <c r="H652">
        <f t="shared" si="564"/>
        <v>-3.14136604928051</v>
      </c>
      <c r="J652">
        <f t="shared" si="565"/>
        <v>15</v>
      </c>
      <c r="M652">
        <f t="shared" si="543"/>
        <v>1.6739760115460937E-4</v>
      </c>
      <c r="N652">
        <f t="shared" si="566"/>
        <v>-1.5707963250000001</v>
      </c>
      <c r="O652">
        <f t="shared" si="544"/>
        <v>2208.0623373100939</v>
      </c>
      <c r="P652">
        <f t="shared" si="567"/>
        <v>1.5703434410147776</v>
      </c>
      <c r="Q652">
        <f t="shared" si="545"/>
        <v>1949.8184249231115</v>
      </c>
      <c r="R652">
        <f t="shared" si="568"/>
        <v>1.5702834585036463</v>
      </c>
      <c r="S652">
        <f t="shared" si="546"/>
        <v>1.6995466933054149E-2</v>
      </c>
      <c r="T652">
        <f t="shared" si="569"/>
        <v>-1.553800041576997</v>
      </c>
      <c r="U652">
        <f t="shared" si="547"/>
        <v>2.0979091039832011E-2</v>
      </c>
      <c r="V652">
        <f t="shared" si="570"/>
        <v>-1.5498156965560359</v>
      </c>
      <c r="X652">
        <f t="shared" si="548"/>
        <v>-79.345686383707928</v>
      </c>
      <c r="Y652">
        <f t="shared" si="549"/>
        <v>-178.77533895143671</v>
      </c>
      <c r="Z652">
        <f t="shared" si="579"/>
        <v>1.2246610485632914</v>
      </c>
      <c r="AC652">
        <v>1</v>
      </c>
      <c r="AD652">
        <f t="shared" si="550"/>
        <v>2208.0621108671999</v>
      </c>
      <c r="AE652">
        <f t="shared" si="551"/>
        <v>-15.815976271996048</v>
      </c>
      <c r="AF652">
        <f t="shared" si="552"/>
        <v>0.33187784754599997</v>
      </c>
      <c r="AG652">
        <f t="shared" si="553"/>
        <v>2.8650385120017443</v>
      </c>
      <c r="AH652">
        <f t="shared" si="554"/>
        <v>-139.54948022782744</v>
      </c>
      <c r="AJ652">
        <f t="shared" si="571"/>
        <v>18000</v>
      </c>
      <c r="AK652">
        <f t="shared" si="555"/>
        <v>1058952.97081728</v>
      </c>
      <c r="AL652">
        <v>27</v>
      </c>
      <c r="AM652">
        <f t="shared" si="556"/>
        <v>1949.8181684889601</v>
      </c>
      <c r="AN652">
        <f t="shared" si="557"/>
        <v>543.12713719500221</v>
      </c>
      <c r="AO652">
        <f t="shared" si="558"/>
        <v>-1.7107068493057929</v>
      </c>
      <c r="AQ652">
        <f t="shared" si="559"/>
        <v>4.3282548289116396E-5</v>
      </c>
      <c r="AR652">
        <f t="shared" si="560"/>
        <v>-0.65789473399456921</v>
      </c>
      <c r="AT652">
        <f t="shared" si="561"/>
        <v>-91.808744167399183</v>
      </c>
      <c r="AU652">
        <f t="shared" si="562"/>
        <v>-1.890933806854266</v>
      </c>
      <c r="AV652">
        <f t="shared" si="580"/>
        <v>-3.120999119657462</v>
      </c>
      <c r="AW652">
        <f t="shared" si="581"/>
        <v>545.28359452454492</v>
      </c>
      <c r="AX652">
        <f t="shared" si="582"/>
        <v>-521.21487283609554</v>
      </c>
      <c r="AY652">
        <f t="shared" si="590"/>
        <v>-0.76283400836626614</v>
      </c>
      <c r="BA652">
        <f t="shared" si="572"/>
        <v>0.12173636739063676</v>
      </c>
      <c r="BB652">
        <f t="shared" si="583"/>
        <v>-18.291593234466063</v>
      </c>
      <c r="BC652">
        <f t="shared" si="584"/>
        <v>-2.3581651112911959</v>
      </c>
      <c r="BD652">
        <f t="shared" si="573"/>
        <v>-315.1129084263726</v>
      </c>
      <c r="BF652">
        <f t="shared" si="574"/>
        <v>-85.834769592337267</v>
      </c>
      <c r="BG652">
        <f t="shared" si="575"/>
        <v>-226.00883072249289</v>
      </c>
      <c r="BH652">
        <f t="shared" si="585"/>
        <v>-46.008830722492888</v>
      </c>
      <c r="BI652">
        <f t="shared" si="586"/>
        <v>-46.008830722492888</v>
      </c>
      <c r="BJ652">
        <f t="shared" si="576"/>
        <v>0</v>
      </c>
      <c r="BK652">
        <f t="shared" si="587"/>
        <v>0</v>
      </c>
      <c r="BM652">
        <f t="shared" si="588"/>
        <v>-67.543176357871204</v>
      </c>
      <c r="BN652">
        <f t="shared" si="577"/>
        <v>-90.89592229612029</v>
      </c>
      <c r="BQ652" s="56">
        <f t="shared" si="589"/>
        <v>-1.3896324341809247</v>
      </c>
    </row>
    <row r="653" spans="1:69" x14ac:dyDescent="0.25">
      <c r="A653">
        <f t="shared" si="563"/>
        <v>7700000</v>
      </c>
      <c r="B653">
        <f t="shared" si="578"/>
        <v>7700</v>
      </c>
      <c r="C653">
        <f t="shared" si="539"/>
        <v>63.870124255221519</v>
      </c>
      <c r="D653">
        <f t="shared" si="540"/>
        <v>1.555138914633537</v>
      </c>
      <c r="F653">
        <f t="shared" si="541"/>
        <v>4.3228843237634689E-7</v>
      </c>
      <c r="G653">
        <f t="shared" si="542"/>
        <v>2.2365785052617698E-4</v>
      </c>
      <c r="H653">
        <f t="shared" si="564"/>
        <v>-3.1413689921494741</v>
      </c>
      <c r="J653">
        <f t="shared" si="565"/>
        <v>15</v>
      </c>
      <c r="M653">
        <f t="shared" si="543"/>
        <v>1.6522360633441962E-4</v>
      </c>
      <c r="N653">
        <f t="shared" si="566"/>
        <v>-1.5707963250000001</v>
      </c>
      <c r="O653">
        <f t="shared" si="544"/>
        <v>2237.1157831964774</v>
      </c>
      <c r="P653">
        <f t="shared" si="567"/>
        <v>1.5703493226474969</v>
      </c>
      <c r="Q653">
        <f t="shared" si="545"/>
        <v>1975.4739238097584</v>
      </c>
      <c r="R653">
        <f t="shared" si="568"/>
        <v>1.5702901191296599</v>
      </c>
      <c r="S653">
        <f t="shared" si="546"/>
        <v>1.6774809101203152E-2</v>
      </c>
      <c r="T653">
        <f t="shared" si="569"/>
        <v>-1.554020730871668</v>
      </c>
      <c r="U653">
        <f t="shared" si="547"/>
        <v>2.0706752901003288E-2</v>
      </c>
      <c r="V653">
        <f t="shared" si="570"/>
        <v>-1.5500880938705632</v>
      </c>
      <c r="X653">
        <f t="shared" si="548"/>
        <v>-79.572718349507682</v>
      </c>
      <c r="Y653">
        <f t="shared" si="549"/>
        <v>-178.79123870072144</v>
      </c>
      <c r="Z653">
        <f t="shared" si="579"/>
        <v>1.2087612992785637</v>
      </c>
      <c r="AC653">
        <v>1</v>
      </c>
      <c r="AD653">
        <f t="shared" si="550"/>
        <v>2237.1155596944</v>
      </c>
      <c r="AE653">
        <f t="shared" si="551"/>
        <v>-16.234924396929461</v>
      </c>
      <c r="AF653">
        <f t="shared" si="552"/>
        <v>0.33624466132949998</v>
      </c>
      <c r="AG653">
        <f t="shared" si="553"/>
        <v>2.7911368522289974</v>
      </c>
      <c r="AH653">
        <f t="shared" si="554"/>
        <v>-137.73867990735639</v>
      </c>
      <c r="AJ653">
        <f t="shared" si="571"/>
        <v>18000</v>
      </c>
      <c r="AK653">
        <f t="shared" si="555"/>
        <v>1072886.56253856</v>
      </c>
      <c r="AL653">
        <v>28</v>
      </c>
      <c r="AM653">
        <f t="shared" si="556"/>
        <v>1975.4736707059199</v>
      </c>
      <c r="AN653">
        <f t="shared" si="557"/>
        <v>543.12348447415445</v>
      </c>
      <c r="AO653">
        <f t="shared" si="558"/>
        <v>-1.4136065066996224</v>
      </c>
      <c r="AQ653">
        <f t="shared" si="559"/>
        <v>4.2165626403416991E-5</v>
      </c>
      <c r="AR653">
        <f t="shared" si="560"/>
        <v>-0.64935064661262165</v>
      </c>
      <c r="AT653">
        <f t="shared" si="561"/>
        <v>-89.440583171377043</v>
      </c>
      <c r="AU653">
        <f t="shared" si="562"/>
        <v>-1.8182343574974904</v>
      </c>
      <c r="AV653">
        <f t="shared" si="580"/>
        <v>-3.1212664897480153</v>
      </c>
      <c r="AW653">
        <f t="shared" si="581"/>
        <v>545.41412823985809</v>
      </c>
      <c r="AX653">
        <f t="shared" si="582"/>
        <v>-514.16994203356933</v>
      </c>
      <c r="AY653">
        <f t="shared" si="590"/>
        <v>-0.75591948752940263</v>
      </c>
      <c r="BA653">
        <f t="shared" si="572"/>
        <v>0.11934801333228166</v>
      </c>
      <c r="BB653">
        <f t="shared" si="583"/>
        <v>-18.463696117310178</v>
      </c>
      <c r="BC653">
        <f t="shared" si="584"/>
        <v>-2.3653470022186127</v>
      </c>
      <c r="BD653">
        <f t="shared" si="573"/>
        <v>-315.52440046590709</v>
      </c>
      <c r="BF653">
        <f t="shared" si="574"/>
        <v>-86.120443427469951</v>
      </c>
      <c r="BG653">
        <f t="shared" si="575"/>
        <v>-226.40868934813014</v>
      </c>
      <c r="BH653">
        <f t="shared" si="585"/>
        <v>-46.408689348130139</v>
      </c>
      <c r="BI653">
        <f t="shared" si="586"/>
        <v>-46.408689348130139</v>
      </c>
      <c r="BJ653">
        <f t="shared" si="576"/>
        <v>0</v>
      </c>
      <c r="BK653">
        <f t="shared" si="587"/>
        <v>0</v>
      </c>
      <c r="BM653">
        <f t="shared" si="588"/>
        <v>-67.656747310159773</v>
      </c>
      <c r="BN653">
        <f t="shared" si="577"/>
        <v>-90.884288882223046</v>
      </c>
      <c r="BQ653" s="56">
        <f t="shared" si="589"/>
        <v>-1.561735317025041</v>
      </c>
    </row>
    <row r="654" spans="1:69" x14ac:dyDescent="0.25">
      <c r="A654">
        <f t="shared" si="563"/>
        <v>7800000</v>
      </c>
      <c r="B654">
        <f t="shared" si="578"/>
        <v>7800</v>
      </c>
      <c r="C654">
        <f t="shared" si="539"/>
        <v>64.699404356811613</v>
      </c>
      <c r="D654">
        <f t="shared" si="540"/>
        <v>1.5553396185089916</v>
      </c>
      <c r="F654">
        <f t="shared" si="541"/>
        <v>4.2127516252450339E-7</v>
      </c>
      <c r="G654">
        <f t="shared" si="542"/>
        <v>2.2079043983396274E-4</v>
      </c>
      <c r="H654">
        <f t="shared" si="564"/>
        <v>-3.1413718595601661</v>
      </c>
      <c r="J654">
        <f t="shared" si="565"/>
        <v>15</v>
      </c>
      <c r="M654">
        <f t="shared" si="543"/>
        <v>1.6310535497115781E-4</v>
      </c>
      <c r="N654">
        <f t="shared" si="566"/>
        <v>-1.5707963250000001</v>
      </c>
      <c r="O654">
        <f t="shared" si="544"/>
        <v>2266.1692291582667</v>
      </c>
      <c r="P654">
        <f t="shared" si="567"/>
        <v>1.5703550534691506</v>
      </c>
      <c r="Q654">
        <f t="shared" si="545"/>
        <v>2001.1294227817978</v>
      </c>
      <c r="R654">
        <f t="shared" si="568"/>
        <v>1.5702966089704344</v>
      </c>
      <c r="S654">
        <f t="shared" si="546"/>
        <v>1.6559806804668408E-2</v>
      </c>
      <c r="T654">
        <f t="shared" si="569"/>
        <v>-1.554235763038569</v>
      </c>
      <c r="U654">
        <f t="shared" si="547"/>
        <v>2.0441393357253413E-2</v>
      </c>
      <c r="V654">
        <f t="shared" si="570"/>
        <v>-1.5503535095952796</v>
      </c>
      <c r="X654">
        <f t="shared" si="548"/>
        <v>-79.796822138512354</v>
      </c>
      <c r="Y654">
        <f t="shared" si="549"/>
        <v>-178.80673095036011</v>
      </c>
      <c r="Z654">
        <f t="shared" si="579"/>
        <v>1.1932690496398948</v>
      </c>
      <c r="AC654">
        <v>1</v>
      </c>
      <c r="AD654">
        <f t="shared" si="550"/>
        <v>2266.1690085216001</v>
      </c>
      <c r="AE654">
        <f t="shared" si="551"/>
        <v>-16.659348967940439</v>
      </c>
      <c r="AF654">
        <f t="shared" si="552"/>
        <v>0.340611475113</v>
      </c>
      <c r="AG654">
        <f t="shared" si="553"/>
        <v>2.7200577202451925</v>
      </c>
      <c r="AH654">
        <f t="shared" si="554"/>
        <v>-135.97425265587449</v>
      </c>
      <c r="AJ654">
        <f t="shared" si="571"/>
        <v>18000</v>
      </c>
      <c r="AK654">
        <f t="shared" si="555"/>
        <v>1086820.15425984</v>
      </c>
      <c r="AL654">
        <v>29</v>
      </c>
      <c r="AM654">
        <f t="shared" si="556"/>
        <v>2001.1291729228801</v>
      </c>
      <c r="AN654">
        <f t="shared" si="557"/>
        <v>543.1197389505661</v>
      </c>
      <c r="AO654">
        <f t="shared" si="558"/>
        <v>-1.1241291171363468</v>
      </c>
      <c r="AQ654">
        <f t="shared" si="559"/>
        <v>4.109138707638319E-5</v>
      </c>
      <c r="AR654">
        <f t="shared" si="560"/>
        <v>-0.64102563839157778</v>
      </c>
      <c r="AT654">
        <f t="shared" si="561"/>
        <v>-87.162870342604975</v>
      </c>
      <c r="AU654">
        <f t="shared" si="562"/>
        <v>-1.7492141072304188</v>
      </c>
      <c r="AV654">
        <f t="shared" si="580"/>
        <v>-3.121527007151907</v>
      </c>
      <c r="AW654">
        <f t="shared" si="581"/>
        <v>545.53701842207408</v>
      </c>
      <c r="AX654">
        <f t="shared" si="582"/>
        <v>-507.30553873089787</v>
      </c>
      <c r="AY654">
        <f t="shared" si="590"/>
        <v>-0.74910148388358377</v>
      </c>
      <c r="BA654">
        <f t="shared" si="572"/>
        <v>0.11702654477997815</v>
      </c>
      <c r="BB654">
        <f t="shared" si="583"/>
        <v>-18.634312347314438</v>
      </c>
      <c r="BC654">
        <f t="shared" si="584"/>
        <v>-2.3724255232683231</v>
      </c>
      <c r="BD654">
        <f t="shared" si="573"/>
        <v>-315.92996984771344</v>
      </c>
      <c r="BF654">
        <f t="shared" si="574"/>
        <v>-86.403164421204579</v>
      </c>
      <c r="BG654">
        <f t="shared" si="575"/>
        <v>-226.80292353545883</v>
      </c>
      <c r="BH654">
        <f t="shared" si="585"/>
        <v>-46.802923535458831</v>
      </c>
      <c r="BI654">
        <f t="shared" si="586"/>
        <v>-46.802923535458831</v>
      </c>
      <c r="BJ654">
        <f t="shared" si="576"/>
        <v>0</v>
      </c>
      <c r="BK654">
        <f t="shared" si="587"/>
        <v>0</v>
      </c>
      <c r="BM654">
        <f t="shared" si="588"/>
        <v>-67.76885207389013</v>
      </c>
      <c r="BN654">
        <f t="shared" si="577"/>
        <v>-90.872953687745422</v>
      </c>
      <c r="BQ654" s="56">
        <f t="shared" si="589"/>
        <v>-1.7323515470292992</v>
      </c>
    </row>
    <row r="655" spans="1:69" x14ac:dyDescent="0.25">
      <c r="A655">
        <f t="shared" si="563"/>
        <v>7900000</v>
      </c>
      <c r="B655">
        <f t="shared" si="578"/>
        <v>7900</v>
      </c>
      <c r="C655">
        <f t="shared" si="539"/>
        <v>65.528686998661314</v>
      </c>
      <c r="D655">
        <f t="shared" si="540"/>
        <v>1.5555352424722757</v>
      </c>
      <c r="F655">
        <f t="shared" si="541"/>
        <v>4.106774656382896E-7</v>
      </c>
      <c r="G655">
        <f t="shared" si="542"/>
        <v>2.1799562190513236E-4</v>
      </c>
      <c r="H655">
        <f t="shared" si="564"/>
        <v>-3.1413746543780952</v>
      </c>
      <c r="J655">
        <f t="shared" si="565"/>
        <v>15</v>
      </c>
      <c r="M655">
        <f t="shared" si="543"/>
        <v>1.6104073022468748E-4</v>
      </c>
      <c r="N655">
        <f t="shared" si="566"/>
        <v>-1.5707963250000001</v>
      </c>
      <c r="O655">
        <f t="shared" si="544"/>
        <v>2295.2226751925973</v>
      </c>
      <c r="P655">
        <f t="shared" si="567"/>
        <v>1.57036063920674</v>
      </c>
      <c r="Q655">
        <f t="shared" si="545"/>
        <v>2026.784921835987</v>
      </c>
      <c r="R655">
        <f t="shared" si="568"/>
        <v>1.5703029345114832</v>
      </c>
      <c r="S655">
        <f t="shared" si="546"/>
        <v>1.6350245393368629E-2</v>
      </c>
      <c r="T655">
        <f t="shared" si="569"/>
        <v>-1.5544453528272655</v>
      </c>
      <c r="U655">
        <f t="shared" si="547"/>
        <v>2.0182747618790579E-2</v>
      </c>
      <c r="V655">
        <f t="shared" si="570"/>
        <v>-1.5506122087070369</v>
      </c>
      <c r="X655">
        <f t="shared" si="548"/>
        <v>-80.018072306442519</v>
      </c>
      <c r="Y655">
        <f t="shared" si="549"/>
        <v>-178.82183116577565</v>
      </c>
      <c r="Z655">
        <f t="shared" si="579"/>
        <v>1.1781688342243513</v>
      </c>
      <c r="AC655">
        <v>1</v>
      </c>
      <c r="AD655">
        <f t="shared" si="550"/>
        <v>2295.2224573488002</v>
      </c>
      <c r="AE655">
        <f t="shared" si="551"/>
        <v>-17.089249985028975</v>
      </c>
      <c r="AF655">
        <f t="shared" si="552"/>
        <v>0.34497828889650001</v>
      </c>
      <c r="AG655">
        <f t="shared" si="553"/>
        <v>2.6516592093489146</v>
      </c>
      <c r="AH655">
        <f t="shared" si="554"/>
        <v>-134.2544403354126</v>
      </c>
      <c r="AJ655">
        <f t="shared" si="571"/>
        <v>18000</v>
      </c>
      <c r="AK655">
        <f t="shared" si="555"/>
        <v>1100753.74598112</v>
      </c>
      <c r="AL655">
        <v>30</v>
      </c>
      <c r="AM655">
        <f t="shared" si="556"/>
        <v>2026.7846751398399</v>
      </c>
      <c r="AN655">
        <f t="shared" si="557"/>
        <v>543.11591114663463</v>
      </c>
      <c r="AO655">
        <f t="shared" si="558"/>
        <v>-0.84198518300086</v>
      </c>
      <c r="AQ655">
        <f t="shared" si="559"/>
        <v>4.0057682903149807E-5</v>
      </c>
      <c r="AR655">
        <f t="shared" si="560"/>
        <v>-0.63291138986976692</v>
      </c>
      <c r="AT655">
        <f t="shared" si="561"/>
        <v>-84.971058209549909</v>
      </c>
      <c r="AU655">
        <f t="shared" si="562"/>
        <v>-1.6836432374492845</v>
      </c>
      <c r="AV655">
        <f t="shared" si="580"/>
        <v>-3.121780931950934</v>
      </c>
      <c r="AW655">
        <f t="shared" si="581"/>
        <v>545.65271650639056</v>
      </c>
      <c r="AX655">
        <f t="shared" si="582"/>
        <v>-500.61481709641384</v>
      </c>
      <c r="AY655">
        <f t="shared" si="590"/>
        <v>-0.74237846648349182</v>
      </c>
      <c r="BA655">
        <f t="shared" si="572"/>
        <v>0.11476950677867229</v>
      </c>
      <c r="BB655">
        <f t="shared" si="583"/>
        <v>-18.803469694663352</v>
      </c>
      <c r="BC655">
        <f t="shared" si="584"/>
        <v>-2.3794024654674422</v>
      </c>
      <c r="BD655">
        <f t="shared" si="573"/>
        <v>-316.32971919008645</v>
      </c>
      <c r="BF655">
        <f t="shared" si="574"/>
        <v>-86.682997727218591</v>
      </c>
      <c r="BG655">
        <f t="shared" si="575"/>
        <v>-227.19162458162327</v>
      </c>
      <c r="BH655">
        <f t="shared" si="585"/>
        <v>-47.191624581623273</v>
      </c>
      <c r="BI655">
        <f t="shared" si="586"/>
        <v>-47.191624581623273</v>
      </c>
      <c r="BJ655">
        <f t="shared" si="576"/>
        <v>0</v>
      </c>
      <c r="BK655">
        <f t="shared" si="587"/>
        <v>0</v>
      </c>
      <c r="BM655">
        <f t="shared" si="588"/>
        <v>-67.879528032555243</v>
      </c>
      <c r="BN655">
        <f t="shared" si="577"/>
        <v>-90.861905391536837</v>
      </c>
      <c r="BQ655" s="56">
        <f t="shared" si="589"/>
        <v>-1.9015088943782168</v>
      </c>
    </row>
    <row r="656" spans="1:69" x14ac:dyDescent="0.25">
      <c r="A656">
        <f t="shared" si="563"/>
        <v>8000000</v>
      </c>
      <c r="B656">
        <f t="shared" si="578"/>
        <v>8000</v>
      </c>
      <c r="C656">
        <f t="shared" si="539"/>
        <v>66.357972085532936</v>
      </c>
      <c r="D656">
        <f t="shared" si="540"/>
        <v>1.5557259769613001</v>
      </c>
      <c r="F656">
        <f t="shared" si="541"/>
        <v>4.0047469347775757E-7</v>
      </c>
      <c r="G656">
        <f t="shared" si="542"/>
        <v>2.152706745067593E-4</v>
      </c>
      <c r="H656">
        <f t="shared" si="564"/>
        <v>-3.1413773793254935</v>
      </c>
      <c r="J656">
        <f t="shared" si="565"/>
        <v>15</v>
      </c>
      <c r="M656">
        <f t="shared" si="543"/>
        <v>1.5902772109687888E-4</v>
      </c>
      <c r="N656">
        <f t="shared" si="566"/>
        <v>-1.5707963250000001</v>
      </c>
      <c r="O656">
        <f t="shared" si="544"/>
        <v>2324.2761212967503</v>
      </c>
      <c r="P656">
        <f t="shared" si="567"/>
        <v>1.5703660853009156</v>
      </c>
      <c r="Q656">
        <f t="shared" si="545"/>
        <v>2052.4404209692457</v>
      </c>
      <c r="R656">
        <f t="shared" si="568"/>
        <v>1.5703091019140436</v>
      </c>
      <c r="S656">
        <f t="shared" si="546"/>
        <v>1.6145920942548714E-2</v>
      </c>
      <c r="T656">
        <f t="shared" si="569"/>
        <v>-1.5546497042546312</v>
      </c>
      <c r="U656">
        <f t="shared" si="547"/>
        <v>1.9930564121819004E-2</v>
      </c>
      <c r="V656">
        <f t="shared" si="570"/>
        <v>-1.5508644429428438</v>
      </c>
      <c r="X656">
        <f t="shared" si="548"/>
        <v>-80.236540597939339</v>
      </c>
      <c r="Y656">
        <f t="shared" si="549"/>
        <v>-178.83655403968675</v>
      </c>
      <c r="Z656">
        <f t="shared" si="579"/>
        <v>1.1634459603132541</v>
      </c>
      <c r="AC656">
        <v>1</v>
      </c>
      <c r="AD656">
        <f t="shared" si="550"/>
        <v>2324.2759061759998</v>
      </c>
      <c r="AE656">
        <f t="shared" si="551"/>
        <v>-17.524627448195073</v>
      </c>
      <c r="AF656">
        <f t="shared" si="552"/>
        <v>0.34934510268000002</v>
      </c>
      <c r="AG656">
        <f t="shared" si="553"/>
        <v>2.5858082190781264</v>
      </c>
      <c r="AH656">
        <f t="shared" si="554"/>
        <v>-132.57757253935165</v>
      </c>
      <c r="AJ656">
        <f t="shared" si="571"/>
        <v>18000</v>
      </c>
      <c r="AK656">
        <f t="shared" si="555"/>
        <v>1114687.3377023998</v>
      </c>
      <c r="AL656">
        <v>31</v>
      </c>
      <c r="AM656">
        <f t="shared" si="556"/>
        <v>2052.4401773568002</v>
      </c>
      <c r="AN656">
        <f t="shared" si="557"/>
        <v>543.1120107129525</v>
      </c>
      <c r="AO656">
        <f t="shared" si="558"/>
        <v>-0.56689967421944765</v>
      </c>
      <c r="AQ656">
        <f t="shared" si="559"/>
        <v>3.9062499847412111E-5</v>
      </c>
      <c r="AR656">
        <f t="shared" si="560"/>
        <v>-0.62499999755859381</v>
      </c>
      <c r="AT656">
        <f t="shared" si="561"/>
        <v>-82.860881505285917</v>
      </c>
      <c r="AU656">
        <f t="shared" si="562"/>
        <v>-1.6213089420179096</v>
      </c>
      <c r="AV656">
        <f t="shared" si="580"/>
        <v>-3.1220285112318029</v>
      </c>
      <c r="AW656">
        <f t="shared" si="581"/>
        <v>545.76164339913748</v>
      </c>
      <c r="AX656">
        <f t="shared" si="582"/>
        <v>-494.09127284799479</v>
      </c>
      <c r="AY656">
        <f t="shared" si="590"/>
        <v>-0.73574892345728338</v>
      </c>
      <c r="BA656">
        <f t="shared" si="572"/>
        <v>0.11257455899212121</v>
      </c>
      <c r="BB656">
        <f t="shared" si="583"/>
        <v>-18.971194913978518</v>
      </c>
      <c r="BC656">
        <f t="shared" si="584"/>
        <v>-2.3862795877745198</v>
      </c>
      <c r="BD656">
        <f t="shared" si="573"/>
        <v>-316.72374927392752</v>
      </c>
      <c r="BF656">
        <f t="shared" si="574"/>
        <v>-86.960006071528426</v>
      </c>
      <c r="BG656">
        <f t="shared" si="575"/>
        <v>-227.57488251220866</v>
      </c>
      <c r="BH656">
        <f t="shared" si="585"/>
        <v>-47.57488251220866</v>
      </c>
      <c r="BI656">
        <f t="shared" si="586"/>
        <v>-47.57488251220866</v>
      </c>
      <c r="BJ656">
        <f t="shared" si="576"/>
        <v>0</v>
      </c>
      <c r="BK656">
        <f t="shared" si="587"/>
        <v>0</v>
      </c>
      <c r="BM656">
        <f t="shared" si="588"/>
        <v>-67.988811157549918</v>
      </c>
      <c r="BN656">
        <f t="shared" si="577"/>
        <v>-90.851133238281164</v>
      </c>
      <c r="BQ656" s="56">
        <f t="shared" si="589"/>
        <v>-2.0692341136933825</v>
      </c>
    </row>
    <row r="657" spans="1:69" x14ac:dyDescent="0.25">
      <c r="A657">
        <f t="shared" si="563"/>
        <v>8100000</v>
      </c>
      <c r="B657">
        <f t="shared" si="578"/>
        <v>8100</v>
      </c>
      <c r="C657">
        <f t="shared" si="539"/>
        <v>67.187259526890529</v>
      </c>
      <c r="D657">
        <f t="shared" si="540"/>
        <v>1.555912003013195</v>
      </c>
      <c r="F657">
        <f t="shared" si="541"/>
        <v>3.9064746446871424E-7</v>
      </c>
      <c r="G657">
        <f t="shared" si="542"/>
        <v>2.1261300983743304E-4</v>
      </c>
      <c r="H657">
        <f t="shared" si="564"/>
        <v>-3.1413800369901628</v>
      </c>
      <c r="J657">
        <f t="shared" si="565"/>
        <v>15</v>
      </c>
      <c r="M657">
        <f t="shared" si="543"/>
        <v>1.5706441589815196E-4</v>
      </c>
      <c r="N657">
        <f t="shared" si="566"/>
        <v>-1.5707963250000001</v>
      </c>
      <c r="O657">
        <f t="shared" si="544"/>
        <v>2353.3295674681385</v>
      </c>
      <c r="P657">
        <f t="shared" si="567"/>
        <v>1.5703713969236546</v>
      </c>
      <c r="Q657">
        <f t="shared" si="545"/>
        <v>2078.0959201786445</v>
      </c>
      <c r="R657">
        <f t="shared" si="568"/>
        <v>1.5703151170350951</v>
      </c>
      <c r="S657">
        <f t="shared" si="546"/>
        <v>1.5946639591244195E-2</v>
      </c>
      <c r="T657">
        <f t="shared" si="569"/>
        <v>-1.5548490112670126</v>
      </c>
      <c r="U657">
        <f t="shared" si="547"/>
        <v>1.9684603713099744E-2</v>
      </c>
      <c r="V657">
        <f t="shared" si="570"/>
        <v>-1.5511104516164869</v>
      </c>
      <c r="X657">
        <f t="shared" si="548"/>
        <v>-80.452296086102791</v>
      </c>
      <c r="Y657">
        <f t="shared" si="549"/>
        <v>-178.85091353976432</v>
      </c>
      <c r="Z657">
        <f t="shared" si="579"/>
        <v>1.1490864602356794</v>
      </c>
      <c r="AC657">
        <v>1</v>
      </c>
      <c r="AD657">
        <f t="shared" si="550"/>
        <v>2353.3293550031999</v>
      </c>
      <c r="AE657">
        <f t="shared" si="551"/>
        <v>-17.965481357438726</v>
      </c>
      <c r="AF657">
        <f t="shared" si="552"/>
        <v>0.35371191646350003</v>
      </c>
      <c r="AG657">
        <f t="shared" si="553"/>
        <v>2.5223798075586701</v>
      </c>
      <c r="AH657">
        <f t="shared" si="554"/>
        <v>-130.942061189659</v>
      </c>
      <c r="AJ657">
        <f t="shared" si="571"/>
        <v>18000</v>
      </c>
      <c r="AK657">
        <f t="shared" si="555"/>
        <v>1128620.9294236798</v>
      </c>
      <c r="AL657">
        <v>32</v>
      </c>
      <c r="AM657">
        <f t="shared" si="556"/>
        <v>2078.0956795737602</v>
      </c>
      <c r="AN657">
        <f t="shared" si="557"/>
        <v>543.10804650319596</v>
      </c>
      <c r="AO657">
        <f t="shared" si="558"/>
        <v>-0.2986111361460555</v>
      </c>
      <c r="AQ657">
        <f t="shared" si="559"/>
        <v>3.8103947423777063E-5</v>
      </c>
      <c r="AR657">
        <f t="shared" si="560"/>
        <v>-0.6172839482651884</v>
      </c>
      <c r="AT657">
        <f t="shared" si="561"/>
        <v>-80.828336412507028</v>
      </c>
      <c r="AU657">
        <f t="shared" si="562"/>
        <v>-1.5620139760493337</v>
      </c>
      <c r="AV657">
        <f t="shared" si="580"/>
        <v>-3.1222699798876419</v>
      </c>
      <c r="AW657">
        <f t="shared" si="581"/>
        <v>545.86419184705267</v>
      </c>
      <c r="AX657">
        <f t="shared" si="582"/>
        <v>-487.72872223100353</v>
      </c>
      <c r="AY657">
        <f t="shared" si="590"/>
        <v>-0.72921136210135784</v>
      </c>
      <c r="BA657">
        <f t="shared" si="572"/>
        <v>0.11043946899667634</v>
      </c>
      <c r="BB657">
        <f t="shared" si="583"/>
        <v>-19.137513803127007</v>
      </c>
      <c r="BC657">
        <f t="shared" si="584"/>
        <v>-2.3930586177862843</v>
      </c>
      <c r="BD657">
        <f t="shared" si="573"/>
        <v>-317.112159083238</v>
      </c>
      <c r="BF657">
        <f t="shared" si="574"/>
        <v>-87.234249881549601</v>
      </c>
      <c r="BG657">
        <f t="shared" si="575"/>
        <v>-227.95278608682295</v>
      </c>
      <c r="BH657">
        <f t="shared" si="585"/>
        <v>-47.952786086822954</v>
      </c>
      <c r="BI657">
        <f t="shared" si="586"/>
        <v>-47.952786086822954</v>
      </c>
      <c r="BJ657">
        <f t="shared" si="576"/>
        <v>0</v>
      </c>
      <c r="BK657">
        <f t="shared" si="587"/>
        <v>0</v>
      </c>
      <c r="BM657">
        <f t="shared" si="588"/>
        <v>-68.096736078422595</v>
      </c>
      <c r="BN657">
        <f t="shared" si="577"/>
        <v>-90.840627003584999</v>
      </c>
      <c r="BQ657" s="56">
        <f t="shared" si="589"/>
        <v>-2.2355530028418729</v>
      </c>
    </row>
    <row r="658" spans="1:69" x14ac:dyDescent="0.25">
      <c r="A658">
        <f t="shared" si="563"/>
        <v>8200000</v>
      </c>
      <c r="B658">
        <f t="shared" si="578"/>
        <v>8200</v>
      </c>
      <c r="C658">
        <f t="shared" si="539"/>
        <v>68.016549236613372</v>
      </c>
      <c r="D658">
        <f t="shared" si="540"/>
        <v>1.5560934928372738</v>
      </c>
      <c r="F658">
        <f t="shared" si="541"/>
        <v>3.8117757158969116E-7</v>
      </c>
      <c r="G658">
        <f t="shared" si="542"/>
        <v>2.1002016633019709E-4</v>
      </c>
      <c r="H658">
        <f t="shared" si="564"/>
        <v>-3.1413826298336702</v>
      </c>
      <c r="J658">
        <f t="shared" si="565"/>
        <v>15</v>
      </c>
      <c r="M658">
        <f t="shared" si="543"/>
        <v>1.5514899619207696E-4</v>
      </c>
      <c r="N658">
        <f t="shared" si="566"/>
        <v>-1.5707963250000001</v>
      </c>
      <c r="O658">
        <f t="shared" si="544"/>
        <v>2382.3830137043033</v>
      </c>
      <c r="P658">
        <f t="shared" si="567"/>
        <v>1.5703765789946427</v>
      </c>
      <c r="Q658">
        <f t="shared" si="545"/>
        <v>2103.7514194613991</v>
      </c>
      <c r="R658">
        <f t="shared" si="568"/>
        <v>1.5703209854459106</v>
      </c>
      <c r="S658">
        <f t="shared" si="546"/>
        <v>1.5752216929107055E-2</v>
      </c>
      <c r="T658">
        <f t="shared" si="569"/>
        <v>-1.5550434583539696</v>
      </c>
      <c r="U658">
        <f t="shared" si="547"/>
        <v>1.9444638894095756E-2</v>
      </c>
      <c r="V658">
        <f t="shared" si="570"/>
        <v>-1.5513504623754519</v>
      </c>
      <c r="X658">
        <f t="shared" si="548"/>
        <v>-80.665405303479574</v>
      </c>
      <c r="Y658">
        <f t="shared" si="549"/>
        <v>-178.8649229528047</v>
      </c>
      <c r="Z658">
        <f t="shared" si="579"/>
        <v>1.1350770471952956</v>
      </c>
      <c r="AC658">
        <v>1</v>
      </c>
      <c r="AD658">
        <f t="shared" si="550"/>
        <v>2382.3828038304</v>
      </c>
      <c r="AE658">
        <f t="shared" si="551"/>
        <v>-18.411811712759945</v>
      </c>
      <c r="AF658">
        <f t="shared" si="552"/>
        <v>0.35807873024699999</v>
      </c>
      <c r="AG658">
        <f t="shared" si="553"/>
        <v>2.4612565987421595</v>
      </c>
      <c r="AH658">
        <f t="shared" si="554"/>
        <v>-129.34639552838016</v>
      </c>
      <c r="AJ658">
        <f t="shared" si="571"/>
        <v>18000</v>
      </c>
      <c r="AK658">
        <f t="shared" si="555"/>
        <v>1142554.5211449601</v>
      </c>
      <c r="AL658">
        <v>33</v>
      </c>
      <c r="AM658">
        <f t="shared" si="556"/>
        <v>2103.7511817907198</v>
      </c>
      <c r="AN658">
        <f t="shared" si="557"/>
        <v>543.10402664200979</v>
      </c>
      <c r="AO658">
        <f t="shared" si="558"/>
        <v>-3.6870862621526612E-2</v>
      </c>
      <c r="AQ658">
        <f t="shared" si="559"/>
        <v>3.7180249713041904E-5</v>
      </c>
      <c r="AR658">
        <f t="shared" si="560"/>
        <v>-0.60975609529388719</v>
      </c>
      <c r="AT658">
        <f t="shared" si="561"/>
        <v>-78.869661567588849</v>
      </c>
      <c r="AU658">
        <f t="shared" si="562"/>
        <v>-1.50557534445056</v>
      </c>
      <c r="AV658">
        <f t="shared" si="580"/>
        <v>-3.1225055613609221</v>
      </c>
      <c r="AW658">
        <f t="shared" si="581"/>
        <v>545.96072859819662</v>
      </c>
      <c r="AX658">
        <f t="shared" si="582"/>
        <v>-481.52128252885768</v>
      </c>
      <c r="AY658">
        <f t="shared" si="590"/>
        <v>-0.72276430896852073</v>
      </c>
      <c r="BA658">
        <f t="shared" si="572"/>
        <v>0.10836210605569123</v>
      </c>
      <c r="BB658">
        <f t="shared" si="583"/>
        <v>-19.302451257813015</v>
      </c>
      <c r="BC658">
        <f t="shared" si="584"/>
        <v>-2.3997412523924013</v>
      </c>
      <c r="BD658">
        <f t="shared" si="573"/>
        <v>-317.49504584263406</v>
      </c>
      <c r="BF658">
        <f t="shared" si="574"/>
        <v>-87.505787406623924</v>
      </c>
      <c r="BG658">
        <f t="shared" si="575"/>
        <v>-228.32542280425295</v>
      </c>
      <c r="BH658">
        <f t="shared" si="585"/>
        <v>-48.325422804252952</v>
      </c>
      <c r="BI658">
        <f t="shared" si="586"/>
        <v>-48.325422804252952</v>
      </c>
      <c r="BJ658">
        <f t="shared" si="576"/>
        <v>0</v>
      </c>
      <c r="BK658">
        <f t="shared" si="587"/>
        <v>0</v>
      </c>
      <c r="BM658">
        <f t="shared" si="588"/>
        <v>-68.203336148810919</v>
      </c>
      <c r="BN658">
        <f t="shared" si="577"/>
        <v>-90.830376961618924</v>
      </c>
      <c r="BQ658" s="56">
        <f t="shared" si="589"/>
        <v>-2.4004904575278783</v>
      </c>
    </row>
    <row r="659" spans="1:69" x14ac:dyDescent="0.25">
      <c r="A659">
        <f t="shared" si="563"/>
        <v>8300000</v>
      </c>
      <c r="B659">
        <f t="shared" si="578"/>
        <v>8300</v>
      </c>
      <c r="C659">
        <f t="shared" si="539"/>
        <v>68.845841132729944</v>
      </c>
      <c r="D659">
        <f t="shared" si="540"/>
        <v>1.5562706103465969</v>
      </c>
      <c r="F659">
        <f t="shared" si="541"/>
        <v>3.7204789798020097E-7</v>
      </c>
      <c r="G659">
        <f t="shared" si="542"/>
        <v>2.0748980104804644E-4</v>
      </c>
      <c r="H659">
        <f t="shared" si="564"/>
        <v>-3.141385160198952</v>
      </c>
      <c r="J659">
        <f t="shared" si="565"/>
        <v>15</v>
      </c>
      <c r="M659">
        <f t="shared" si="543"/>
        <v>1.5327973117771457E-4</v>
      </c>
      <c r="N659">
        <f t="shared" si="566"/>
        <v>-1.5707963250000001</v>
      </c>
      <c r="O659">
        <f t="shared" si="544"/>
        <v>2411.4364600029016</v>
      </c>
      <c r="P659">
        <f t="shared" si="567"/>
        <v>1.570381636196472</v>
      </c>
      <c r="Q659">
        <f t="shared" si="545"/>
        <v>2129.4069188148574</v>
      </c>
      <c r="R659">
        <f t="shared" si="568"/>
        <v>1.5703267124492679</v>
      </c>
      <c r="S659">
        <f t="shared" si="546"/>
        <v>1.5562477427518321E-2</v>
      </c>
      <c r="T659">
        <f t="shared" si="569"/>
        <v>-1.5552332211176791</v>
      </c>
      <c r="U659">
        <f t="shared" si="547"/>
        <v>1.9210453119683696E-2</v>
      </c>
      <c r="V659">
        <f t="shared" si="570"/>
        <v>-1.5515846919031788</v>
      </c>
      <c r="X659">
        <f t="shared" si="548"/>
        <v>-80.875932365121557</v>
      </c>
      <c r="Y659">
        <f t="shared" si="549"/>
        <v>-178.87859492571232</v>
      </c>
      <c r="Z659">
        <f t="shared" si="579"/>
        <v>1.1214050742876793</v>
      </c>
      <c r="AC659">
        <v>1</v>
      </c>
      <c r="AD659">
        <f t="shared" si="550"/>
        <v>2411.4362526576001</v>
      </c>
      <c r="AE659">
        <f t="shared" si="551"/>
        <v>-18.863618514158723</v>
      </c>
      <c r="AF659">
        <f t="shared" si="552"/>
        <v>0.3624455440305</v>
      </c>
      <c r="AG659">
        <f t="shared" si="553"/>
        <v>2.4023282392810912</v>
      </c>
      <c r="AH659">
        <f t="shared" si="554"/>
        <v>-127.78913747023897</v>
      </c>
      <c r="AJ659">
        <f t="shared" si="571"/>
        <v>18000</v>
      </c>
      <c r="AK659">
        <f t="shared" si="555"/>
        <v>1156488.1128662401</v>
      </c>
      <c r="AL659">
        <v>34</v>
      </c>
      <c r="AM659">
        <f t="shared" si="556"/>
        <v>2129.4066840076803</v>
      </c>
      <c r="AN659">
        <f t="shared" si="557"/>
        <v>543.09995858660761</v>
      </c>
      <c r="AO659">
        <f t="shared" si="558"/>
        <v>0.21855787127931414</v>
      </c>
      <c r="AQ659">
        <f t="shared" si="559"/>
        <v>3.6289737130607717E-5</v>
      </c>
      <c r="AR659">
        <f t="shared" si="560"/>
        <v>-0.60240963636808809</v>
      </c>
      <c r="AT659">
        <f t="shared" si="561"/>
        <v>-76.981320655377971</v>
      </c>
      <c r="AU659">
        <f t="shared" si="562"/>
        <v>-1.4518231152690535</v>
      </c>
      <c r="AV659">
        <f t="shared" si="580"/>
        <v>-3.1227354683327175</v>
      </c>
      <c r="AW659">
        <f t="shared" si="581"/>
        <v>546.0515963749973</v>
      </c>
      <c r="AX659">
        <f t="shared" si="582"/>
        <v>-475.46335397753143</v>
      </c>
      <c r="AY659">
        <f t="shared" si="590"/>
        <v>-0.71640630994721188</v>
      </c>
      <c r="BA659">
        <f t="shared" si="572"/>
        <v>0.10634043533379514</v>
      </c>
      <c r="BB659">
        <f t="shared" si="583"/>
        <v>-19.466031322287844</v>
      </c>
      <c r="BC659">
        <f t="shared" si="584"/>
        <v>-2.4063291583855055</v>
      </c>
      <c r="BD659">
        <f t="shared" si="573"/>
        <v>-317.87250505229918</v>
      </c>
      <c r="BF659">
        <f t="shared" si="574"/>
        <v>-87.774674830663528</v>
      </c>
      <c r="BG659">
        <f t="shared" si="575"/>
        <v>-228.69287890739585</v>
      </c>
      <c r="BH659">
        <f t="shared" si="585"/>
        <v>-48.692878907395851</v>
      </c>
      <c r="BI659">
        <f t="shared" si="586"/>
        <v>-48.692878907395851</v>
      </c>
      <c r="BJ659">
        <f t="shared" si="576"/>
        <v>0</v>
      </c>
      <c r="BK659">
        <f t="shared" si="587"/>
        <v>0</v>
      </c>
      <c r="BM659">
        <f t="shared" si="588"/>
        <v>-68.308643508375695</v>
      </c>
      <c r="BN659">
        <f t="shared" si="577"/>
        <v>-90.820373855096676</v>
      </c>
      <c r="BQ659" s="56">
        <f t="shared" si="589"/>
        <v>-2.5640705220027069</v>
      </c>
    </row>
    <row r="660" spans="1:69" x14ac:dyDescent="0.25">
      <c r="A660">
        <f t="shared" si="563"/>
        <v>8400000</v>
      </c>
      <c r="B660">
        <f t="shared" si="578"/>
        <v>8400</v>
      </c>
      <c r="C660">
        <f t="shared" si="539"/>
        <v>69.675135137171168</v>
      </c>
      <c r="D660">
        <f t="shared" si="540"/>
        <v>1.5564435116515869</v>
      </c>
      <c r="F660">
        <f t="shared" si="541"/>
        <v>3.6324233953935202E-7</v>
      </c>
      <c r="G660">
        <f t="shared" si="542"/>
        <v>2.0501968262260568E-4</v>
      </c>
      <c r="H660">
        <f t="shared" si="564"/>
        <v>-3.1413876303173778</v>
      </c>
      <c r="J660">
        <f t="shared" si="565"/>
        <v>15</v>
      </c>
      <c r="M660">
        <f t="shared" si="543"/>
        <v>1.5145497247321798E-4</v>
      </c>
      <c r="N660">
        <f t="shared" si="566"/>
        <v>-1.5707963250000001</v>
      </c>
      <c r="O660">
        <f t="shared" si="544"/>
        <v>2440.4899063617058</v>
      </c>
      <c r="P660">
        <f t="shared" si="567"/>
        <v>1.5703865729887545</v>
      </c>
      <c r="Q660">
        <f t="shared" si="545"/>
        <v>2155.0624182364941</v>
      </c>
      <c r="R660">
        <f t="shared" si="568"/>
        <v>1.5703323030954324</v>
      </c>
      <c r="S660">
        <f t="shared" si="546"/>
        <v>1.5377253911300565E-2</v>
      </c>
      <c r="T660">
        <f t="shared" si="569"/>
        <v>-1.5554184668016851</v>
      </c>
      <c r="U660">
        <f t="shared" si="547"/>
        <v>1.8981840146892127E-2</v>
      </c>
      <c r="V660">
        <f t="shared" si="570"/>
        <v>-1.5518133465711981</v>
      </c>
      <c r="X660">
        <f t="shared" si="548"/>
        <v>-81.08393908428404</v>
      </c>
      <c r="Y660">
        <f t="shared" si="549"/>
        <v>-178.89194150355794</v>
      </c>
      <c r="Z660">
        <f t="shared" si="579"/>
        <v>1.1080584964420552</v>
      </c>
      <c r="AC660">
        <v>1</v>
      </c>
      <c r="AD660">
        <f t="shared" si="550"/>
        <v>2440.4897014848002</v>
      </c>
      <c r="AE660">
        <f t="shared" si="551"/>
        <v>-19.320901761635064</v>
      </c>
      <c r="AF660">
        <f t="shared" si="552"/>
        <v>0.36681235781400001</v>
      </c>
      <c r="AG660">
        <f t="shared" si="553"/>
        <v>2.3454909003475288</v>
      </c>
      <c r="AH660">
        <f t="shared" si="554"/>
        <v>-126.26891728634071</v>
      </c>
      <c r="AJ660">
        <f t="shared" si="571"/>
        <v>18000</v>
      </c>
      <c r="AK660">
        <f t="shared" si="555"/>
        <v>1170421.7045875201</v>
      </c>
      <c r="AL660">
        <v>35</v>
      </c>
      <c r="AM660">
        <f t="shared" si="556"/>
        <v>2155.0621862246398</v>
      </c>
      <c r="AN660">
        <f t="shared" si="557"/>
        <v>543.09584918272833</v>
      </c>
      <c r="AO660">
        <f t="shared" si="558"/>
        <v>0.46790052177658303</v>
      </c>
      <c r="AQ660">
        <f t="shared" si="559"/>
        <v>3.5430838876733138E-5</v>
      </c>
      <c r="AR660">
        <f t="shared" si="560"/>
        <v>-0.59523809312911669</v>
      </c>
      <c r="AT660">
        <f t="shared" si="561"/>
        <v>-75.15998644428943</v>
      </c>
      <c r="AU660">
        <f t="shared" si="562"/>
        <v>-1.40059934463807</v>
      </c>
      <c r="AV660">
        <f t="shared" si="580"/>
        <v>-3.1229599033627831</v>
      </c>
      <c r="AW660">
        <f t="shared" si="581"/>
        <v>546.13711567768121</v>
      </c>
      <c r="AX660">
        <f t="shared" si="582"/>
        <v>-469.54960296748482</v>
      </c>
      <c r="AY660">
        <f t="shared" si="590"/>
        <v>-0.71013593032995481</v>
      </c>
      <c r="BA660">
        <f t="shared" si="572"/>
        <v>0.10437251251421736</v>
      </c>
      <c r="BB660">
        <f t="shared" si="583"/>
        <v>-19.628277236484895</v>
      </c>
      <c r="BC660">
        <f t="shared" si="584"/>
        <v>-2.412823973032828</v>
      </c>
      <c r="BD660">
        <f t="shared" si="573"/>
        <v>-318.24463052073571</v>
      </c>
      <c r="BF660">
        <f t="shared" si="574"/>
        <v>-88.040966377505981</v>
      </c>
      <c r="BG660">
        <f t="shared" si="575"/>
        <v>-229.05523938813371</v>
      </c>
      <c r="BH660">
        <f t="shared" si="585"/>
        <v>-49.055239388133714</v>
      </c>
      <c r="BI660">
        <f t="shared" si="586"/>
        <v>-49.055239388133714</v>
      </c>
      <c r="BJ660">
        <f t="shared" si="576"/>
        <v>0</v>
      </c>
      <c r="BK660">
        <f t="shared" si="587"/>
        <v>0</v>
      </c>
      <c r="BM660">
        <f t="shared" si="588"/>
        <v>-68.41268914102109</v>
      </c>
      <c r="BN660">
        <f t="shared" si="577"/>
        <v>-90.810608867397988</v>
      </c>
      <c r="BQ660" s="56">
        <f t="shared" si="589"/>
        <v>-2.7263164361997578</v>
      </c>
    </row>
    <row r="661" spans="1:69" x14ac:dyDescent="0.25">
      <c r="A661">
        <f t="shared" si="563"/>
        <v>8500000</v>
      </c>
      <c r="B661">
        <f t="shared" si="578"/>
        <v>8500</v>
      </c>
      <c r="C661">
        <f t="shared" si="539"/>
        <v>70.504431175540816</v>
      </c>
      <c r="D661">
        <f t="shared" si="540"/>
        <v>1.556612345518817</v>
      </c>
      <c r="F661">
        <f t="shared" si="541"/>
        <v>3.5474573386082095E-7</v>
      </c>
      <c r="G661">
        <f t="shared" si="542"/>
        <v>2.0260768469125464E-4</v>
      </c>
      <c r="H661">
        <f t="shared" si="564"/>
        <v>-3.1413900423153089</v>
      </c>
      <c r="J661">
        <f t="shared" si="565"/>
        <v>15</v>
      </c>
      <c r="M661">
        <f t="shared" si="543"/>
        <v>1.4967314926765072E-4</v>
      </c>
      <c r="N661">
        <f t="shared" si="566"/>
        <v>-1.5707963250000001</v>
      </c>
      <c r="O661">
        <f t="shared" si="544"/>
        <v>2469.5433527785895</v>
      </c>
      <c r="P661">
        <f t="shared" si="567"/>
        <v>1.5703913936212379</v>
      </c>
      <c r="Q661">
        <f t="shared" si="545"/>
        <v>2180.7179177239032</v>
      </c>
      <c r="R661">
        <f t="shared" si="568"/>
        <v>1.5703377621970092</v>
      </c>
      <c r="S661">
        <f t="shared" si="546"/>
        <v>1.5196387067690043E-2</v>
      </c>
      <c r="T661">
        <f t="shared" si="569"/>
        <v>-1.5555993547823512</v>
      </c>
      <c r="U661">
        <f t="shared" si="547"/>
        <v>1.8758603429552372E-2</v>
      </c>
      <c r="V661">
        <f t="shared" si="570"/>
        <v>-1.5520366230452733</v>
      </c>
      <c r="X661">
        <f t="shared" si="548"/>
        <v>-81.28948508128552</v>
      </c>
      <c r="Y661">
        <f t="shared" si="549"/>
        <v>-178.9049741649531</v>
      </c>
      <c r="Z661">
        <f t="shared" si="579"/>
        <v>1.0950258350468971</v>
      </c>
      <c r="AC661">
        <v>1</v>
      </c>
      <c r="AD661">
        <f t="shared" si="550"/>
        <v>2469.5431503119999</v>
      </c>
      <c r="AE661">
        <f t="shared" si="551"/>
        <v>-19.783661455188966</v>
      </c>
      <c r="AF661">
        <f t="shared" si="552"/>
        <v>0.37117917159750002</v>
      </c>
      <c r="AG661">
        <f t="shared" si="553"/>
        <v>2.290646820195231</v>
      </c>
      <c r="AH661">
        <f t="shared" si="554"/>
        <v>-124.78442959179101</v>
      </c>
      <c r="AJ661">
        <f t="shared" si="571"/>
        <v>18000</v>
      </c>
      <c r="AK661">
        <f t="shared" si="555"/>
        <v>1184355.2963087999</v>
      </c>
      <c r="AL661">
        <v>36</v>
      </c>
      <c r="AM661">
        <f t="shared" si="556"/>
        <v>2180.7176884416003</v>
      </c>
      <c r="AN661">
        <f t="shared" si="557"/>
        <v>543.09170471550635</v>
      </c>
      <c r="AO661">
        <f t="shared" si="558"/>
        <v>0.71137193868814386</v>
      </c>
      <c r="AQ661">
        <f t="shared" si="559"/>
        <v>3.4602076004837107E-5</v>
      </c>
      <c r="AR661">
        <f t="shared" si="560"/>
        <v>-0.5882352920822308</v>
      </c>
      <c r="AT661">
        <f t="shared" si="561"/>
        <v>-73.402526127106384</v>
      </c>
      <c r="AU661">
        <f t="shared" si="562"/>
        <v>-1.3517571016517305</v>
      </c>
      <c r="AV661">
        <f t="shared" si="580"/>
        <v>-3.1231790594844848</v>
      </c>
      <c r="AW661">
        <f t="shared" si="581"/>
        <v>546.21758643438568</v>
      </c>
      <c r="AX661">
        <f t="shared" si="582"/>
        <v>-463.77494642742511</v>
      </c>
      <c r="AY661">
        <f t="shared" si="590"/>
        <v>-0.7039517548696046</v>
      </c>
      <c r="BA661">
        <f t="shared" si="572"/>
        <v>0.10245647878587125</v>
      </c>
      <c r="BB661">
        <f t="shared" si="583"/>
        <v>-19.789211479859933</v>
      </c>
      <c r="BC661">
        <f t="shared" si="584"/>
        <v>-2.4192273046148802</v>
      </c>
      <c r="BD661">
        <f t="shared" si="573"/>
        <v>-318.61151439562934</v>
      </c>
      <c r="BF661">
        <f t="shared" si="574"/>
        <v>-88.304714409525374</v>
      </c>
      <c r="BG661">
        <f t="shared" si="575"/>
        <v>-229.41258799228692</v>
      </c>
      <c r="BH661">
        <f t="shared" si="585"/>
        <v>-49.412587992286916</v>
      </c>
      <c r="BI661">
        <f t="shared" si="586"/>
        <v>-49.412587992286916</v>
      </c>
      <c r="BJ661">
        <f t="shared" si="576"/>
        <v>0</v>
      </c>
      <c r="BK661">
        <f t="shared" si="587"/>
        <v>0</v>
      </c>
      <c r="BM661">
        <f t="shared" si="588"/>
        <v>-68.515502929665445</v>
      </c>
      <c r="BN661">
        <f t="shared" si="577"/>
        <v>-90.801073596657588</v>
      </c>
      <c r="BQ661" s="56">
        <f t="shared" si="589"/>
        <v>-2.8872506795747981</v>
      </c>
    </row>
    <row r="662" spans="1:69" x14ac:dyDescent="0.25">
      <c r="A662">
        <f t="shared" si="563"/>
        <v>8600000</v>
      </c>
      <c r="B662">
        <f t="shared" si="578"/>
        <v>8600</v>
      </c>
      <c r="C662">
        <f t="shared" si="539"/>
        <v>71.333729176902068</v>
      </c>
      <c r="D662">
        <f t="shared" si="540"/>
        <v>1.556777253797806</v>
      </c>
      <c r="F662">
        <f t="shared" si="541"/>
        <v>3.4654379491822366E-7</v>
      </c>
      <c r="G662">
        <f t="shared" si="542"/>
        <v>2.0025177979212985E-4</v>
      </c>
      <c r="H662">
        <f t="shared" si="564"/>
        <v>-3.1413923982202081</v>
      </c>
      <c r="J662">
        <f t="shared" si="565"/>
        <v>15</v>
      </c>
      <c r="M662">
        <f t="shared" si="543"/>
        <v>1.4793276381105011E-4</v>
      </c>
      <c r="N662">
        <f t="shared" si="566"/>
        <v>-1.5707963250000001</v>
      </c>
      <c r="O662">
        <f t="shared" si="544"/>
        <v>2498.596799251527</v>
      </c>
      <c r="P662">
        <f t="shared" si="567"/>
        <v>1.5703961021460071</v>
      </c>
      <c r="Q662">
        <f t="shared" si="545"/>
        <v>2206.3734172747904</v>
      </c>
      <c r="R662">
        <f t="shared" si="568"/>
        <v>1.5703430943427619</v>
      </c>
      <c r="S662">
        <f t="shared" si="546"/>
        <v>1.501972498953846E-2</v>
      </c>
      <c r="T662">
        <f t="shared" si="569"/>
        <v>-1.5557760370260412</v>
      </c>
      <c r="U662">
        <f t="shared" si="547"/>
        <v>1.8540555555130286E-2</v>
      </c>
      <c r="V662">
        <f t="shared" si="570"/>
        <v>-1.5522547088492908</v>
      </c>
      <c r="X662">
        <f t="shared" si="548"/>
        <v>-81.492627886008506</v>
      </c>
      <c r="Y662">
        <f t="shared" si="549"/>
        <v>-178.91770385495832</v>
      </c>
      <c r="Z662">
        <f t="shared" si="579"/>
        <v>1.0822961450416813</v>
      </c>
      <c r="AC662">
        <v>1</v>
      </c>
      <c r="AD662">
        <f t="shared" si="550"/>
        <v>2498.5965991392</v>
      </c>
      <c r="AE662">
        <f t="shared" si="551"/>
        <v>-20.251897594820431</v>
      </c>
      <c r="AF662">
        <f t="shared" si="552"/>
        <v>0.37554598538099998</v>
      </c>
      <c r="AG662">
        <f t="shared" si="553"/>
        <v>2.2377038837014323</v>
      </c>
      <c r="AH662">
        <f t="shared" si="554"/>
        <v>-123.33442961256252</v>
      </c>
      <c r="AJ662">
        <f t="shared" si="571"/>
        <v>18000</v>
      </c>
      <c r="AK662">
        <f t="shared" si="555"/>
        <v>1198288.8880300799</v>
      </c>
      <c r="AL662">
        <v>37</v>
      </c>
      <c r="AM662">
        <f t="shared" si="556"/>
        <v>2206.3731906585599</v>
      </c>
      <c r="AN662">
        <f t="shared" si="557"/>
        <v>543.08753095576981</v>
      </c>
      <c r="AO662">
        <f t="shared" si="558"/>
        <v>0.94917698158687003</v>
      </c>
      <c r="AQ662">
        <f t="shared" si="559"/>
        <v>3.3802055050696138E-5</v>
      </c>
      <c r="AR662">
        <f t="shared" si="560"/>
        <v>-0.58139534687197358</v>
      </c>
      <c r="AT662">
        <f t="shared" si="561"/>
        <v>-71.705987846862925</v>
      </c>
      <c r="AU662">
        <f t="shared" si="562"/>
        <v>-1.3051595828407667</v>
      </c>
      <c r="AV662">
        <f t="shared" si="580"/>
        <v>-3.1233931207582586</v>
      </c>
      <c r="AW662">
        <f t="shared" si="581"/>
        <v>546.29328951252796</v>
      </c>
      <c r="AX662">
        <f t="shared" si="582"/>
        <v>-458.13453729408872</v>
      </c>
      <c r="AY662">
        <f t="shared" si="590"/>
        <v>-0.69785238782233194</v>
      </c>
      <c r="BA662">
        <f t="shared" si="572"/>
        <v>0.10059055617005273</v>
      </c>
      <c r="BB662">
        <f t="shared" si="583"/>
        <v>-19.948855812193457</v>
      </c>
      <c r="BC662">
        <f t="shared" si="584"/>
        <v>-2.4255407329359269</v>
      </c>
      <c r="BD662">
        <f t="shared" si="573"/>
        <v>-318.97324719309705</v>
      </c>
      <c r="BF662">
        <f t="shared" si="574"/>
        <v>-88.565969519998248</v>
      </c>
      <c r="BG662">
        <f t="shared" si="575"/>
        <v>-229.76500722475882</v>
      </c>
      <c r="BH662">
        <f t="shared" si="585"/>
        <v>-49.765007224758818</v>
      </c>
      <c r="BI662">
        <f t="shared" si="586"/>
        <v>-49.765007224758818</v>
      </c>
      <c r="BJ662">
        <f t="shared" si="576"/>
        <v>0</v>
      </c>
      <c r="BK662">
        <f t="shared" si="587"/>
        <v>0</v>
      </c>
      <c r="BM662">
        <f t="shared" si="588"/>
        <v>-68.617113707804776</v>
      </c>
      <c r="BN662">
        <f t="shared" si="577"/>
        <v>-90.791760031661767</v>
      </c>
      <c r="BQ662" s="56">
        <f t="shared" si="589"/>
        <v>-3.0468950119083211</v>
      </c>
    </row>
    <row r="663" spans="1:69" x14ac:dyDescent="0.25">
      <c r="A663">
        <f t="shared" si="563"/>
        <v>8700000</v>
      </c>
      <c r="B663">
        <f t="shared" si="578"/>
        <v>8700</v>
      </c>
      <c r="C663">
        <f t="shared" si="539"/>
        <v>72.163029073578812</v>
      </c>
      <c r="D663">
        <f t="shared" si="540"/>
        <v>1.5569383718183925</v>
      </c>
      <c r="F663">
        <f t="shared" si="541"/>
        <v>3.3862305297518713E-7</v>
      </c>
      <c r="G663">
        <f t="shared" si="542"/>
        <v>1.9795003368016165E-4</v>
      </c>
      <c r="H663">
        <f t="shared" si="564"/>
        <v>-3.14139469996632</v>
      </c>
      <c r="J663">
        <f t="shared" si="565"/>
        <v>15</v>
      </c>
      <c r="M663">
        <f t="shared" si="543"/>
        <v>1.4623238721552079E-4</v>
      </c>
      <c r="N663">
        <f t="shared" si="566"/>
        <v>-1.5707963250000001</v>
      </c>
      <c r="O663">
        <f t="shared" si="544"/>
        <v>2527.6502457785855</v>
      </c>
      <c r="P663">
        <f t="shared" si="567"/>
        <v>1.5704007024288449</v>
      </c>
      <c r="Q663">
        <f t="shared" si="545"/>
        <v>2232.0289168869663</v>
      </c>
      <c r="R663">
        <f t="shared" si="568"/>
        <v>1.570348303910476</v>
      </c>
      <c r="S663">
        <f t="shared" si="546"/>
        <v>1.4847122749992921E-2</v>
      </c>
      <c r="T663">
        <f t="shared" si="569"/>
        <v>-1.5559486585147875</v>
      </c>
      <c r="U663">
        <f t="shared" si="547"/>
        <v>1.8327517720349868E-2</v>
      </c>
      <c r="V663">
        <f t="shared" si="570"/>
        <v>-1.5524677828902904</v>
      </c>
      <c r="X663">
        <f t="shared" si="548"/>
        <v>-81.693423034481498</v>
      </c>
      <c r="Y663">
        <f t="shared" si="549"/>
        <v>-178.93014101572436</v>
      </c>
      <c r="Z663">
        <f t="shared" si="579"/>
        <v>1.0698589842756405</v>
      </c>
      <c r="AC663">
        <v>1</v>
      </c>
      <c r="AD663">
        <f t="shared" si="550"/>
        <v>2527.6500479664001</v>
      </c>
      <c r="AE663">
        <f t="shared" si="551"/>
        <v>-20.725610180529454</v>
      </c>
      <c r="AF663">
        <f t="shared" si="552"/>
        <v>0.37991279916449999</v>
      </c>
      <c r="AG663">
        <f t="shared" si="553"/>
        <v>2.1865752355111838</v>
      </c>
      <c r="AH663">
        <f t="shared" si="554"/>
        <v>-121.91772970920286</v>
      </c>
      <c r="AJ663">
        <f t="shared" si="571"/>
        <v>18000</v>
      </c>
      <c r="AK663">
        <f t="shared" si="555"/>
        <v>1212222.4797513599</v>
      </c>
      <c r="AL663">
        <v>38</v>
      </c>
      <c r="AM663">
        <f t="shared" si="556"/>
        <v>2232.0286928755199</v>
      </c>
      <c r="AN663">
        <f t="shared" si="557"/>
        <v>543.08333320220868</v>
      </c>
      <c r="AO663">
        <f t="shared" si="558"/>
        <v>1.1815110935184574</v>
      </c>
      <c r="AQ663">
        <f t="shared" si="559"/>
        <v>3.3029462171259541E-5</v>
      </c>
      <c r="AR663">
        <f t="shared" si="560"/>
        <v>-0.57471264177991599</v>
      </c>
      <c r="AT663">
        <f t="shared" si="561"/>
        <v>-70.067588299581701</v>
      </c>
      <c r="AU663">
        <f t="shared" si="562"/>
        <v>-1.2606793070926103</v>
      </c>
      <c r="AV663">
        <f t="shared" si="580"/>
        <v>-3.123602262786934</v>
      </c>
      <c r="AW663">
        <f t="shared" si="581"/>
        <v>546.36448810446348</v>
      </c>
      <c r="AX663">
        <f t="shared" si="582"/>
        <v>-452.62375098099324</v>
      </c>
      <c r="AY663">
        <f t="shared" si="590"/>
        <v>-0.69183645297658991</v>
      </c>
      <c r="BA663">
        <f t="shared" si="572"/>
        <v>9.8773043159425658E-2</v>
      </c>
      <c r="BB663">
        <f t="shared" si="583"/>
        <v>-20.107231311590247</v>
      </c>
      <c r="BC663">
        <f t="shared" si="584"/>
        <v>-2.4317658098103441</v>
      </c>
      <c r="BD663">
        <f t="shared" si="573"/>
        <v>-319.3299178255532</v>
      </c>
      <c r="BF663">
        <f t="shared" si="574"/>
        <v>-88.824780619682272</v>
      </c>
      <c r="BG663">
        <f t="shared" si="575"/>
        <v>-230.11257835495914</v>
      </c>
      <c r="BH663">
        <f t="shared" si="585"/>
        <v>-50.11257835495914</v>
      </c>
      <c r="BI663">
        <f t="shared" si="586"/>
        <v>-50.11257835495914</v>
      </c>
      <c r="BJ663">
        <f t="shared" si="576"/>
        <v>0</v>
      </c>
      <c r="BK663">
        <f t="shared" si="587"/>
        <v>0</v>
      </c>
      <c r="BM663">
        <f t="shared" si="588"/>
        <v>-68.717549308092018</v>
      </c>
      <c r="BN663">
        <f t="shared" si="577"/>
        <v>-90.782660529405973</v>
      </c>
      <c r="BQ663" s="56">
        <f t="shared" si="589"/>
        <v>-3.2052705113051094</v>
      </c>
    </row>
    <row r="664" spans="1:69" x14ac:dyDescent="0.25">
      <c r="A664">
        <f t="shared" si="563"/>
        <v>8800000</v>
      </c>
      <c r="B664">
        <f t="shared" si="578"/>
        <v>8800</v>
      </c>
      <c r="C664">
        <f t="shared" si="539"/>
        <v>72.99233080097035</v>
      </c>
      <c r="D664">
        <f t="shared" si="540"/>
        <v>1.5570958287610284</v>
      </c>
      <c r="F664">
        <f t="shared" si="541"/>
        <v>3.3097079924787953E-7</v>
      </c>
      <c r="G664">
        <f t="shared" si="542"/>
        <v>1.9570060003065476E-4</v>
      </c>
      <c r="H664">
        <f t="shared" si="564"/>
        <v>-3.1413969493999696</v>
      </c>
      <c r="J664">
        <f t="shared" si="565"/>
        <v>15</v>
      </c>
      <c r="M664">
        <f t="shared" si="543"/>
        <v>1.4457065554261716E-4</v>
      </c>
      <c r="N664">
        <f t="shared" si="566"/>
        <v>-1.5707963250000001</v>
      </c>
      <c r="O664">
        <f t="shared" si="544"/>
        <v>2556.7036923579199</v>
      </c>
      <c r="P664">
        <f t="shared" si="567"/>
        <v>1.5704051981598162</v>
      </c>
      <c r="Q664">
        <f t="shared" si="545"/>
        <v>2257.684416558342</v>
      </c>
      <c r="R664">
        <f t="shared" si="568"/>
        <v>1.5703533950789474</v>
      </c>
      <c r="S664">
        <f t="shared" si="546"/>
        <v>1.467844200615228E-2</v>
      </c>
      <c r="T664">
        <f t="shared" si="569"/>
        <v>-1.5561173576429523</v>
      </c>
      <c r="U664">
        <f t="shared" si="547"/>
        <v>1.8119319242527195E-2</v>
      </c>
      <c r="V664">
        <f t="shared" si="570"/>
        <v>-1.5526760159477293</v>
      </c>
      <c r="X664">
        <f t="shared" si="548"/>
        <v>-81.891924159948033</v>
      </c>
      <c r="Y664">
        <f t="shared" si="549"/>
        <v>-178.94229561504565</v>
      </c>
      <c r="Z664">
        <f t="shared" si="579"/>
        <v>1.0577043849543486</v>
      </c>
      <c r="AC664">
        <v>1</v>
      </c>
      <c r="AD664">
        <f t="shared" si="550"/>
        <v>2556.7034967936002</v>
      </c>
      <c r="AE664">
        <f t="shared" si="551"/>
        <v>-21.204799212316033</v>
      </c>
      <c r="AF664">
        <f t="shared" si="552"/>
        <v>0.38427961294799995</v>
      </c>
      <c r="AG664">
        <f t="shared" si="553"/>
        <v>2.1371789237501284</v>
      </c>
      <c r="AH664">
        <f t="shared" si="554"/>
        <v>-120.53319613700891</v>
      </c>
      <c r="AJ664">
        <f t="shared" si="571"/>
        <v>18000</v>
      </c>
      <c r="AK664">
        <f t="shared" si="555"/>
        <v>1226156.0714726399</v>
      </c>
      <c r="AL664">
        <v>39</v>
      </c>
      <c r="AM664">
        <f t="shared" si="556"/>
        <v>2257.68419509248</v>
      </c>
      <c r="AN664">
        <f t="shared" si="557"/>
        <v>543.07911631982051</v>
      </c>
      <c r="AO664">
        <f t="shared" si="558"/>
        <v>1.4085608356498875</v>
      </c>
      <c r="AQ664">
        <f t="shared" si="559"/>
        <v>3.2283057747020086E-5</v>
      </c>
      <c r="AR664">
        <f t="shared" si="560"/>
        <v>-0.56818181634755349</v>
      </c>
      <c r="AT664">
        <f t="shared" si="561"/>
        <v>-68.484701316631032</v>
      </c>
      <c r="AU664">
        <f t="shared" si="562"/>
        <v>-1.2181973828873813</v>
      </c>
      <c r="AV664">
        <f t="shared" si="580"/>
        <v>-3.123806653195949</v>
      </c>
      <c r="AW664">
        <f t="shared" si="581"/>
        <v>546.43142899912459</v>
      </c>
      <c r="AX664">
        <f t="shared" si="582"/>
        <v>-447.23817276699663</v>
      </c>
      <c r="AY664">
        <f t="shared" si="590"/>
        <v>-0.68590259366757322</v>
      </c>
      <c r="BA664">
        <f t="shared" si="572"/>
        <v>9.7002310644488679E-2</v>
      </c>
      <c r="BB664">
        <f t="shared" si="583"/>
        <v>-20.264358409891798</v>
      </c>
      <c r="BC664">
        <f t="shared" si="584"/>
        <v>-2.4379040595283756</v>
      </c>
      <c r="BD664">
        <f t="shared" si="573"/>
        <v>-319.68161362839567</v>
      </c>
      <c r="BF664">
        <f t="shared" si="574"/>
        <v>-89.081195018028723</v>
      </c>
      <c r="BG664">
        <f t="shared" si="575"/>
        <v>-230.4553814225778</v>
      </c>
      <c r="BH664">
        <f t="shared" si="585"/>
        <v>-50.455381422577801</v>
      </c>
      <c r="BI664">
        <f t="shared" si="586"/>
        <v>-50.455381422577801</v>
      </c>
      <c r="BJ664">
        <f t="shared" si="576"/>
        <v>0</v>
      </c>
      <c r="BK664">
        <f t="shared" si="587"/>
        <v>0</v>
      </c>
      <c r="BM664">
        <f t="shared" si="588"/>
        <v>-68.816836608136924</v>
      </c>
      <c r="BN664">
        <f t="shared" si="577"/>
        <v>-90.773767794182163</v>
      </c>
      <c r="BQ664" s="56">
        <f t="shared" si="589"/>
        <v>-3.3623976096066603</v>
      </c>
    </row>
    <row r="665" spans="1:69" x14ac:dyDescent="0.25">
      <c r="A665">
        <f t="shared" si="563"/>
        <v>8900000</v>
      </c>
      <c r="B665">
        <f t="shared" si="578"/>
        <v>8900</v>
      </c>
      <c r="C665">
        <f t="shared" si="539"/>
        <v>73.821634297378708</v>
      </c>
      <c r="D665">
        <f t="shared" si="540"/>
        <v>1.5572497480021199</v>
      </c>
      <c r="F665">
        <f t="shared" si="541"/>
        <v>3.2357503489523931E-7</v>
      </c>
      <c r="G665">
        <f t="shared" si="542"/>
        <v>1.9350171549993201E-4</v>
      </c>
      <c r="H665">
        <f t="shared" si="564"/>
        <v>-3.1413991482845001</v>
      </c>
      <c r="J665">
        <f t="shared" si="565"/>
        <v>15</v>
      </c>
      <c r="M665">
        <f t="shared" si="543"/>
        <v>1.4294626615449788E-4</v>
      </c>
      <c r="N665">
        <f t="shared" si="566"/>
        <v>-1.5707963250000001</v>
      </c>
      <c r="O665">
        <f t="shared" si="544"/>
        <v>2585.757138987768</v>
      </c>
      <c r="P665">
        <f t="shared" si="567"/>
        <v>1.5704095928631405</v>
      </c>
      <c r="Q665">
        <f t="shared" si="545"/>
        <v>2283.3399162869218</v>
      </c>
      <c r="R665">
        <f t="shared" si="568"/>
        <v>1.5703583718391607</v>
      </c>
      <c r="S665">
        <f t="shared" si="546"/>
        <v>1.4513550629422875E-2</v>
      </c>
      <c r="T665">
        <f t="shared" si="569"/>
        <v>-1.5562822665871614</v>
      </c>
      <c r="U665">
        <f t="shared" si="547"/>
        <v>1.7915797103809816E-2</v>
      </c>
      <c r="V665">
        <f t="shared" si="570"/>
        <v>-1.5528795711297843</v>
      </c>
      <c r="X665">
        <f t="shared" si="548"/>
        <v>-82.088183078795566</v>
      </c>
      <c r="Y665">
        <f t="shared" si="549"/>
        <v>-178.9541771729904</v>
      </c>
      <c r="Z665">
        <f t="shared" si="579"/>
        <v>1.0458228270096015</v>
      </c>
      <c r="AC665">
        <v>1</v>
      </c>
      <c r="AD665">
        <f t="shared" si="550"/>
        <v>2585.7569456208003</v>
      </c>
      <c r="AE665">
        <f t="shared" si="551"/>
        <v>-21.689464690180177</v>
      </c>
      <c r="AF665">
        <f t="shared" si="552"/>
        <v>0.38864642673149996</v>
      </c>
      <c r="AG665">
        <f t="shared" si="553"/>
        <v>2.0894375715763371</v>
      </c>
      <c r="AH665">
        <f t="shared" si="554"/>
        <v>-119.17974602411707</v>
      </c>
      <c r="AJ665">
        <f t="shared" si="571"/>
        <v>18000</v>
      </c>
      <c r="AK665">
        <f t="shared" si="555"/>
        <v>1240089.6631939202</v>
      </c>
      <c r="AL665">
        <v>40</v>
      </c>
      <c r="AM665">
        <f t="shared" si="556"/>
        <v>2283.33969730944</v>
      </c>
      <c r="AN665">
        <f t="shared" si="557"/>
        <v>543.07488477498941</v>
      </c>
      <c r="AO665">
        <f t="shared" si="558"/>
        <v>1.6305043859161881</v>
      </c>
      <c r="AQ665">
        <f t="shared" si="559"/>
        <v>3.1561671406509055E-5</v>
      </c>
      <c r="AR665">
        <f t="shared" si="560"/>
        <v>-0.56179775103586116</v>
      </c>
      <c r="AT665">
        <f t="shared" si="561"/>
        <v>-66.954847339232032</v>
      </c>
      <c r="AU665">
        <f t="shared" si="562"/>
        <v>-1.1776028406237418</v>
      </c>
      <c r="AV665">
        <f t="shared" si="580"/>
        <v>-3.1240064520812147</v>
      </c>
      <c r="AW665">
        <f t="shared" si="581"/>
        <v>546.49434375012333</v>
      </c>
      <c r="AX665">
        <f t="shared" si="582"/>
        <v>-441.97358603257737</v>
      </c>
      <c r="AY665">
        <f t="shared" si="590"/>
        <v>-0.68004947277690397</v>
      </c>
      <c r="BA665">
        <f t="shared" si="572"/>
        <v>9.5276798104983046E-2</v>
      </c>
      <c r="BB665">
        <f t="shared" si="583"/>
        <v>-20.420256925699334</v>
      </c>
      <c r="BC665">
        <f t="shared" si="584"/>
        <v>-2.4439569793043106</v>
      </c>
      <c r="BD665">
        <f t="shared" si="573"/>
        <v>-320.02842038568429</v>
      </c>
      <c r="BF665">
        <f t="shared" si="574"/>
        <v>-89.335258499414479</v>
      </c>
      <c r="BG665">
        <f t="shared" si="575"/>
        <v>-230.79349524375928</v>
      </c>
      <c r="BH665">
        <f t="shared" si="585"/>
        <v>-50.793495243759281</v>
      </c>
      <c r="BI665">
        <f t="shared" si="586"/>
        <v>-50.793495243759281</v>
      </c>
      <c r="BJ665">
        <f t="shared" si="576"/>
        <v>0</v>
      </c>
      <c r="BK665">
        <f t="shared" si="587"/>
        <v>0</v>
      </c>
      <c r="BM665">
        <f t="shared" si="588"/>
        <v>-68.915001573715131</v>
      </c>
      <c r="BN665">
        <f t="shared" si="577"/>
        <v>-90.765074858075067</v>
      </c>
      <c r="BQ665" s="56">
        <f t="shared" si="589"/>
        <v>-3.5182961254142011</v>
      </c>
    </row>
    <row r="666" spans="1:69" x14ac:dyDescent="0.25">
      <c r="A666">
        <f t="shared" si="563"/>
        <v>9000000</v>
      </c>
      <c r="B666">
        <f t="shared" si="578"/>
        <v>9000</v>
      </c>
      <c r="C666">
        <f t="shared" si="539"/>
        <v>74.650939503847439</v>
      </c>
      <c r="D666">
        <f t="shared" si="540"/>
        <v>1.5574002474363549</v>
      </c>
      <c r="F666">
        <f t="shared" si="541"/>
        <v>3.1642442395438037E-7</v>
      </c>
      <c r="G666">
        <f t="shared" si="542"/>
        <v>1.9135169511526898E-4</v>
      </c>
      <c r="H666">
        <f t="shared" si="564"/>
        <v>-3.1414012983048849</v>
      </c>
      <c r="J666">
        <f t="shared" si="565"/>
        <v>15</v>
      </c>
      <c r="M666">
        <f t="shared" si="543"/>
        <v>1.413579743083368E-4</v>
      </c>
      <c r="N666">
        <f t="shared" si="566"/>
        <v>-1.5707963250000001</v>
      </c>
      <c r="O666">
        <f t="shared" si="544"/>
        <v>2614.8105856664465</v>
      </c>
      <c r="P666">
        <f t="shared" si="567"/>
        <v>1.5704138899064053</v>
      </c>
      <c r="Q666">
        <f t="shared" si="545"/>
        <v>2308.9954160707989</v>
      </c>
      <c r="R666">
        <f t="shared" si="568"/>
        <v>1.5703632380047237</v>
      </c>
      <c r="S666">
        <f t="shared" si="546"/>
        <v>1.4352322360498838E-2</v>
      </c>
      <c r="T666">
        <f t="shared" si="569"/>
        <v>-1.5564435116515869</v>
      </c>
      <c r="U666">
        <f t="shared" si="547"/>
        <v>1.7716795525765557E-2</v>
      </c>
      <c r="V666">
        <f t="shared" si="570"/>
        <v>-1.5530786042992599</v>
      </c>
      <c r="X666">
        <f t="shared" si="548"/>
        <v>-82.28224987168889</v>
      </c>
      <c r="Y666">
        <f t="shared" si="549"/>
        <v>-178.96579478675716</v>
      </c>
      <c r="Z666">
        <f t="shared" si="579"/>
        <v>1.0342052132428421</v>
      </c>
      <c r="AC666">
        <v>1</v>
      </c>
      <c r="AD666">
        <f t="shared" si="550"/>
        <v>2614.8103944479999</v>
      </c>
      <c r="AE666">
        <f t="shared" si="551"/>
        <v>-22.179606614121884</v>
      </c>
      <c r="AF666">
        <f t="shared" si="552"/>
        <v>0.39301324051499997</v>
      </c>
      <c r="AG666">
        <f t="shared" si="553"/>
        <v>2.0432780741129366</v>
      </c>
      <c r="AH666">
        <f t="shared" si="554"/>
        <v>-117.8563445506047</v>
      </c>
      <c r="AJ666">
        <f t="shared" si="571"/>
        <v>18000</v>
      </c>
      <c r="AK666">
        <f t="shared" si="555"/>
        <v>1254023.2549151999</v>
      </c>
      <c r="AL666">
        <v>41</v>
      </c>
      <c r="AM666">
        <f t="shared" si="556"/>
        <v>2308.9951995264</v>
      </c>
      <c r="AN666">
        <f t="shared" si="557"/>
        <v>543.07064266751854</v>
      </c>
      <c r="AO666">
        <f t="shared" si="558"/>
        <v>1.8475120044611764</v>
      </c>
      <c r="AQ666">
        <f t="shared" si="559"/>
        <v>3.0864197435604332E-5</v>
      </c>
      <c r="AR666">
        <f t="shared" si="560"/>
        <v>-0.55555555384087796</v>
      </c>
      <c r="AT666">
        <f t="shared" si="561"/>
        <v>-65.47568370633465</v>
      </c>
      <c r="AU666">
        <f t="shared" si="562"/>
        <v>-1.1387920236019835</v>
      </c>
      <c r="AV666">
        <f t="shared" si="580"/>
        <v>-3.1242018124271493</v>
      </c>
      <c r="AW666">
        <f t="shared" si="581"/>
        <v>546.55344974973787</v>
      </c>
      <c r="AX666">
        <f t="shared" si="582"/>
        <v>-436.8259612781344</v>
      </c>
      <c r="AY666">
        <f t="shared" si="590"/>
        <v>-0.67427577271746564</v>
      </c>
      <c r="BA666">
        <f t="shared" si="572"/>
        <v>9.3595010045733507E-2</v>
      </c>
      <c r="BB666">
        <f t="shared" si="583"/>
        <v>-20.574946095188935</v>
      </c>
      <c r="BC666">
        <f t="shared" si="584"/>
        <v>-2.4499260397096836</v>
      </c>
      <c r="BD666">
        <f t="shared" si="573"/>
        <v>-320.37042235496159</v>
      </c>
      <c r="BF666">
        <f t="shared" si="574"/>
        <v>-89.587015394749599</v>
      </c>
      <c r="BG666">
        <f t="shared" si="575"/>
        <v>-231.12699741772008</v>
      </c>
      <c r="BH666">
        <f t="shared" si="585"/>
        <v>-51.126997417720077</v>
      </c>
      <c r="BI666">
        <f t="shared" si="586"/>
        <v>-51.126997417720077</v>
      </c>
      <c r="BJ666">
        <f t="shared" si="576"/>
        <v>0</v>
      </c>
      <c r="BK666">
        <f t="shared" si="587"/>
        <v>0</v>
      </c>
      <c r="BM666">
        <f t="shared" si="588"/>
        <v>-69.012069299560665</v>
      </c>
      <c r="BN666">
        <f t="shared" si="577"/>
        <v>-90.7565750627585</v>
      </c>
      <c r="BQ666" s="56">
        <f t="shared" si="589"/>
        <v>-3.672985294903794</v>
      </c>
    </row>
    <row r="667" spans="1:69" x14ac:dyDescent="0.25">
      <c r="A667">
        <f t="shared" si="563"/>
        <v>9100000</v>
      </c>
      <c r="B667">
        <f t="shared" si="578"/>
        <v>9100</v>
      </c>
      <c r="C667">
        <f t="shared" si="539"/>
        <v>75.480246364010981</v>
      </c>
      <c r="D667">
        <f t="shared" si="540"/>
        <v>1.5575474397777878</v>
      </c>
      <c r="F667">
        <f t="shared" si="541"/>
        <v>3.0950824987627239E-7</v>
      </c>
      <c r="G667">
        <f t="shared" si="542"/>
        <v>1.8924892796878988E-4</v>
      </c>
      <c r="H667">
        <f t="shared" si="564"/>
        <v>-3.1414034010720315</v>
      </c>
      <c r="J667">
        <f t="shared" si="565"/>
        <v>15</v>
      </c>
      <c r="M667">
        <f t="shared" si="543"/>
        <v>1.3980458997527815E-4</v>
      </c>
      <c r="N667">
        <f t="shared" si="566"/>
        <v>-1.5707963250000001</v>
      </c>
      <c r="O667">
        <f t="shared" si="544"/>
        <v>2643.8640323923451</v>
      </c>
      <c r="P667">
        <f t="shared" si="567"/>
        <v>1.5704180925091726</v>
      </c>
      <c r="Q667">
        <f t="shared" si="545"/>
        <v>2334.6509159081502</v>
      </c>
      <c r="R667">
        <f t="shared" si="568"/>
        <v>1.5703679972216127</v>
      </c>
      <c r="S667">
        <f t="shared" si="546"/>
        <v>1.4194636487074322E-2</v>
      </c>
      <c r="T667">
        <f t="shared" si="569"/>
        <v>-1.5566012135904759</v>
      </c>
      <c r="U667">
        <f t="shared" si="547"/>
        <v>1.752216557198924E-2</v>
      </c>
      <c r="V667">
        <f t="shared" si="570"/>
        <v>-1.5532732644714344</v>
      </c>
      <c r="X667">
        <f t="shared" si="548"/>
        <v>-82.474172960225204</v>
      </c>
      <c r="Y667">
        <f t="shared" si="549"/>
        <v>-178.97715715389336</v>
      </c>
      <c r="Z667">
        <f t="shared" si="579"/>
        <v>1.0228428461066414</v>
      </c>
      <c r="AC667">
        <v>1</v>
      </c>
      <c r="AD667">
        <f t="shared" si="550"/>
        <v>2643.8638432752</v>
      </c>
      <c r="AE667">
        <f t="shared" si="551"/>
        <v>-22.675224984141149</v>
      </c>
      <c r="AF667">
        <f t="shared" si="552"/>
        <v>0.39738005429849999</v>
      </c>
      <c r="AG667">
        <f t="shared" si="553"/>
        <v>1.9986313185447522</v>
      </c>
      <c r="AH667">
        <f t="shared" si="554"/>
        <v>-116.56200231317894</v>
      </c>
      <c r="AJ667">
        <f t="shared" si="571"/>
        <v>18000</v>
      </c>
      <c r="AK667">
        <f t="shared" si="555"/>
        <v>1267956.84663648</v>
      </c>
      <c r="AL667">
        <v>42</v>
      </c>
      <c r="AM667">
        <f t="shared" si="556"/>
        <v>2334.6507017433601</v>
      </c>
      <c r="AN667">
        <f t="shared" si="557"/>
        <v>543.06639375990835</v>
      </c>
      <c r="AO667">
        <f t="shared" si="558"/>
        <v>2.059746468422567</v>
      </c>
      <c r="AQ667">
        <f t="shared" si="559"/>
        <v>3.018959053800993E-5</v>
      </c>
      <c r="AR667">
        <f t="shared" si="560"/>
        <v>-0.54945054779178071</v>
      </c>
      <c r="AT667">
        <f t="shared" si="561"/>
        <v>-64.044995684821828</v>
      </c>
      <c r="AU667">
        <f t="shared" si="562"/>
        <v>-1.1016680319303485</v>
      </c>
      <c r="AV667">
        <f t="shared" si="580"/>
        <v>-3.1243928804971652</v>
      </c>
      <c r="AW667">
        <f t="shared" si="581"/>
        <v>546.60895121725741</v>
      </c>
      <c r="AX667">
        <f t="shared" si="582"/>
        <v>-431.79144586435939</v>
      </c>
      <c r="AY667">
        <f t="shared" si="590"/>
        <v>-0.6685801954034698</v>
      </c>
      <c r="BA667">
        <f t="shared" si="572"/>
        <v>9.1955512658242936E-2</v>
      </c>
      <c r="BB667">
        <f t="shared" si="583"/>
        <v>-20.728444600885361</v>
      </c>
      <c r="BC667">
        <f t="shared" si="584"/>
        <v>-2.4558126850936954</v>
      </c>
      <c r="BD667">
        <f t="shared" si="573"/>
        <v>-320.70770229134104</v>
      </c>
      <c r="BF667">
        <f t="shared" si="574"/>
        <v>-89.83650864878723</v>
      </c>
      <c r="BG667">
        <f t="shared" si="575"/>
        <v>-231.45596433383207</v>
      </c>
      <c r="BH667">
        <f t="shared" si="585"/>
        <v>-51.455964333832071</v>
      </c>
      <c r="BI667">
        <f t="shared" si="586"/>
        <v>-51.455964333832071</v>
      </c>
      <c r="BJ667">
        <f t="shared" si="576"/>
        <v>0</v>
      </c>
      <c r="BK667">
        <f t="shared" si="587"/>
        <v>0</v>
      </c>
      <c r="BM667">
        <f t="shared" si="588"/>
        <v>-69.108064047901863</v>
      </c>
      <c r="BN667">
        <f t="shared" si="577"/>
        <v>-90.748262042491049</v>
      </c>
      <c r="BQ667" s="56">
        <f t="shared" si="589"/>
        <v>-3.826483800600224</v>
      </c>
    </row>
    <row r="668" spans="1:69" x14ac:dyDescent="0.25">
      <c r="A668">
        <f t="shared" si="563"/>
        <v>9200000</v>
      </c>
      <c r="B668">
        <f t="shared" si="578"/>
        <v>9200</v>
      </c>
      <c r="C668">
        <f t="shared" si="539"/>
        <v>76.309554823953903</v>
      </c>
      <c r="D668">
        <f t="shared" si="540"/>
        <v>1.5576914328412954</v>
      </c>
      <c r="F668">
        <f t="shared" si="541"/>
        <v>3.0281637535034848E-7</v>
      </c>
      <c r="G668">
        <f t="shared" si="542"/>
        <v>1.8719187319219657E-4</v>
      </c>
      <c r="H668">
        <f t="shared" si="564"/>
        <v>-3.1414054581268078</v>
      </c>
      <c r="J668">
        <f t="shared" si="565"/>
        <v>15</v>
      </c>
      <c r="M668">
        <f t="shared" si="543"/>
        <v>1.3828497486685119E-4</v>
      </c>
      <c r="N668">
        <f t="shared" si="566"/>
        <v>-1.5707963250000001</v>
      </c>
      <c r="O668">
        <f t="shared" si="544"/>
        <v>2672.9174791639239</v>
      </c>
      <c r="P668">
        <f t="shared" si="567"/>
        <v>1.5704222037510229</v>
      </c>
      <c r="Q668">
        <f t="shared" si="545"/>
        <v>2360.3064157972326</v>
      </c>
      <c r="R668">
        <f t="shared" si="568"/>
        <v>1.5703726529772839</v>
      </c>
      <c r="S668">
        <f t="shared" si="546"/>
        <v>1.4040377542559507E-2</v>
      </c>
      <c r="T668">
        <f t="shared" si="569"/>
        <v>-1.5567554879096546</v>
      </c>
      <c r="U668">
        <f t="shared" si="547"/>
        <v>1.7331764776598153E-2</v>
      </c>
      <c r="V668">
        <f t="shared" si="570"/>
        <v>-1.5534636941859772</v>
      </c>
      <c r="X668">
        <f t="shared" si="548"/>
        <v>-82.663999179404442</v>
      </c>
      <c r="Y668">
        <f t="shared" si="549"/>
        <v>-178.98827259400124</v>
      </c>
      <c r="Z668">
        <f t="shared" si="579"/>
        <v>1.0117274059987551</v>
      </c>
      <c r="AC668">
        <v>1</v>
      </c>
      <c r="AD668">
        <f t="shared" si="550"/>
        <v>2672.9172921024001</v>
      </c>
      <c r="AE668">
        <f t="shared" si="551"/>
        <v>-23.17631980023798</v>
      </c>
      <c r="AF668">
        <f t="shared" si="552"/>
        <v>0.401746868082</v>
      </c>
      <c r="AG668">
        <f t="shared" si="553"/>
        <v>1.9554319253776582</v>
      </c>
      <c r="AH668">
        <f t="shared" si="554"/>
        <v>-115.29577286136663</v>
      </c>
      <c r="AJ668">
        <f t="shared" si="571"/>
        <v>18000</v>
      </c>
      <c r="AK668">
        <f t="shared" si="555"/>
        <v>1281890.43835776</v>
      </c>
      <c r="AL668">
        <v>43</v>
      </c>
      <c r="AM668">
        <f t="shared" si="556"/>
        <v>2360.3062039603201</v>
      </c>
      <c r="AN668">
        <f t="shared" si="557"/>
        <v>543.06214150413587</v>
      </c>
      <c r="AO668">
        <f t="shared" si="558"/>
        <v>2.2673634783903704</v>
      </c>
      <c r="AQ668">
        <f t="shared" si="559"/>
        <v>2.9536861916538098E-5</v>
      </c>
      <c r="AR668">
        <f t="shared" si="560"/>
        <v>-0.54347825926430093</v>
      </c>
      <c r="AT668">
        <f t="shared" si="561"/>
        <v>-62.660688177905001</v>
      </c>
      <c r="AU668">
        <f t="shared" si="562"/>
        <v>-1.0661402142366567</v>
      </c>
      <c r="AV668">
        <f t="shared" si="580"/>
        <v>-3.1245797961987138</v>
      </c>
      <c r="AW668">
        <f t="shared" si="581"/>
        <v>546.66104010931997</v>
      </c>
      <c r="AX668">
        <f t="shared" si="582"/>
        <v>-426.866354419922</v>
      </c>
      <c r="AY668">
        <f t="shared" si="590"/>
        <v>-0.66296146220596308</v>
      </c>
      <c r="BA668">
        <f t="shared" si="572"/>
        <v>9.0356930691007156E-2</v>
      </c>
      <c r="BB668">
        <f t="shared" si="583"/>
        <v>-20.880770598547983</v>
      </c>
      <c r="BC668">
        <f t="shared" si="584"/>
        <v>-2.4616183339927509</v>
      </c>
      <c r="BD668">
        <f t="shared" si="573"/>
        <v>-321.04034147097178</v>
      </c>
      <c r="BF668">
        <f t="shared" si="574"/>
        <v>-90.083779883437273</v>
      </c>
      <c r="BG668">
        <f t="shared" si="575"/>
        <v>-231.78047117919229</v>
      </c>
      <c r="BH668">
        <f t="shared" si="585"/>
        <v>-51.78047117919229</v>
      </c>
      <c r="BI668">
        <f t="shared" si="586"/>
        <v>-51.78047117919229</v>
      </c>
      <c r="BJ668">
        <f t="shared" si="576"/>
        <v>0</v>
      </c>
      <c r="BK668">
        <f t="shared" si="587"/>
        <v>0</v>
      </c>
      <c r="BM668">
        <f t="shared" si="588"/>
        <v>-69.203009284889291</v>
      </c>
      <c r="BN668">
        <f t="shared" si="577"/>
        <v>-90.740129708220508</v>
      </c>
      <c r="BQ668" s="56">
        <f t="shared" si="589"/>
        <v>-3.9788097982628456</v>
      </c>
    </row>
    <row r="669" spans="1:69" x14ac:dyDescent="0.25">
      <c r="A669">
        <f t="shared" si="563"/>
        <v>9300000</v>
      </c>
      <c r="B669">
        <f t="shared" si="578"/>
        <v>9300</v>
      </c>
      <c r="C669">
        <f t="shared" si="539"/>
        <v>77.13886483207925</v>
      </c>
      <c r="D669">
        <f t="shared" si="540"/>
        <v>1.5578323298058845</v>
      </c>
      <c r="F669">
        <f t="shared" si="541"/>
        <v>2.9633920513666098E-7</v>
      </c>
      <c r="G669">
        <f t="shared" si="542"/>
        <v>1.8517905619119332E-4</v>
      </c>
      <c r="H669">
        <f t="shared" si="564"/>
        <v>-3.1414074709438089</v>
      </c>
      <c r="J669">
        <f t="shared" si="565"/>
        <v>15</v>
      </c>
      <c r="M669">
        <f t="shared" si="543"/>
        <v>1.3679803965322915E-4</v>
      </c>
      <c r="N669">
        <f t="shared" si="566"/>
        <v>-1.5707963250000001</v>
      </c>
      <c r="O669">
        <f t="shared" si="544"/>
        <v>2701.9709259797096</v>
      </c>
      <c r="P669">
        <f t="shared" si="567"/>
        <v>1.5704262265790823</v>
      </c>
      <c r="Q669">
        <f t="shared" si="545"/>
        <v>2385.9619157363759</v>
      </c>
      <c r="R669">
        <f t="shared" si="568"/>
        <v>1.5703772086091949</v>
      </c>
      <c r="S669">
        <f t="shared" si="546"/>
        <v>1.3889435024220693E-2</v>
      </c>
      <c r="T669">
        <f t="shared" si="569"/>
        <v>-1.5569064451485897</v>
      </c>
      <c r="U669">
        <f t="shared" si="547"/>
        <v>1.7145456796670015E-2</v>
      </c>
      <c r="V669">
        <f t="shared" si="570"/>
        <v>-1.5536500298548899</v>
      </c>
      <c r="X669">
        <f t="shared" si="548"/>
        <v>-82.851773846185978</v>
      </c>
      <c r="Y669">
        <f t="shared" si="549"/>
        <v>-178.99914906904391</v>
      </c>
      <c r="Z669">
        <f t="shared" si="579"/>
        <v>1.0008509309560907</v>
      </c>
      <c r="AC669">
        <v>1</v>
      </c>
      <c r="AD669">
        <f t="shared" si="550"/>
        <v>2701.9707409296002</v>
      </c>
      <c r="AE669">
        <f t="shared" si="551"/>
        <v>-23.682891062412367</v>
      </c>
      <c r="AF669">
        <f t="shared" si="552"/>
        <v>0.40611368186550001</v>
      </c>
      <c r="AG669">
        <f t="shared" si="553"/>
        <v>1.9136180090517312</v>
      </c>
      <c r="AH669">
        <f t="shared" si="554"/>
        <v>-114.05675039232788</v>
      </c>
      <c r="AJ669">
        <f t="shared" si="571"/>
        <v>18000</v>
      </c>
      <c r="AK669">
        <f t="shared" si="555"/>
        <v>1295824.03007904</v>
      </c>
      <c r="AL669">
        <v>44</v>
      </c>
      <c r="AM669">
        <f t="shared" si="556"/>
        <v>2385.9617061772801</v>
      </c>
      <c r="AN669">
        <f t="shared" si="557"/>
        <v>543.05788906616476</v>
      </c>
      <c r="AO669">
        <f t="shared" si="558"/>
        <v>2.4705120386677644</v>
      </c>
      <c r="AQ669">
        <f t="shared" si="559"/>
        <v>2.8905075647748077E-5</v>
      </c>
      <c r="AR669">
        <f t="shared" si="560"/>
        <v>-0.53763440704811416</v>
      </c>
      <c r="AT669">
        <f t="shared" si="561"/>
        <v>-61.320778053740653</v>
      </c>
      <c r="AU669">
        <f t="shared" si="562"/>
        <v>-1.0321237026113468</v>
      </c>
      <c r="AV669">
        <f t="shared" si="580"/>
        <v>-3.1247626934247923</v>
      </c>
      <c r="AW669">
        <f t="shared" si="581"/>
        <v>546.70989695911362</v>
      </c>
      <c r="AX669">
        <f t="shared" si="582"/>
        <v>-422.04715986640133</v>
      </c>
      <c r="AY669">
        <f t="shared" si="590"/>
        <v>-0.65741831389410232</v>
      </c>
      <c r="BA669">
        <f t="shared" si="572"/>
        <v>8.8797944513001062E-2</v>
      </c>
      <c r="BB669">
        <f t="shared" si="583"/>
        <v>-21.031941742309307</v>
      </c>
      <c r="BC669">
        <f t="shared" si="584"/>
        <v>-2.4673443795306902</v>
      </c>
      <c r="BD669">
        <f t="shared" si="573"/>
        <v>-321.3684197139703</v>
      </c>
      <c r="BF669">
        <f t="shared" si="574"/>
        <v>-90.328869457361691</v>
      </c>
      <c r="BG669">
        <f t="shared" si="575"/>
        <v>-232.10059194668364</v>
      </c>
      <c r="BH669">
        <f t="shared" si="585"/>
        <v>-52.100591946683636</v>
      </c>
      <c r="BI669">
        <f t="shared" si="586"/>
        <v>-52.100591946683636</v>
      </c>
      <c r="BJ669">
        <f t="shared" si="576"/>
        <v>0</v>
      </c>
      <c r="BK669">
        <f t="shared" si="587"/>
        <v>0</v>
      </c>
      <c r="BM669">
        <f t="shared" si="588"/>
        <v>-69.296927715052391</v>
      </c>
      <c r="BN669">
        <f t="shared" si="577"/>
        <v>-90.732172232713353</v>
      </c>
      <c r="BQ669" s="56">
        <f t="shared" si="589"/>
        <v>-4.1299809420241713</v>
      </c>
    </row>
    <row r="670" spans="1:69" x14ac:dyDescent="0.25">
      <c r="A670">
        <f t="shared" si="563"/>
        <v>9400000</v>
      </c>
      <c r="B670">
        <f t="shared" si="578"/>
        <v>9400</v>
      </c>
      <c r="C670">
        <f t="shared" si="539"/>
        <v>77.968176338985202</v>
      </c>
      <c r="D670">
        <f t="shared" si="540"/>
        <v>1.557970229461195</v>
      </c>
      <c r="F670">
        <f t="shared" si="541"/>
        <v>2.9006765165099866E-7</v>
      </c>
      <c r="G670">
        <f t="shared" si="542"/>
        <v>1.8320906512026781E-4</v>
      </c>
      <c r="H670">
        <f t="shared" si="564"/>
        <v>-3.1414094409348801</v>
      </c>
      <c r="J670">
        <f t="shared" si="565"/>
        <v>15</v>
      </c>
      <c r="M670">
        <f t="shared" si="543"/>
        <v>1.3534274135904587E-4</v>
      </c>
      <c r="N670">
        <f t="shared" si="566"/>
        <v>-1.5707963250000001</v>
      </c>
      <c r="O670">
        <f t="shared" si="544"/>
        <v>2731.024372838292</v>
      </c>
      <c r="P670">
        <f t="shared" si="567"/>
        <v>1.5704301638150671</v>
      </c>
      <c r="Q670">
        <f t="shared" si="545"/>
        <v>2411.6174157239843</v>
      </c>
      <c r="R670">
        <f t="shared" si="568"/>
        <v>1.5703816673127844</v>
      </c>
      <c r="S670">
        <f t="shared" si="546"/>
        <v>1.3741703129299178E-2</v>
      </c>
      <c r="T670">
        <f t="shared" si="569"/>
        <v>-1.557054191144454</v>
      </c>
      <c r="U670">
        <f t="shared" si="547"/>
        <v>1.6963111086842668E-2</v>
      </c>
      <c r="V670">
        <f t="shared" si="570"/>
        <v>-1.5538324020882532</v>
      </c>
      <c r="X670">
        <f t="shared" si="548"/>
        <v>-83.037540824382475</v>
      </c>
      <c r="Y670">
        <f t="shared" si="549"/>
        <v>-179.00979420235697</v>
      </c>
      <c r="Z670">
        <f t="shared" si="579"/>
        <v>0.99020579764302852</v>
      </c>
      <c r="AC670">
        <v>1</v>
      </c>
      <c r="AD670">
        <f t="shared" si="550"/>
        <v>2731.0241897568003</v>
      </c>
      <c r="AE670">
        <f t="shared" si="551"/>
        <v>-24.194938770664315</v>
      </c>
      <c r="AF670">
        <f t="shared" si="552"/>
        <v>0.41048049564900002</v>
      </c>
      <c r="AG670">
        <f t="shared" si="553"/>
        <v>1.8731309562713929</v>
      </c>
      <c r="AH670">
        <f t="shared" si="554"/>
        <v>-112.84406759250875</v>
      </c>
      <c r="AJ670">
        <f t="shared" si="571"/>
        <v>18000</v>
      </c>
      <c r="AK670">
        <f t="shared" si="555"/>
        <v>1309757.6218003198</v>
      </c>
      <c r="AL670">
        <v>45</v>
      </c>
      <c r="AM670">
        <f t="shared" si="556"/>
        <v>2411.6172083942402</v>
      </c>
      <c r="AN670">
        <f t="shared" si="557"/>
        <v>543.05363934840045</v>
      </c>
      <c r="AO670">
        <f t="shared" si="558"/>
        <v>2.6693348132825481</v>
      </c>
      <c r="AQ670">
        <f t="shared" si="559"/>
        <v>2.8293345325109367E-5</v>
      </c>
      <c r="AR670">
        <f t="shared" si="560"/>
        <v>-0.53191489211205611</v>
      </c>
      <c r="AT670">
        <f t="shared" si="561"/>
        <v>-60.023387041813876</v>
      </c>
      <c r="AU670">
        <f t="shared" si="562"/>
        <v>-0.99953898668913532</v>
      </c>
      <c r="AV670">
        <f t="shared" si="580"/>
        <v>-3.1249417003736677</v>
      </c>
      <c r="AW670">
        <f t="shared" si="581"/>
        <v>546.75569165066088</v>
      </c>
      <c r="AX670">
        <f t="shared" si="582"/>
        <v>-417.3304850146468</v>
      </c>
      <c r="AY670">
        <f t="shared" si="590"/>
        <v>-0.65194951056260564</v>
      </c>
      <c r="BA670">
        <f t="shared" si="572"/>
        <v>8.7277287356125416E-2</v>
      </c>
      <c r="BB670">
        <f t="shared" si="583"/>
        <v>-21.181975208195809</v>
      </c>
      <c r="BC670">
        <f t="shared" si="584"/>
        <v>-2.4729921898110621</v>
      </c>
      <c r="BD670">
        <f t="shared" si="573"/>
        <v>-321.69201540689596</v>
      </c>
      <c r="BF670">
        <f t="shared" si="574"/>
        <v>-90.571816522107227</v>
      </c>
      <c r="BG670">
        <f t="shared" si="575"/>
        <v>-232.41639944352889</v>
      </c>
      <c r="BH670">
        <f t="shared" si="585"/>
        <v>-52.416399443528888</v>
      </c>
      <c r="BI670">
        <f t="shared" si="586"/>
        <v>-52.416399443528888</v>
      </c>
      <c r="BJ670">
        <f t="shared" si="576"/>
        <v>0</v>
      </c>
      <c r="BK670">
        <f t="shared" si="587"/>
        <v>0</v>
      </c>
      <c r="BM670">
        <f t="shared" si="588"/>
        <v>-69.389841313911433</v>
      </c>
      <c r="BN670">
        <f t="shared" si="577"/>
        <v>-90.724384036632912</v>
      </c>
      <c r="BQ670" s="56">
        <f t="shared" si="589"/>
        <v>-4.2800144079106692</v>
      </c>
    </row>
    <row r="671" spans="1:69" x14ac:dyDescent="0.25">
      <c r="A671">
        <f t="shared" si="563"/>
        <v>9500000</v>
      </c>
      <c r="B671">
        <f t="shared" si="578"/>
        <v>9500</v>
      </c>
      <c r="C671">
        <f t="shared" si="539"/>
        <v>78.7974892973496</v>
      </c>
      <c r="D671">
        <f t="shared" si="540"/>
        <v>1.5581052264384443</v>
      </c>
      <c r="F671">
        <f t="shared" si="541"/>
        <v>2.8399310307237163E-7</v>
      </c>
      <c r="G671">
        <f t="shared" si="542"/>
        <v>1.8128054758011805E-4</v>
      </c>
      <c r="H671">
        <f t="shared" si="564"/>
        <v>-3.1414113694524199</v>
      </c>
      <c r="J671">
        <f t="shared" si="565"/>
        <v>15</v>
      </c>
      <c r="M671">
        <f t="shared" si="543"/>
        <v>1.3391808092368747E-4</v>
      </c>
      <c r="N671">
        <f t="shared" si="566"/>
        <v>-1.5707963250000001</v>
      </c>
      <c r="O671">
        <f t="shared" si="544"/>
        <v>2760.0778197383183</v>
      </c>
      <c r="P671">
        <f t="shared" si="567"/>
        <v>1.5704340181618839</v>
      </c>
      <c r="Q671">
        <f t="shared" si="545"/>
        <v>2437.2729157585259</v>
      </c>
      <c r="R671">
        <f t="shared" si="568"/>
        <v>1.5703860321489458</v>
      </c>
      <c r="S671">
        <f t="shared" si="546"/>
        <v>1.3597080507785129E-2</v>
      </c>
      <c r="T671">
        <f t="shared" si="569"/>
        <v>-1.5571988272795207</v>
      </c>
      <c r="U671">
        <f t="shared" si="547"/>
        <v>1.6784602594444389E-2</v>
      </c>
      <c r="V671">
        <f t="shared" si="570"/>
        <v>-1.5540109359994148</v>
      </c>
      <c r="X671">
        <f t="shared" si="548"/>
        <v>-83.221342586123342</v>
      </c>
      <c r="Y671">
        <f t="shared" si="549"/>
        <v>-179.02021529645947</v>
      </c>
      <c r="Z671">
        <f t="shared" si="579"/>
        <v>0.97978470354053115</v>
      </c>
      <c r="AC671">
        <v>1</v>
      </c>
      <c r="AD671">
        <f t="shared" si="550"/>
        <v>2760.0776385839999</v>
      </c>
      <c r="AE671">
        <f t="shared" si="551"/>
        <v>-24.712462924993826</v>
      </c>
      <c r="AF671">
        <f t="shared" si="552"/>
        <v>0.41484730943250003</v>
      </c>
      <c r="AG671">
        <f t="shared" si="553"/>
        <v>1.8339152205698321</v>
      </c>
      <c r="AH671">
        <f t="shared" si="554"/>
        <v>-111.65689361533796</v>
      </c>
      <c r="AJ671">
        <f t="shared" si="571"/>
        <v>18000</v>
      </c>
      <c r="AK671">
        <f t="shared" si="555"/>
        <v>1323691.2135216</v>
      </c>
      <c r="AL671">
        <v>46</v>
      </c>
      <c r="AM671">
        <f t="shared" si="556"/>
        <v>2437.2727106112002</v>
      </c>
      <c r="AN671">
        <f t="shared" si="557"/>
        <v>543.04939501027343</v>
      </c>
      <c r="AO671">
        <f t="shared" si="558"/>
        <v>2.8639684595336545</v>
      </c>
      <c r="AQ671">
        <f t="shared" si="559"/>
        <v>2.7700830948197144E-5</v>
      </c>
      <c r="AR671">
        <f t="shared" si="560"/>
        <v>-0.52631578801574574</v>
      </c>
      <c r="AT671">
        <f t="shared" si="561"/>
        <v>-58.766735149571389</v>
      </c>
      <c r="AU671">
        <f t="shared" si="562"/>
        <v>-0.96831152320252067</v>
      </c>
      <c r="AV671">
        <f t="shared" si="580"/>
        <v>-3.1251169398484251</v>
      </c>
      <c r="AW671">
        <f t="shared" si="581"/>
        <v>546.798584133791</v>
      </c>
      <c r="AX671">
        <f t="shared" si="582"/>
        <v>-412.71309469058906</v>
      </c>
      <c r="AY671">
        <f t="shared" si="590"/>
        <v>-0.64655383154586066</v>
      </c>
      <c r="BA671">
        <f t="shared" si="572"/>
        <v>8.5793742723613259E-2</v>
      </c>
      <c r="BB671">
        <f t="shared" si="583"/>
        <v>-21.330887716150162</v>
      </c>
      <c r="BC671">
        <f t="shared" si="584"/>
        <v>-2.4785631083025645</v>
      </c>
      <c r="BD671">
        <f t="shared" si="573"/>
        <v>-322.01120552483519</v>
      </c>
      <c r="BF671">
        <f t="shared" si="574"/>
        <v>-90.812659075012391</v>
      </c>
      <c r="BG671">
        <f t="shared" si="575"/>
        <v>-232.72796530033173</v>
      </c>
      <c r="BH671">
        <f t="shared" si="585"/>
        <v>-52.727965300331732</v>
      </c>
      <c r="BI671">
        <f t="shared" si="586"/>
        <v>-52.727965300331732</v>
      </c>
      <c r="BJ671">
        <f t="shared" si="576"/>
        <v>0</v>
      </c>
      <c r="BK671">
        <f t="shared" si="587"/>
        <v>0</v>
      </c>
      <c r="BM671">
        <f t="shared" si="588"/>
        <v>-69.481771358862233</v>
      </c>
      <c r="BN671">
        <f t="shared" si="577"/>
        <v>-90.716759775496541</v>
      </c>
      <c r="BQ671" s="56">
        <f t="shared" si="589"/>
        <v>-4.4289269158650253</v>
      </c>
    </row>
    <row r="672" spans="1:69" x14ac:dyDescent="0.25">
      <c r="A672">
        <f t="shared" si="563"/>
        <v>9600000</v>
      </c>
      <c r="B672">
        <f t="shared" si="578"/>
        <v>9600</v>
      </c>
      <c r="C672">
        <f t="shared" si="539"/>
        <v>79.626803661821626</v>
      </c>
      <c r="D672">
        <f t="shared" si="540"/>
        <v>1.5582374114269413</v>
      </c>
      <c r="F672">
        <f t="shared" si="541"/>
        <v>2.7810739376377274E-7</v>
      </c>
      <c r="G672">
        <f t="shared" si="542"/>
        <v>1.7939220752149029E-4</v>
      </c>
      <c r="H672">
        <f t="shared" si="564"/>
        <v>-3.1414132577924789</v>
      </c>
      <c r="J672">
        <f t="shared" si="565"/>
        <v>15</v>
      </c>
      <c r="M672">
        <f t="shared" si="543"/>
        <v>1.3252310091406574E-4</v>
      </c>
      <c r="N672">
        <f t="shared" si="566"/>
        <v>-1.5707963250000001</v>
      </c>
      <c r="O672">
        <f t="shared" si="544"/>
        <v>2789.1312666784943</v>
      </c>
      <c r="P672">
        <f t="shared" si="567"/>
        <v>1.5704377922098194</v>
      </c>
      <c r="Q672">
        <f t="shared" si="545"/>
        <v>2462.9284158385349</v>
      </c>
      <c r="R672">
        <f t="shared" si="568"/>
        <v>1.5703903060510356</v>
      </c>
      <c r="S672">
        <f t="shared" si="546"/>
        <v>1.3455470030633016E-2</v>
      </c>
      <c r="T672">
        <f t="shared" si="569"/>
        <v>-1.5573404507131043</v>
      </c>
      <c r="U672">
        <f t="shared" si="547"/>
        <v>1.6609811473659579E-2</v>
      </c>
      <c r="V672">
        <f t="shared" si="570"/>
        <v>-1.5541857514911142</v>
      </c>
      <c r="X672">
        <f t="shared" si="548"/>
        <v>-83.40322027010285</v>
      </c>
      <c r="Y672">
        <f t="shared" si="549"/>
        <v>-179.03041934975309</v>
      </c>
      <c r="Z672">
        <f t="shared" si="579"/>
        <v>0.96958065024691109</v>
      </c>
      <c r="AC672">
        <v>1</v>
      </c>
      <c r="AD672">
        <f t="shared" si="550"/>
        <v>2789.1310874112</v>
      </c>
      <c r="AE672">
        <f t="shared" si="551"/>
        <v>-25.235463525400899</v>
      </c>
      <c r="AF672">
        <f t="shared" si="552"/>
        <v>0.41921412321599993</v>
      </c>
      <c r="AG672">
        <f t="shared" si="553"/>
        <v>1.7959181317631074</v>
      </c>
      <c r="AH672">
        <f t="shared" si="554"/>
        <v>-110.49443218507032</v>
      </c>
      <c r="AJ672">
        <f t="shared" si="571"/>
        <v>18000</v>
      </c>
      <c r="AK672">
        <f t="shared" si="555"/>
        <v>1337624.80524288</v>
      </c>
      <c r="AL672">
        <v>47</v>
      </c>
      <c r="AM672">
        <f t="shared" si="556"/>
        <v>2462.9282128281602</v>
      </c>
      <c r="AN672">
        <f t="shared" si="557"/>
        <v>543.04515848711969</v>
      </c>
      <c r="AO672">
        <f t="shared" si="558"/>
        <v>3.054543940708645</v>
      </c>
      <c r="AQ672">
        <f t="shared" si="559"/>
        <v>2.7126736037525129E-5</v>
      </c>
      <c r="AR672">
        <f t="shared" si="560"/>
        <v>-0.52083333192048253</v>
      </c>
      <c r="AT672">
        <f t="shared" si="561"/>
        <v>-57.549134556214874</v>
      </c>
      <c r="AU672">
        <f t="shared" si="562"/>
        <v>-0.9383713777180881</v>
      </c>
      <c r="AV672">
        <f t="shared" si="580"/>
        <v>-3.1252885295378015</v>
      </c>
      <c r="AW672">
        <f t="shared" si="581"/>
        <v>546.83872508487548</v>
      </c>
      <c r="AX672">
        <f t="shared" si="582"/>
        <v>-408.19188835201152</v>
      </c>
      <c r="AY672">
        <f t="shared" si="590"/>
        <v>-0.64123007531922982</v>
      </c>
      <c r="BA672">
        <f t="shared" si="572"/>
        <v>8.4346141952489684E-2</v>
      </c>
      <c r="BB672">
        <f t="shared" si="583"/>
        <v>-21.478695550664625</v>
      </c>
      <c r="BC672">
        <f t="shared" si="584"/>
        <v>-2.4840584542185717</v>
      </c>
      <c r="BD672">
        <f t="shared" si="573"/>
        <v>-322.32606565314666</v>
      </c>
      <c r="BF672">
        <f t="shared" si="574"/>
        <v>-91.051434009106785</v>
      </c>
      <c r="BG672">
        <f t="shared" si="575"/>
        <v>-233.03535998059445</v>
      </c>
      <c r="BH672">
        <f t="shared" si="585"/>
        <v>-53.03535998059445</v>
      </c>
      <c r="BI672">
        <f t="shared" si="586"/>
        <v>-53.03535998059445</v>
      </c>
      <c r="BJ672">
        <f t="shared" si="576"/>
        <v>0</v>
      </c>
      <c r="BK672">
        <f t="shared" si="587"/>
        <v>0</v>
      </c>
      <c r="BM672">
        <f t="shared" si="588"/>
        <v>-69.57273845844216</v>
      </c>
      <c r="BN672">
        <f t="shared" si="577"/>
        <v>-90.709294327447822</v>
      </c>
      <c r="BQ672" s="56">
        <f t="shared" si="589"/>
        <v>-4.5767347503794884</v>
      </c>
    </row>
    <row r="673" spans="1:69" x14ac:dyDescent="0.25">
      <c r="A673">
        <f t="shared" si="563"/>
        <v>9700000</v>
      </c>
      <c r="B673">
        <f t="shared" si="578"/>
        <v>9700</v>
      </c>
      <c r="C673">
        <f t="shared" si="539"/>
        <v>80.456119388920243</v>
      </c>
      <c r="D673">
        <f t="shared" si="540"/>
        <v>1.5583668713772127</v>
      </c>
      <c r="F673">
        <f t="shared" si="541"/>
        <v>2.7240277681642339E-7</v>
      </c>
      <c r="G673">
        <f t="shared" si="542"/>
        <v>1.7754280234053279E-4</v>
      </c>
      <c r="H673">
        <f t="shared" si="564"/>
        <v>-3.1414151071976595</v>
      </c>
      <c r="J673">
        <f t="shared" si="565"/>
        <v>15</v>
      </c>
      <c r="M673">
        <f t="shared" si="543"/>
        <v>1.3115688337886919E-4</v>
      </c>
      <c r="N673">
        <f t="shared" si="566"/>
        <v>-1.5707963250000001</v>
      </c>
      <c r="O673">
        <f t="shared" si="544"/>
        <v>2818.184713657578</v>
      </c>
      <c r="P673">
        <f t="shared" si="567"/>
        <v>1.5704414884423434</v>
      </c>
      <c r="Q673">
        <f t="shared" si="545"/>
        <v>2488.5839159626048</v>
      </c>
      <c r="R673">
        <f t="shared" si="568"/>
        <v>1.5703944918314472</v>
      </c>
      <c r="S673">
        <f t="shared" si="546"/>
        <v>1.3316778572305005E-2</v>
      </c>
      <c r="T673">
        <f t="shared" si="569"/>
        <v>-1.5574791545991586</v>
      </c>
      <c r="U673">
        <f t="shared" si="547"/>
        <v>1.6438622817357605E-2</v>
      </c>
      <c r="V673">
        <f t="shared" si="570"/>
        <v>-1.5543569635239227</v>
      </c>
      <c r="X673">
        <f t="shared" si="548"/>
        <v>-83.583213736813008</v>
      </c>
      <c r="Y673">
        <f t="shared" si="549"/>
        <v>-179.04041307218895</v>
      </c>
      <c r="Z673">
        <f t="shared" si="579"/>
        <v>0.9595869278110456</v>
      </c>
      <c r="AC673">
        <v>1</v>
      </c>
      <c r="AD673">
        <f t="shared" si="550"/>
        <v>2818.1845362384001</v>
      </c>
      <c r="AE673">
        <f t="shared" si="551"/>
        <v>-25.763940571885531</v>
      </c>
      <c r="AF673">
        <f t="shared" si="552"/>
        <v>0.42358093699949995</v>
      </c>
      <c r="AG673">
        <f t="shared" si="553"/>
        <v>1.7590897190733539</v>
      </c>
      <c r="AH673">
        <f t="shared" si="554"/>
        <v>-109.35591981769329</v>
      </c>
      <c r="AJ673">
        <f t="shared" si="571"/>
        <v>18000</v>
      </c>
      <c r="AK673">
        <f t="shared" si="555"/>
        <v>1351558.39696416</v>
      </c>
      <c r="AL673">
        <v>48</v>
      </c>
      <c r="AM673">
        <f t="shared" si="556"/>
        <v>2488.5837150451202</v>
      </c>
      <c r="AN673">
        <f t="shared" si="557"/>
        <v>543.04093200751458</v>
      </c>
      <c r="AO673">
        <f t="shared" si="558"/>
        <v>3.2411868194735254</v>
      </c>
      <c r="AQ673">
        <f t="shared" si="559"/>
        <v>2.65703049565036E-5</v>
      </c>
      <c r="AR673">
        <f t="shared" si="560"/>
        <v>-0.51546391615616982</v>
      </c>
      <c r="AT673">
        <f t="shared" si="561"/>
        <v>-56.368983944538009</v>
      </c>
      <c r="AU673">
        <f t="shared" si="562"/>
        <v>-0.90965289560196261</v>
      </c>
      <c r="AV673">
        <f t="shared" si="580"/>
        <v>-3.1254565822796656</v>
      </c>
      <c r="AW673">
        <f t="shared" si="581"/>
        <v>546.87625651792609</v>
      </c>
      <c r="AX673">
        <f t="shared" si="582"/>
        <v>-403.76389316095458</v>
      </c>
      <c r="AY673">
        <f t="shared" si="590"/>
        <v>-0.63597705938813087</v>
      </c>
      <c r="BA673">
        <f t="shared" si="572"/>
        <v>8.2933361919167711E-2</v>
      </c>
      <c r="BB673">
        <f t="shared" si="583"/>
        <v>-21.625414580126634</v>
      </c>
      <c r="BC673">
        <f t="shared" si="584"/>
        <v>-2.4894795228915347</v>
      </c>
      <c r="BD673">
        <f t="shared" si="573"/>
        <v>-322.63667000891292</v>
      </c>
      <c r="BF673">
        <f t="shared" si="574"/>
        <v>-91.288177160204867</v>
      </c>
      <c r="BG673">
        <f t="shared" si="575"/>
        <v>-233.33865279069727</v>
      </c>
      <c r="BH673">
        <f t="shared" si="585"/>
        <v>-53.338652790697267</v>
      </c>
      <c r="BI673">
        <f t="shared" si="586"/>
        <v>-53.338652790697267</v>
      </c>
      <c r="BJ673">
        <f t="shared" si="576"/>
        <v>0</v>
      </c>
      <c r="BK673">
        <f t="shared" si="587"/>
        <v>0</v>
      </c>
      <c r="BM673">
        <f t="shared" si="588"/>
        <v>-69.662762580078223</v>
      </c>
      <c r="BN673">
        <f t="shared" si="577"/>
        <v>-90.701982781784395</v>
      </c>
      <c r="BQ673" s="56">
        <f t="shared" si="589"/>
        <v>-4.7234537798414946</v>
      </c>
    </row>
    <row r="674" spans="1:69" x14ac:dyDescent="0.25">
      <c r="A674">
        <f t="shared" si="563"/>
        <v>9800000</v>
      </c>
      <c r="B674">
        <f t="shared" si="578"/>
        <v>9800</v>
      </c>
      <c r="C674">
        <f t="shared" si="539"/>
        <v>81.285436436938781</v>
      </c>
      <c r="D674">
        <f t="shared" si="540"/>
        <v>1.5584936896916985</v>
      </c>
      <c r="F674">
        <f t="shared" si="541"/>
        <v>2.66871898545052E-7</v>
      </c>
      <c r="G674">
        <f t="shared" si="542"/>
        <v>1.7573114015198519E-4</v>
      </c>
      <c r="H674">
        <f t="shared" si="564"/>
        <v>-3.1414169188598482</v>
      </c>
      <c r="J674">
        <f t="shared" si="565"/>
        <v>15</v>
      </c>
      <c r="M674">
        <f t="shared" si="543"/>
        <v>1.2981854783418684E-4</v>
      </c>
      <c r="N674">
        <f t="shared" si="566"/>
        <v>-1.5707963250000001</v>
      </c>
      <c r="O674">
        <f t="shared" si="544"/>
        <v>2847.2381606743784</v>
      </c>
      <c r="P674">
        <f t="shared" si="567"/>
        <v>1.5704451092415599</v>
      </c>
      <c r="Q674">
        <f t="shared" si="545"/>
        <v>2514.2394161293864</v>
      </c>
      <c r="R674">
        <f t="shared" si="568"/>
        <v>1.5703985921877823</v>
      </c>
      <c r="S674">
        <f t="shared" si="546"/>
        <v>1.3180916806619676E-2</v>
      </c>
      <c r="T674">
        <f t="shared" si="569"/>
        <v>-1.5576150282905599</v>
      </c>
      <c r="U674">
        <f t="shared" si="547"/>
        <v>1.6270926405324616E-2</v>
      </c>
      <c r="V674">
        <f t="shared" si="570"/>
        <v>-1.5545246823682579</v>
      </c>
      <c r="X674">
        <f t="shared" si="548"/>
        <v>-83.761361620946232</v>
      </c>
      <c r="Y674">
        <f t="shared" si="549"/>
        <v>-179.05020289997574</v>
      </c>
      <c r="Z674">
        <f t="shared" si="579"/>
        <v>0.94979710002425577</v>
      </c>
      <c r="AC674">
        <v>1</v>
      </c>
      <c r="AD674">
        <f t="shared" si="550"/>
        <v>2847.2379850656002</v>
      </c>
      <c r="AE674">
        <f t="shared" si="551"/>
        <v>-26.297894064447725</v>
      </c>
      <c r="AF674">
        <f t="shared" si="552"/>
        <v>0.42794775078299996</v>
      </c>
      <c r="AG674">
        <f t="shared" si="553"/>
        <v>1.7233825468118962</v>
      </c>
      <c r="AH674">
        <f t="shared" si="554"/>
        <v>-108.24062415055334</v>
      </c>
      <c r="AJ674">
        <f t="shared" si="571"/>
        <v>18000</v>
      </c>
      <c r="AK674">
        <f t="shared" si="555"/>
        <v>1365491.98868544</v>
      </c>
      <c r="AL674">
        <v>49</v>
      </c>
      <c r="AM674">
        <f t="shared" si="556"/>
        <v>2514.2392172620803</v>
      </c>
      <c r="AN674">
        <f t="shared" si="557"/>
        <v>543.03671760919326</v>
      </c>
      <c r="AO674">
        <f t="shared" si="558"/>
        <v>3.424017533313779</v>
      </c>
      <c r="AQ674">
        <f t="shared" si="559"/>
        <v>2.603082042370153E-5</v>
      </c>
      <c r="AR674">
        <f t="shared" si="560"/>
        <v>-0.51020408030455</v>
      </c>
      <c r="AT674">
        <f t="shared" si="561"/>
        <v>-55.224763235261939</v>
      </c>
      <c r="AU674">
        <f t="shared" si="562"/>
        <v>-0.88209439955888891</v>
      </c>
      <c r="AV674">
        <f t="shared" si="580"/>
        <v>-3.1256212063083719</v>
      </c>
      <c r="AW674">
        <f t="shared" si="581"/>
        <v>546.9113123502151</v>
      </c>
      <c r="AX674">
        <f t="shared" si="582"/>
        <v>-399.4262574793006</v>
      </c>
      <c r="AY674">
        <f t="shared" si="590"/>
        <v>-0.63079362016550689</v>
      </c>
      <c r="BA674">
        <f t="shared" si="572"/>
        <v>8.15543228781625E-2</v>
      </c>
      <c r="BB674">
        <f t="shared" si="583"/>
        <v>-21.77106027496972</v>
      </c>
      <c r="BC674">
        <f t="shared" si="584"/>
        <v>-2.4948275861428648</v>
      </c>
      <c r="BD674">
        <f t="shared" si="573"/>
        <v>-322.94309146213322</v>
      </c>
      <c r="BF674">
        <f t="shared" si="574"/>
        <v>-91.522923351380499</v>
      </c>
      <c r="BG674">
        <f t="shared" si="575"/>
        <v>-233.63791189032176</v>
      </c>
      <c r="BH674">
        <f t="shared" si="585"/>
        <v>-53.63791189032176</v>
      </c>
      <c r="BI674">
        <f t="shared" si="586"/>
        <v>-53.63791189032176</v>
      </c>
      <c r="BJ674">
        <f t="shared" si="576"/>
        <v>0</v>
      </c>
      <c r="BK674">
        <f t="shared" si="587"/>
        <v>0</v>
      </c>
      <c r="BM674">
        <f t="shared" si="588"/>
        <v>-69.751863076410785</v>
      </c>
      <c r="BN674">
        <f t="shared" si="577"/>
        <v>-90.694820428188521</v>
      </c>
      <c r="BQ674" s="56">
        <f t="shared" si="589"/>
        <v>-4.8690994746845861</v>
      </c>
    </row>
    <row r="675" spans="1:69" x14ac:dyDescent="0.25">
      <c r="A675">
        <f t="shared" si="563"/>
        <v>9900000</v>
      </c>
      <c r="B675">
        <f t="shared" si="578"/>
        <v>9900</v>
      </c>
      <c r="C675">
        <f t="shared" si="539"/>
        <v>82.114754765855437</v>
      </c>
      <c r="D675">
        <f t="shared" si="540"/>
        <v>1.5586179464038932</v>
      </c>
      <c r="F675">
        <f t="shared" si="541"/>
        <v>2.6150777477735082E-7</v>
      </c>
      <c r="G675">
        <f t="shared" si="542"/>
        <v>1.739560772276296E-4</v>
      </c>
      <c r="H675">
        <f t="shared" si="564"/>
        <v>-3.1414186939227724</v>
      </c>
      <c r="J675">
        <f t="shared" si="565"/>
        <v>15</v>
      </c>
      <c r="M675">
        <f t="shared" si="543"/>
        <v>1.2850724937121525E-4</v>
      </c>
      <c r="N675">
        <f t="shared" si="566"/>
        <v>-1.5707963250000001</v>
      </c>
      <c r="O675">
        <f t="shared" si="544"/>
        <v>2876.2916077277523</v>
      </c>
      <c r="P675">
        <f t="shared" si="567"/>
        <v>1.5704486568933265</v>
      </c>
      <c r="Q675">
        <f t="shared" si="545"/>
        <v>2539.894916337586</v>
      </c>
      <c r="R675">
        <f t="shared" si="568"/>
        <v>1.570402609708649</v>
      </c>
      <c r="S675">
        <f t="shared" si="546"/>
        <v>1.3047799014965942E-2</v>
      </c>
      <c r="T675">
        <f t="shared" si="569"/>
        <v>-1.5577481575310126</v>
      </c>
      <c r="U675">
        <f t="shared" si="547"/>
        <v>1.6106616467739691E-2</v>
      </c>
      <c r="V675">
        <f t="shared" si="570"/>
        <v>-1.5546890138411327</v>
      </c>
      <c r="X675">
        <f t="shared" si="548"/>
        <v>-83.937701381140087</v>
      </c>
      <c r="Y675">
        <f t="shared" si="549"/>
        <v>-179.05979500939716</v>
      </c>
      <c r="Z675">
        <f t="shared" si="579"/>
        <v>0.94020499060283669</v>
      </c>
      <c r="AC675">
        <v>1</v>
      </c>
      <c r="AD675">
        <f t="shared" si="550"/>
        <v>2876.2914338927999</v>
      </c>
      <c r="AE675">
        <f t="shared" si="551"/>
        <v>-26.837324003087481</v>
      </c>
      <c r="AF675">
        <f t="shared" si="552"/>
        <v>0.43231456456649997</v>
      </c>
      <c r="AG675">
        <f t="shared" si="553"/>
        <v>1.6887515616133302</v>
      </c>
      <c r="AH675">
        <f t="shared" si="554"/>
        <v>-107.14784237303105</v>
      </c>
      <c r="AJ675">
        <f t="shared" si="571"/>
        <v>18000</v>
      </c>
      <c r="AK675">
        <f t="shared" si="555"/>
        <v>1379425.5804067198</v>
      </c>
      <c r="AL675">
        <v>50</v>
      </c>
      <c r="AM675">
        <f t="shared" si="556"/>
        <v>2539.8947194790398</v>
      </c>
      <c r="AN675">
        <f t="shared" si="557"/>
        <v>543.03251715368481</v>
      </c>
      <c r="AO675">
        <f t="shared" si="558"/>
        <v>3.6031516532942494</v>
      </c>
      <c r="AQ675">
        <f t="shared" si="559"/>
        <v>2.550760120011325E-5</v>
      </c>
      <c r="AR675">
        <f t="shared" si="560"/>
        <v>-0.50505050376224236</v>
      </c>
      <c r="AT675">
        <f t="shared" si="561"/>
        <v>-54.115028691535308</v>
      </c>
      <c r="AU675">
        <f t="shared" si="562"/>
        <v>-0.85563791135478984</v>
      </c>
      <c r="AV675">
        <f t="shared" si="580"/>
        <v>-3.1257825054871371</v>
      </c>
      <c r="AW675">
        <f t="shared" si="581"/>
        <v>546.94401892620101</v>
      </c>
      <c r="AX675">
        <f t="shared" si="582"/>
        <v>-395.1762447576977</v>
      </c>
      <c r="AY675">
        <f t="shared" si="590"/>
        <v>-0.62567861283831672</v>
      </c>
      <c r="BA675">
        <f t="shared" si="572"/>
        <v>8.0207986424719352E-2</v>
      </c>
      <c r="BB675">
        <f t="shared" si="583"/>
        <v>-21.915647724715676</v>
      </c>
      <c r="BC675">
        <f t="shared" si="584"/>
        <v>-2.5001038926488204</v>
      </c>
      <c r="BD675">
        <f t="shared" si="573"/>
        <v>-323.2454015566874</v>
      </c>
      <c r="BF675">
        <f t="shared" si="574"/>
        <v>-91.75570643499529</v>
      </c>
      <c r="BG675">
        <f t="shared" si="575"/>
        <v>-233.93320430329686</v>
      </c>
      <c r="BH675">
        <f t="shared" si="585"/>
        <v>-53.933204303296861</v>
      </c>
      <c r="BI675">
        <f t="shared" si="586"/>
        <v>-53.933204303296861</v>
      </c>
      <c r="BJ675">
        <f t="shared" si="576"/>
        <v>0</v>
      </c>
      <c r="BK675">
        <f t="shared" si="587"/>
        <v>0</v>
      </c>
      <c r="BM675">
        <f t="shared" si="588"/>
        <v>-69.840058710279621</v>
      </c>
      <c r="BN675">
        <f t="shared" si="577"/>
        <v>-90.687802746609506</v>
      </c>
      <c r="BQ675" s="56">
        <f t="shared" si="589"/>
        <v>-5.0136869244305382</v>
      </c>
    </row>
    <row r="676" spans="1:69" x14ac:dyDescent="0.25">
      <c r="A676">
        <f t="shared" si="563"/>
        <v>10000000</v>
      </c>
      <c r="B676">
        <f t="shared" si="578"/>
        <v>10000</v>
      </c>
      <c r="C676">
        <f t="shared" si="539"/>
        <v>82.944074337248921</v>
      </c>
      <c r="D676">
        <f t="shared" si="540"/>
        <v>1.5587397183467431</v>
      </c>
      <c r="F676">
        <f t="shared" si="541"/>
        <v>2.5630376879480087E-7</v>
      </c>
      <c r="G676">
        <f t="shared" si="542"/>
        <v>1.722165155884346E-4</v>
      </c>
      <c r="H676">
        <f t="shared" si="564"/>
        <v>-3.1414204334844116</v>
      </c>
      <c r="J676">
        <f t="shared" si="565"/>
        <v>15</v>
      </c>
      <c r="M676">
        <f t="shared" si="543"/>
        <v>1.2722217687750309E-4</v>
      </c>
      <c r="N676">
        <f t="shared" si="566"/>
        <v>-1.5707963250000001</v>
      </c>
      <c r="O676">
        <f t="shared" si="544"/>
        <v>2905.3450548166029</v>
      </c>
      <c r="P676">
        <f t="shared" si="567"/>
        <v>1.5704521335920663</v>
      </c>
      <c r="Q676">
        <f t="shared" si="545"/>
        <v>2565.5504165859606</v>
      </c>
      <c r="R676">
        <f t="shared" si="568"/>
        <v>1.5704065468791106</v>
      </c>
      <c r="S676">
        <f t="shared" si="546"/>
        <v>1.2917342906017195E-2</v>
      </c>
      <c r="T676">
        <f t="shared" si="569"/>
        <v>-1.5578786246354466</v>
      </c>
      <c r="U676">
        <f t="shared" si="547"/>
        <v>1.5945591462829416E-2</v>
      </c>
      <c r="V676">
        <f t="shared" si="570"/>
        <v>-1.5548500595287109</v>
      </c>
      <c r="X676">
        <f t="shared" si="548"/>
        <v>-84.112269347224526</v>
      </c>
      <c r="Y676">
        <f t="shared" si="549"/>
        <v>-179.06919532980089</v>
      </c>
      <c r="Z676">
        <f t="shared" si="579"/>
        <v>0.93080467019910884</v>
      </c>
      <c r="AC676">
        <v>1</v>
      </c>
      <c r="AD676">
        <f t="shared" si="550"/>
        <v>2905.34488272</v>
      </c>
      <c r="AE676">
        <f t="shared" si="551"/>
        <v>-27.3822303878048</v>
      </c>
      <c r="AF676">
        <f t="shared" si="552"/>
        <v>0.43668137834999998</v>
      </c>
      <c r="AG676">
        <f t="shared" si="553"/>
        <v>1.6551539503018866</v>
      </c>
      <c r="AH676">
        <f t="shared" si="554"/>
        <v>-106.07689975120617</v>
      </c>
      <c r="AJ676">
        <f t="shared" si="571"/>
        <v>18000</v>
      </c>
      <c r="AK676">
        <f t="shared" si="555"/>
        <v>1393359.1721279998</v>
      </c>
      <c r="AL676">
        <v>51</v>
      </c>
      <c r="AM676">
        <f t="shared" si="556"/>
        <v>2565.5502216960003</v>
      </c>
      <c r="AN676">
        <f t="shared" si="557"/>
        <v>543.02833233977037</v>
      </c>
      <c r="AO676">
        <f t="shared" si="558"/>
        <v>3.7787001273043161</v>
      </c>
      <c r="AQ676">
        <f t="shared" si="559"/>
        <v>2.4999999937500001E-5</v>
      </c>
      <c r="AR676">
        <f t="shared" si="560"/>
        <v>-0.49999999875000001</v>
      </c>
      <c r="AT676">
        <f t="shared" si="561"/>
        <v>-53.038408364158308</v>
      </c>
      <c r="AU676">
        <f t="shared" si="562"/>
        <v>-0.83022889556915114</v>
      </c>
      <c r="AV676">
        <f t="shared" si="580"/>
        <v>-3.1259405795264796</v>
      </c>
      <c r="AW676">
        <f t="shared" si="581"/>
        <v>546.97449550318981</v>
      </c>
      <c r="AX676">
        <f t="shared" si="582"/>
        <v>-391.0112277903653</v>
      </c>
      <c r="AY676">
        <f t="shared" si="590"/>
        <v>-0.62063091122369651</v>
      </c>
      <c r="BA676">
        <f t="shared" si="572"/>
        <v>7.8893353572891484E-2</v>
      </c>
      <c r="BB676">
        <f t="shared" si="583"/>
        <v>-22.059191653987028</v>
      </c>
      <c r="BC676">
        <f t="shared" si="584"/>
        <v>-2.5053096683027833</v>
      </c>
      <c r="BD676">
        <f t="shared" si="573"/>
        <v>-323.54367053109223</v>
      </c>
      <c r="BF676">
        <f t="shared" si="574"/>
        <v>-91.986559332440493</v>
      </c>
      <c r="BG676">
        <f t="shared" si="575"/>
        <v>-234.22459592884562</v>
      </c>
      <c r="BH676">
        <f t="shared" si="585"/>
        <v>-54.224595928845616</v>
      </c>
      <c r="BI676">
        <f t="shared" si="586"/>
        <v>-54.224595928845616</v>
      </c>
      <c r="BJ676">
        <f t="shared" si="576"/>
        <v>0</v>
      </c>
      <c r="BK676">
        <f t="shared" si="587"/>
        <v>0</v>
      </c>
      <c r="BM676">
        <f t="shared" si="588"/>
        <v>-69.927367678453464</v>
      </c>
      <c r="BN676">
        <f t="shared" si="577"/>
        <v>-90.68092539775337</v>
      </c>
      <c r="BQ676" s="56">
        <f t="shared" si="589"/>
        <v>-5.1572308537018943</v>
      </c>
    </row>
    <row r="677" spans="1:69" x14ac:dyDescent="0.25">
      <c r="BD677">
        <f t="shared" si="573"/>
        <v>-180</v>
      </c>
    </row>
    <row r="678" spans="1:69" x14ac:dyDescent="0.25">
      <c r="BD678">
        <f t="shared" si="573"/>
        <v>-180</v>
      </c>
    </row>
    <row r="679" spans="1:69" x14ac:dyDescent="0.25">
      <c r="C679" s="565" t="s">
        <v>46</v>
      </c>
      <c r="D679" s="565"/>
      <c r="E679" s="565"/>
      <c r="F679" s="565"/>
      <c r="G679" s="565"/>
      <c r="H679" s="565"/>
      <c r="J679" s="7" t="s">
        <v>76</v>
      </c>
      <c r="M679" s="7" t="s">
        <v>37</v>
      </c>
      <c r="N679" s="5"/>
      <c r="O679" s="5"/>
      <c r="P679" s="5"/>
      <c r="Q679" s="5"/>
      <c r="R679" s="5"/>
      <c r="S679" s="5"/>
      <c r="T679" s="5"/>
      <c r="U679" s="5"/>
      <c r="V679" s="5"/>
      <c r="X679" s="7" t="s">
        <v>105</v>
      </c>
      <c r="Y679" s="5"/>
      <c r="Z679" s="5"/>
      <c r="AD679" s="5"/>
      <c r="AE679" s="5"/>
      <c r="AF679" s="5"/>
      <c r="AG679" s="5"/>
      <c r="AH679" s="5"/>
      <c r="AJ679" s="7" t="s">
        <v>87</v>
      </c>
      <c r="AK679" s="5"/>
      <c r="AL679" s="5"/>
      <c r="AM679" s="5"/>
      <c r="AN679" s="5"/>
      <c r="AO679" s="5"/>
      <c r="AQ679" s="7" t="s">
        <v>438</v>
      </c>
      <c r="AR679" s="5"/>
      <c r="AT679" s="7" t="s">
        <v>108</v>
      </c>
      <c r="AU679" s="5"/>
      <c r="AV679" s="5"/>
      <c r="AW679" s="5"/>
      <c r="AX679" s="5"/>
      <c r="AY679" s="5"/>
      <c r="BA679" s="7" t="s">
        <v>109</v>
      </c>
      <c r="BB679" s="5"/>
      <c r="BC679" s="5"/>
      <c r="BF679" s="7" t="s">
        <v>110</v>
      </c>
      <c r="BG679" s="5"/>
      <c r="BH679" s="5"/>
      <c r="BJ679" t="s">
        <v>85</v>
      </c>
      <c r="BK679" s="4">
        <f>SUM(BK683:BK1300)</f>
        <v>0</v>
      </c>
    </row>
    <row r="680" spans="1:69" x14ac:dyDescent="0.25">
      <c r="C680" s="2" t="s">
        <v>47</v>
      </c>
      <c r="D680" s="2"/>
      <c r="E680" s="2"/>
      <c r="F680" s="2" t="s">
        <v>48</v>
      </c>
      <c r="G680" s="2"/>
      <c r="H680" s="2"/>
      <c r="M680" s="2" t="s">
        <v>50</v>
      </c>
      <c r="N680" s="2"/>
      <c r="O680" s="2" t="s">
        <v>64</v>
      </c>
      <c r="P680" s="2"/>
      <c r="Q680" s="2" t="s">
        <v>65</v>
      </c>
      <c r="R680" s="2"/>
      <c r="S680" s="2" t="s">
        <v>66</v>
      </c>
      <c r="T680" s="2"/>
      <c r="U680" s="2" t="s">
        <v>67</v>
      </c>
      <c r="V680" s="2"/>
      <c r="AD680" s="2"/>
      <c r="AE680" s="2" t="s">
        <v>91</v>
      </c>
      <c r="AF680" s="2"/>
      <c r="AG680" s="2" t="s">
        <v>92</v>
      </c>
      <c r="AH680" s="2"/>
      <c r="AJ680" s="2" t="s">
        <v>90</v>
      </c>
      <c r="AK680" s="2"/>
      <c r="AL680" s="2" t="s">
        <v>91</v>
      </c>
      <c r="AM680" s="2"/>
      <c r="AN680" s="2" t="s">
        <v>92</v>
      </c>
      <c r="AO680" s="2"/>
      <c r="AQ680" s="2" t="s">
        <v>83</v>
      </c>
      <c r="AR680" s="2"/>
      <c r="AT680" s="2" t="s">
        <v>90</v>
      </c>
      <c r="AU680" s="2"/>
      <c r="AV680" s="2"/>
      <c r="AW680" s="2" t="s">
        <v>91</v>
      </c>
      <c r="AX680" s="2"/>
      <c r="AY680" s="2"/>
    </row>
    <row r="681" spans="1:69" x14ac:dyDescent="0.25">
      <c r="A681" s="2" t="s">
        <v>44</v>
      </c>
      <c r="B681" s="2"/>
      <c r="C681" s="2" t="s">
        <v>68</v>
      </c>
      <c r="D681" s="2" t="s">
        <v>69</v>
      </c>
      <c r="E681" s="2"/>
      <c r="F681" s="2" t="s">
        <v>68</v>
      </c>
      <c r="G681" s="2"/>
      <c r="H681" s="2" t="s">
        <v>69</v>
      </c>
      <c r="J681" s="2" t="s">
        <v>68</v>
      </c>
      <c r="M681" s="2" t="s">
        <v>68</v>
      </c>
      <c r="N681" s="2" t="s">
        <v>69</v>
      </c>
      <c r="O681" s="2" t="s">
        <v>68</v>
      </c>
      <c r="P681" s="2" t="s">
        <v>69</v>
      </c>
      <c r="Q681" s="2" t="s">
        <v>68</v>
      </c>
      <c r="R681" s="2" t="s">
        <v>69</v>
      </c>
      <c r="S681" s="2" t="s">
        <v>68</v>
      </c>
      <c r="T681" s="2" t="s">
        <v>69</v>
      </c>
      <c r="U681" s="2" t="s">
        <v>68</v>
      </c>
      <c r="V681" s="2" t="s">
        <v>69</v>
      </c>
      <c r="X681" s="2" t="s">
        <v>71</v>
      </c>
      <c r="Y681" s="2" t="s">
        <v>72</v>
      </c>
      <c r="Z681" s="2" t="s">
        <v>73</v>
      </c>
      <c r="AC681" s="2" t="s">
        <v>88</v>
      </c>
      <c r="AD681" s="2" t="s">
        <v>89</v>
      </c>
      <c r="AE681" s="2" t="s">
        <v>88</v>
      </c>
      <c r="AF681" s="2" t="s">
        <v>89</v>
      </c>
      <c r="AG681" s="2" t="s">
        <v>97</v>
      </c>
      <c r="AH681" s="2" t="s">
        <v>98</v>
      </c>
      <c r="AJ681" s="2" t="s">
        <v>88</v>
      </c>
      <c r="AK681" s="2" t="s">
        <v>89</v>
      </c>
      <c r="AL681" s="2" t="s">
        <v>88</v>
      </c>
      <c r="AM681" s="2" t="s">
        <v>89</v>
      </c>
      <c r="AN681" s="2" t="s">
        <v>100</v>
      </c>
      <c r="AO681" s="2" t="s">
        <v>99</v>
      </c>
      <c r="AQ681" s="2" t="s">
        <v>88</v>
      </c>
      <c r="AR681" s="2" t="s">
        <v>89</v>
      </c>
      <c r="AT681" s="2" t="s">
        <v>88</v>
      </c>
      <c r="AU681" s="2" t="s">
        <v>89</v>
      </c>
      <c r="AV681" s="2" t="s">
        <v>69</v>
      </c>
      <c r="AW681" s="2" t="s">
        <v>88</v>
      </c>
      <c r="AX681" s="2" t="s">
        <v>89</v>
      </c>
      <c r="AY681" s="2" t="s">
        <v>69</v>
      </c>
      <c r="BA681" s="2" t="s">
        <v>437</v>
      </c>
      <c r="BB681" s="2" t="s">
        <v>435</v>
      </c>
      <c r="BC681" s="2" t="s">
        <v>436</v>
      </c>
      <c r="BF681" s="2" t="s">
        <v>71</v>
      </c>
      <c r="BG681" s="2" t="s">
        <v>72</v>
      </c>
      <c r="BH681" s="2" t="s">
        <v>104</v>
      </c>
    </row>
    <row r="682" spans="1:69" x14ac:dyDescent="0.25">
      <c r="A682">
        <f>Fesr</f>
        <v>120571.9267225427</v>
      </c>
      <c r="B682">
        <f t="shared" ref="B682:B692" si="591">A682/1000</f>
        <v>120.5719267225427</v>
      </c>
      <c r="C682">
        <f t="shared" ref="C682:C686" si="592">SQRT((A682/Fesr)^2+1)</f>
        <v>1.4142135623730951</v>
      </c>
      <c r="D682">
        <f t="shared" ref="D682:D686" si="593">ATAN(A682/Fesr)</f>
        <v>0.78539816339744828</v>
      </c>
      <c r="F682">
        <f t="shared" ref="F682:F687" si="594">(Ro/(Ro+Rdcr))/SQRT((A682/(Q*Fo))^2+(1-(A682^2/Fo^2))^2)</f>
        <v>1.7659926760410876E-3</v>
      </c>
      <c r="G682">
        <f t="shared" ref="G682:G687" si="595">-ATAN(A682*Fo/(Q*(Fo^2-A682^2)))</f>
        <v>1.430769653341424E-2</v>
      </c>
      <c r="H682">
        <f t="shared" ref="H682:H687" si="596">IF(G682&gt;0,G682-Pi,G682)</f>
        <v>-3.1272849534665861</v>
      </c>
      <c r="J682">
        <f t="shared" ref="J682:J688" si="597">Vin/Vramp</f>
        <v>15</v>
      </c>
      <c r="M682">
        <f t="shared" ref="M682:M687" si="598">1/(2*Pi*_Rfb1*(Cc1ea_u+Cc2ea_u)*A682)</f>
        <v>1.0551558752997603E-2</v>
      </c>
      <c r="N682">
        <f t="shared" ref="N682:N688" si="599">-Pi/2</f>
        <v>-1.5707963250000001</v>
      </c>
      <c r="O682">
        <f t="shared" ref="O682:O687" si="600">SQRT(1+(A682/Fz1_u)^2)</f>
        <v>35.044573479996259</v>
      </c>
      <c r="P682">
        <f t="shared" ref="P682:P687" si="601">ATAN(A682/Fz1_u)</f>
        <v>1.5422573645825361</v>
      </c>
      <c r="Q682">
        <f t="shared" ref="Q682:Q687" si="602">SQRT(1+(A682/Fz2_u)^2)</f>
        <v>30.949492905556806</v>
      </c>
      <c r="R682">
        <f t="shared" ref="R682:R687" si="603">ATAN(A682/Fz2_u)</f>
        <v>1.5384799950924442</v>
      </c>
      <c r="S682">
        <f t="shared" ref="S682:S687" si="604">1/SQRT(1+(A682/Fp1_u)^2)</f>
        <v>0.73105526824286893</v>
      </c>
      <c r="T682">
        <f t="shared" ref="T682:T687" si="605">-ATAN(A682/Fp1_u)</f>
        <v>-0.75092906239794033</v>
      </c>
      <c r="U682">
        <f t="shared" ref="U682:U687" si="606">1/SQRT(1+(A682/Fp2_u)^2)</f>
        <v>0.797677695031205</v>
      </c>
      <c r="V682">
        <f t="shared" ref="V682:V687" si="607">-ATAN(A682/Fp2_u)</f>
        <v>-0.64736169061535065</v>
      </c>
      <c r="X682">
        <f t="shared" ref="X682:X686" si="608">20*LOG(C682*J682*O682*Q682*F682*M682*S682*U682)</f>
        <v>-12.040724953806919</v>
      </c>
      <c r="Y682">
        <f t="shared" ref="Y682:Y686" si="609">(180/Pi)*(D682+H682+N682+P682+R682+T682+V682)</f>
        <v>-127.78313939375326</v>
      </c>
      <c r="Z682">
        <f t="shared" ref="Z682:Z687" si="610">Y682+180</f>
        <v>52.21686060624674</v>
      </c>
      <c r="AC682">
        <v>1</v>
      </c>
      <c r="AD682">
        <f t="shared" ref="AD682:AD687" si="611">Rcea1_u*Cc1ea_u*A682*2*Pi</f>
        <v>35.030303030303031</v>
      </c>
      <c r="AE682">
        <f t="shared" ref="AE682:AE687" si="612">-Rcea1_u*Cc1ea_u*Cc2ea_u*(A682*2*Pi)^2</f>
        <v>-3.9807162534435262E-3</v>
      </c>
      <c r="AF682">
        <f t="shared" ref="AF682:AF687" si="613">(Cc2ea_u+Cc1ea_u)*A682*2*Pi</f>
        <v>5.2651515151515144E-3</v>
      </c>
      <c r="AG682">
        <f t="shared" ref="AG682:AG687" si="614">AC682*AE682/(AE682^2+AF682^2)+AD682*AF682/(AE682^2+AF682^2)</f>
        <v>4142.0184166413328</v>
      </c>
      <c r="AH682">
        <f t="shared" ref="AH682:AH687" si="615">AD682*AE682/(AE682^2+AF682^2)-AC682*AF682/(AE682^2+AF682^2)</f>
        <v>-3321.499862418169</v>
      </c>
      <c r="AJ682">
        <f t="shared" ref="AJ682:AJ688" si="616">_Rfb1</f>
        <v>18000</v>
      </c>
      <c r="AK682">
        <f t="shared" ref="AK682:AK687" si="617">_Rfb1*Rcea2_u*Cc3ea_u*A682*2*Pi</f>
        <v>16799.999999999996</v>
      </c>
      <c r="AL682">
        <v>1</v>
      </c>
      <c r="AM682">
        <f t="shared" ref="AM682:AM687" si="618">(_Rfb1+Rcea2_u)*Cc3ea_u*A682*2*Pi</f>
        <v>30.933333333333326</v>
      </c>
      <c r="AN682">
        <f t="shared" ref="AN682:AN687" si="619">AJ682*AL682/(AL682^2+AM682^2)+AK682*AM682/(AL682^2+AM682^2)</f>
        <v>561.32813043740521</v>
      </c>
      <c r="AO682">
        <f t="shared" ref="AO682:AO687" si="620">AK682*AL682/(AL682^2+AM682^2)-AJ682*AM682/(AL682^2+AM682^2)</f>
        <v>-563.75016819706673</v>
      </c>
      <c r="AQ682">
        <f t="shared" ref="AQ682:AQ687" si="621">Eadcg/(1+(Eadcg*A682/GBP)^2)</f>
        <v>0.17196502944358741</v>
      </c>
      <c r="AR682">
        <f t="shared" ref="AR682:AR687" si="622">-(A682*Eadcg*Eadcg/GBP)/(1+(Eadcg*A682/GBP)^2)</f>
        <v>-41.468309857824238</v>
      </c>
      <c r="AT682">
        <f t="shared" ref="AT682:AT687" si="623">-AR682*AH682+AG682*AQ682</f>
        <v>-137024.70316850362</v>
      </c>
      <c r="AU682">
        <f t="shared" ref="AU682:AU687" si="624">AQ682*AH682+AG682*AR682</f>
        <v>-172333.68495973494</v>
      </c>
      <c r="AV682">
        <f t="shared" ref="AV682:AV687" si="625">IF(AT682&lt;0,ATAN(AU682/AT682)+Pi,ATAN(AU682/AT682))</f>
        <v>4.0406352024942827</v>
      </c>
      <c r="AW682">
        <f t="shared" ref="AW682:AW687" si="626">AG682-AH682*AO682/_Rfb2+AG682*AN682/_Rfb2+AN682-AO682*AR682+AQ682*AN682</f>
        <v>-18442.759218572424</v>
      </c>
      <c r="AX682">
        <f t="shared" ref="AX682:AX687" si="627">AH682+AH682*AN682/_Rfb2+AG682*AO682/_Rfb2+AO682+AO682*AQ682+AN682*AR682</f>
        <v>-28513.545996337045</v>
      </c>
      <c r="AY682">
        <f t="shared" ref="AY682:AY687" si="628">IF(AW682&lt;0,ATAN(AX682/AW682)+Pi,ATAN(AX682/AW682))</f>
        <v>4.1382617195262865</v>
      </c>
      <c r="BA682">
        <f t="shared" ref="BA682:BA687" si="629">SQRT(AT682^2+AU682^2)/SQRT(AW682^2+AX682^2)</f>
        <v>6.4835531626893719</v>
      </c>
      <c r="BB682">
        <f t="shared" ref="BB682:BB687" si="630">20*LOG(BA682)</f>
        <v>16.23626152493209</v>
      </c>
      <c r="BC682">
        <f t="shared" ref="BC682:BC687" si="631">AV682-AY682</f>
        <v>-9.7626517032003868E-2</v>
      </c>
      <c r="BD682">
        <f t="shared" ref="BD682:BD687" si="632">BC682*180/Pi</f>
        <v>-5.5935874008874746</v>
      </c>
      <c r="BF682">
        <f t="shared" ref="BF682:BF686" si="633">20*LOG(BA682*J682*F682*C682)</f>
        <v>-12.291835374697939</v>
      </c>
      <c r="BG682">
        <f t="shared" ref="BG682:BG686" si="634">(180/Pi)*(D682+H682+BC682)</f>
        <v>-139.77381672261217</v>
      </c>
      <c r="BH682">
        <f t="shared" ref="BH682:BH687" si="635">IF(BG682&gt;180,BG682-180,BG682+180)</f>
        <v>40.226183277387833</v>
      </c>
      <c r="BI682">
        <f t="shared" ref="BI682:BI687" si="636">IF(BH682&gt;180,BH682-360,BH682)</f>
        <v>40.226183277387833</v>
      </c>
    </row>
    <row r="683" spans="1:69" x14ac:dyDescent="0.25">
      <c r="A683">
        <f>Fo+1</f>
        <v>5078.5135194992654</v>
      </c>
      <c r="B683">
        <f t="shared" si="591"/>
        <v>5.078513519499265</v>
      </c>
      <c r="C683">
        <f t="shared" si="592"/>
        <v>1.0008866624869817</v>
      </c>
      <c r="D683">
        <f t="shared" si="593"/>
        <v>4.2095316611720751E-2</v>
      </c>
      <c r="F683">
        <f t="shared" si="594"/>
        <v>2.9305105599122663</v>
      </c>
      <c r="G683">
        <f t="shared" si="595"/>
        <v>1.5696351125628587</v>
      </c>
      <c r="H683">
        <f t="shared" si="596"/>
        <v>-1.5719575374371415</v>
      </c>
      <c r="J683">
        <f t="shared" si="597"/>
        <v>15</v>
      </c>
      <c r="M683">
        <f t="shared" si="598"/>
        <v>0.2505106590521532</v>
      </c>
      <c r="N683">
        <f t="shared" si="599"/>
        <v>-1.5707963250000001</v>
      </c>
      <c r="O683">
        <f t="shared" si="600"/>
        <v>1.7824284128644616</v>
      </c>
      <c r="P683">
        <f t="shared" si="601"/>
        <v>0.97516394389127892</v>
      </c>
      <c r="Q683">
        <f t="shared" si="602"/>
        <v>1.6424359049621695</v>
      </c>
      <c r="R683">
        <f t="shared" si="603"/>
        <v>0.91618398601727591</v>
      </c>
      <c r="S683">
        <f t="shared" si="604"/>
        <v>0.99922817053647328</v>
      </c>
      <c r="T683">
        <f t="shared" si="605"/>
        <v>-3.9291952630379996E-2</v>
      </c>
      <c r="U683">
        <f t="shared" si="606"/>
        <v>0.99949333446289801</v>
      </c>
      <c r="V683">
        <f t="shared" si="607"/>
        <v>-3.1834205750356379E-2</v>
      </c>
      <c r="X683">
        <f t="shared" si="608"/>
        <v>30.163815193517959</v>
      </c>
      <c r="Y683">
        <f t="shared" si="609"/>
        <v>-73.363623184427908</v>
      </c>
      <c r="Z683">
        <f t="shared" si="610"/>
        <v>106.63637681557209</v>
      </c>
      <c r="AC683">
        <v>1</v>
      </c>
      <c r="AD683">
        <f t="shared" si="611"/>
        <v>1.4754833265701528</v>
      </c>
      <c r="AE683">
        <f t="shared" si="612"/>
        <v>-7.0622330676465975E-6</v>
      </c>
      <c r="AF683">
        <f t="shared" si="613"/>
        <v>2.2176922836640489E-4</v>
      </c>
      <c r="AG683">
        <f t="shared" si="614"/>
        <v>6503.0476062627013</v>
      </c>
      <c r="AH683">
        <f t="shared" si="615"/>
        <v>-4716.2811790883816</v>
      </c>
      <c r="AJ683">
        <f t="shared" si="616"/>
        <v>18000</v>
      </c>
      <c r="AK683">
        <f t="shared" si="617"/>
        <v>707.61933931703516</v>
      </c>
      <c r="AL683">
        <v>1</v>
      </c>
      <c r="AM683">
        <f t="shared" si="618"/>
        <v>1.3029181485837473</v>
      </c>
      <c r="AN683">
        <f t="shared" si="619"/>
        <v>7014.3832398959012</v>
      </c>
      <c r="AO683">
        <f t="shared" si="620"/>
        <v>-8431.5478850649997</v>
      </c>
      <c r="AQ683">
        <f t="shared" si="621"/>
        <v>96.001353292571849</v>
      </c>
      <c r="AR683">
        <f t="shared" si="622"/>
        <v>-975.08834117310289</v>
      </c>
      <c r="AT683">
        <f t="shared" si="623"/>
        <v>-3974489.4206959764</v>
      </c>
      <c r="AU683">
        <f t="shared" si="624"/>
        <v>-6793815.2786611859</v>
      </c>
      <c r="AV683">
        <f t="shared" si="625"/>
        <v>4.1830601202618274</v>
      </c>
      <c r="AW683">
        <f t="shared" si="626"/>
        <v>-7532849.6551718386</v>
      </c>
      <c r="AX683">
        <f t="shared" si="627"/>
        <v>-7688482.8216294181</v>
      </c>
      <c r="AY683">
        <f t="shared" si="628"/>
        <v>3.9372151313756696</v>
      </c>
      <c r="BA683">
        <f t="shared" si="629"/>
        <v>0.73125528207139023</v>
      </c>
      <c r="BB683">
        <f t="shared" si="630"/>
        <v>-2.7186196772401106</v>
      </c>
      <c r="BC683">
        <f t="shared" si="631"/>
        <v>0.2458449888861578</v>
      </c>
      <c r="BD683">
        <f t="shared" si="632"/>
        <v>14.085880293712938</v>
      </c>
      <c r="BF683">
        <f t="shared" si="633"/>
        <v>30.149769357575437</v>
      </c>
      <c r="BG683">
        <f t="shared" si="634"/>
        <v>-73.568768296254859</v>
      </c>
      <c r="BH683">
        <f t="shared" si="635"/>
        <v>106.43123170374514</v>
      </c>
      <c r="BI683">
        <f t="shared" si="636"/>
        <v>106.43123170374514</v>
      </c>
    </row>
    <row r="684" spans="1:69" x14ac:dyDescent="0.25">
      <c r="A684">
        <f>Fz1_u</f>
        <v>3441.9321642248356</v>
      </c>
      <c r="B684">
        <f t="shared" si="591"/>
        <v>3.4419321642248355</v>
      </c>
      <c r="C684">
        <f t="shared" si="592"/>
        <v>1.0004073744289592</v>
      </c>
      <c r="D684">
        <f t="shared" si="593"/>
        <v>2.8538962212360453E-2</v>
      </c>
      <c r="F684">
        <f t="shared" si="594"/>
        <v>1.6925965992707099</v>
      </c>
      <c r="G684">
        <f t="shared" si="595"/>
        <v>-0.40220610274990842</v>
      </c>
      <c r="H684">
        <f t="shared" si="596"/>
        <v>-0.40220610274990842</v>
      </c>
      <c r="J684">
        <f t="shared" si="597"/>
        <v>15</v>
      </c>
      <c r="M684">
        <f t="shared" si="598"/>
        <v>0.36962430055955231</v>
      </c>
      <c r="N684">
        <f t="shared" si="599"/>
        <v>-1.5707963250000001</v>
      </c>
      <c r="O684">
        <f t="shared" si="600"/>
        <v>1.4142135623730951</v>
      </c>
      <c r="P684">
        <f t="shared" si="601"/>
        <v>0.78539816339744828</v>
      </c>
      <c r="Q684">
        <f t="shared" si="602"/>
        <v>1.3340796233620429</v>
      </c>
      <c r="R684">
        <f t="shared" si="603"/>
        <v>0.7233683248954309</v>
      </c>
      <c r="S684">
        <f t="shared" si="604"/>
        <v>0.9996452481889978</v>
      </c>
      <c r="T684">
        <f t="shared" si="605"/>
        <v>-2.6637296701972676E-2</v>
      </c>
      <c r="U684">
        <f t="shared" si="606"/>
        <v>0.99976717413765215</v>
      </c>
      <c r="V684">
        <f t="shared" si="607"/>
        <v>-2.157938356653015E-2</v>
      </c>
      <c r="X684">
        <f t="shared" si="608"/>
        <v>24.960473019978071</v>
      </c>
      <c r="Y684">
        <f t="shared" si="609"/>
        <v>-27.726210255925736</v>
      </c>
      <c r="Z684">
        <f t="shared" si="610"/>
        <v>152.27378974407426</v>
      </c>
      <c r="AC684">
        <v>1</v>
      </c>
      <c r="AD684">
        <f t="shared" si="611"/>
        <v>1.0000000000000002</v>
      </c>
      <c r="AE684">
        <f t="shared" si="612"/>
        <v>-3.2439446366782016E-6</v>
      </c>
      <c r="AF684">
        <f t="shared" si="613"/>
        <v>1.5030276816608998E-4</v>
      </c>
      <c r="AG684">
        <f t="shared" si="614"/>
        <v>6506.611484738748</v>
      </c>
      <c r="AH684">
        <f t="shared" si="615"/>
        <v>-6793.6678737713391</v>
      </c>
      <c r="AJ684">
        <f t="shared" si="616"/>
        <v>18000</v>
      </c>
      <c r="AK684">
        <f t="shared" si="617"/>
        <v>479.5847750865052</v>
      </c>
      <c r="AL684">
        <v>1</v>
      </c>
      <c r="AM684">
        <f t="shared" si="618"/>
        <v>0.88304498269896203</v>
      </c>
      <c r="AN684">
        <f t="shared" si="619"/>
        <v>10351.62468337961</v>
      </c>
      <c r="AO684">
        <f t="shared" si="620"/>
        <v>-8661.3654643545924</v>
      </c>
      <c r="AQ684">
        <f t="shared" si="621"/>
        <v>206.66456821288855</v>
      </c>
      <c r="AR684">
        <f t="shared" si="622"/>
        <v>-1422.6508490751573</v>
      </c>
      <c r="AT684">
        <f t="shared" si="623"/>
        <v>-8320331.3159328597</v>
      </c>
      <c r="AU684">
        <f t="shared" si="624"/>
        <v>-10660646.791080475</v>
      </c>
      <c r="AV684">
        <f t="shared" si="625"/>
        <v>4.0496695826313243</v>
      </c>
      <c r="AW684">
        <f t="shared" si="626"/>
        <v>-10163385.004038706</v>
      </c>
      <c r="AX684">
        <f t="shared" si="627"/>
        <v>-16570028.577575061</v>
      </c>
      <c r="AY684">
        <f t="shared" si="628"/>
        <v>4.1622041580587057</v>
      </c>
      <c r="BA684">
        <f t="shared" si="629"/>
        <v>0.6956876685665716</v>
      </c>
      <c r="BB684">
        <f t="shared" si="630"/>
        <v>-3.1517138934896933</v>
      </c>
      <c r="BC684">
        <f t="shared" si="631"/>
        <v>-0.11253457542738143</v>
      </c>
      <c r="BD684">
        <f t="shared" si="632"/>
        <v>-6.4477562286532137</v>
      </c>
      <c r="BF684">
        <f t="shared" si="633"/>
        <v>24.944718255714147</v>
      </c>
      <c r="BG684">
        <f t="shared" si="634"/>
        <v>-27.857306348640485</v>
      </c>
      <c r="BH684">
        <f t="shared" si="635"/>
        <v>152.14269365135951</v>
      </c>
      <c r="BI684">
        <f t="shared" si="636"/>
        <v>152.14269365135951</v>
      </c>
    </row>
    <row r="685" spans="1:69" x14ac:dyDescent="0.25">
      <c r="A685">
        <f>Fz2_u</f>
        <v>3897.7993552546131</v>
      </c>
      <c r="B685">
        <f t="shared" si="591"/>
        <v>3.8977993552546133</v>
      </c>
      <c r="C685">
        <f t="shared" si="592"/>
        <v>1.0005223999641208</v>
      </c>
      <c r="D685">
        <f t="shared" si="593"/>
        <v>3.2316331702452496E-2</v>
      </c>
      <c r="F685">
        <f t="shared" si="594"/>
        <v>2.0444074848215874</v>
      </c>
      <c r="G685">
        <f t="shared" si="595"/>
        <v>-0.56502269787020187</v>
      </c>
      <c r="H685">
        <f t="shared" si="596"/>
        <v>-0.56502269787020187</v>
      </c>
      <c r="J685">
        <f t="shared" si="597"/>
        <v>15</v>
      </c>
      <c r="M685">
        <f t="shared" si="598"/>
        <v>0.32639488409272588</v>
      </c>
      <c r="N685">
        <f t="shared" si="599"/>
        <v>-1.5707963250000001</v>
      </c>
      <c r="O685">
        <f t="shared" si="600"/>
        <v>1.5107719872712786</v>
      </c>
      <c r="P685">
        <f t="shared" si="601"/>
        <v>0.84742800189946577</v>
      </c>
      <c r="Q685">
        <f t="shared" si="602"/>
        <v>1.4142135623730951</v>
      </c>
      <c r="R685">
        <f t="shared" si="603"/>
        <v>0.78539816339744828</v>
      </c>
      <c r="S685">
        <f t="shared" si="604"/>
        <v>0.99954512328054046</v>
      </c>
      <c r="T685">
        <f t="shared" si="605"/>
        <v>-3.0163262725205545E-2</v>
      </c>
      <c r="U685">
        <f t="shared" si="606"/>
        <v>0.99970144610989042</v>
      </c>
      <c r="V685">
        <f t="shared" si="607"/>
        <v>-2.44363969123906E-2</v>
      </c>
      <c r="X685">
        <f t="shared" si="608"/>
        <v>26.60031053712261</v>
      </c>
      <c r="Y685">
        <f t="shared" si="609"/>
        <v>-30.096108542753839</v>
      </c>
      <c r="Z685">
        <f t="shared" si="610"/>
        <v>149.90389145724617</v>
      </c>
      <c r="AC685">
        <v>1</v>
      </c>
      <c r="AD685">
        <f t="shared" si="611"/>
        <v>1.1324451410658307</v>
      </c>
      <c r="AE685">
        <f t="shared" si="612"/>
        <v>-4.1601384002712231E-6</v>
      </c>
      <c r="AF685">
        <f t="shared" si="613"/>
        <v>1.7020963949843258E-4</v>
      </c>
      <c r="AG685">
        <f t="shared" si="614"/>
        <v>6505.7559801907928</v>
      </c>
      <c r="AH685">
        <f t="shared" si="615"/>
        <v>-6034.1168003322391</v>
      </c>
      <c r="AJ685">
        <f t="shared" si="616"/>
        <v>18000</v>
      </c>
      <c r="AK685">
        <f t="shared" si="617"/>
        <v>543.10344827586198</v>
      </c>
      <c r="AL685">
        <v>1</v>
      </c>
      <c r="AM685">
        <f t="shared" si="618"/>
        <v>0.99999999999999978</v>
      </c>
      <c r="AN685">
        <f t="shared" si="619"/>
        <v>9271.551724137933</v>
      </c>
      <c r="AO685">
        <f t="shared" si="620"/>
        <v>-8728.4482758620688</v>
      </c>
      <c r="AQ685">
        <f t="shared" si="621"/>
        <v>161.88732319571085</v>
      </c>
      <c r="AR685">
        <f t="shared" si="622"/>
        <v>-1262.0086079522739</v>
      </c>
      <c r="AT685">
        <f t="shared" si="623"/>
        <v>-6561907.9224111419</v>
      </c>
      <c r="AU685">
        <f t="shared" si="624"/>
        <v>-9187167.0648938175</v>
      </c>
      <c r="AV685">
        <f t="shared" si="625"/>
        <v>4.092165024945305</v>
      </c>
      <c r="AW685">
        <f t="shared" si="626"/>
        <v>-9496368.4919683225</v>
      </c>
      <c r="AX685">
        <f t="shared" si="627"/>
        <v>-13162228.440693613</v>
      </c>
      <c r="AY685">
        <f t="shared" si="628"/>
        <v>4.0873877045050913</v>
      </c>
      <c r="BA685">
        <f t="shared" si="629"/>
        <v>0.69560515913776366</v>
      </c>
      <c r="BB685">
        <f t="shared" si="630"/>
        <v>-3.1527441119732429</v>
      </c>
      <c r="BC685">
        <f t="shared" si="631"/>
        <v>4.7773204402137281E-3</v>
      </c>
      <c r="BD685">
        <f t="shared" si="632"/>
        <v>0.27372029891859817</v>
      </c>
      <c r="BF685">
        <f t="shared" si="633"/>
        <v>26.58496663859956</v>
      </c>
      <c r="BG685">
        <f t="shared" si="634"/>
        <v>-30.248106237120336</v>
      </c>
      <c r="BH685">
        <f t="shared" si="635"/>
        <v>149.75189376287966</v>
      </c>
      <c r="BI685">
        <f t="shared" si="636"/>
        <v>149.75189376287966</v>
      </c>
    </row>
    <row r="686" spans="1:69" x14ac:dyDescent="0.25">
      <c r="A686">
        <f>Fp1_u</f>
        <v>129184.20720272433</v>
      </c>
      <c r="B686">
        <f t="shared" si="591"/>
        <v>129.18420720272434</v>
      </c>
      <c r="C686">
        <f t="shared" si="592"/>
        <v>1.4655917520487993</v>
      </c>
      <c r="D686">
        <f t="shared" si="593"/>
        <v>0.81986726439695634</v>
      </c>
      <c r="F686">
        <f t="shared" si="594"/>
        <v>1.5380440188108623E-3</v>
      </c>
      <c r="G686">
        <f t="shared" si="595"/>
        <v>1.3350910823315265E-2</v>
      </c>
      <c r="H686">
        <f t="shared" si="596"/>
        <v>-3.1282417391766848</v>
      </c>
      <c r="J686">
        <f t="shared" si="597"/>
        <v>15</v>
      </c>
      <c r="M686">
        <f t="shared" si="598"/>
        <v>9.8481215027977614E-3</v>
      </c>
      <c r="N686">
        <f t="shared" si="599"/>
        <v>-1.5707963250000001</v>
      </c>
      <c r="O686">
        <f t="shared" si="600"/>
        <v>37.545786968390068</v>
      </c>
      <c r="P686">
        <f t="shared" si="601"/>
        <v>1.544159030092924</v>
      </c>
      <c r="Q686">
        <f t="shared" si="602"/>
        <v>33.157939917790983</v>
      </c>
      <c r="R686">
        <f t="shared" si="603"/>
        <v>1.540633064069691</v>
      </c>
      <c r="S686">
        <f t="shared" si="604"/>
        <v>0.70710678118654746</v>
      </c>
      <c r="T686">
        <f t="shared" si="605"/>
        <v>-0.78539816339744828</v>
      </c>
      <c r="U686">
        <f t="shared" si="606"/>
        <v>0.77704363795356413</v>
      </c>
      <c r="V686">
        <f t="shared" si="607"/>
        <v>-0.68084098561484674</v>
      </c>
      <c r="X686">
        <f t="shared" si="608"/>
        <v>-12.849888046069298</v>
      </c>
      <c r="Y686">
        <f t="shared" si="609"/>
        <v>-129.52386231018639</v>
      </c>
      <c r="Z686">
        <f t="shared" si="610"/>
        <v>50.476137689813612</v>
      </c>
      <c r="AC686">
        <v>1</v>
      </c>
      <c r="AD686">
        <f t="shared" si="611"/>
        <v>37.532467532467528</v>
      </c>
      <c r="AE686">
        <f t="shared" si="612"/>
        <v>-4.569699780738741E-3</v>
      </c>
      <c r="AF686">
        <f t="shared" si="613"/>
        <v>5.6412337662337655E-3</v>
      </c>
      <c r="AG686">
        <f t="shared" si="614"/>
        <v>3930.5013244327556</v>
      </c>
      <c r="AH686">
        <f t="shared" si="615"/>
        <v>-3361.1815829984112</v>
      </c>
      <c r="AJ686">
        <f t="shared" si="616"/>
        <v>18000</v>
      </c>
      <c r="AK686">
        <f t="shared" si="617"/>
        <v>18000</v>
      </c>
      <c r="AL686">
        <v>1</v>
      </c>
      <c r="AM686">
        <f t="shared" si="618"/>
        <v>33.142857142857139</v>
      </c>
      <c r="AN686">
        <f t="shared" si="619"/>
        <v>558.98130789078027</v>
      </c>
      <c r="AO686">
        <f t="shared" si="620"/>
        <v>-526.23763295157141</v>
      </c>
      <c r="AQ686">
        <f t="shared" si="621"/>
        <v>0.14980097989546612</v>
      </c>
      <c r="AR686">
        <f t="shared" si="622"/>
        <v>-38.703841651974081</v>
      </c>
      <c r="AT686">
        <f t="shared" si="623"/>
        <v>-129501.84680202162</v>
      </c>
      <c r="AU686">
        <f t="shared" si="624"/>
        <v>-152629.00916845954</v>
      </c>
      <c r="AV686">
        <f t="shared" si="625"/>
        <v>4.0087811172962278</v>
      </c>
      <c r="AW686">
        <f t="shared" si="626"/>
        <v>-15666.305334119179</v>
      </c>
      <c r="AX686">
        <f t="shared" si="627"/>
        <v>-26779.656529625674</v>
      </c>
      <c r="AY686">
        <f t="shared" si="628"/>
        <v>4.1830661686568087</v>
      </c>
      <c r="BA686">
        <f t="shared" si="629"/>
        <v>6.4516489561811463</v>
      </c>
      <c r="BB686">
        <f t="shared" si="630"/>
        <v>16.193414575017187</v>
      </c>
      <c r="BC686">
        <f t="shared" si="631"/>
        <v>-0.17428505136058092</v>
      </c>
      <c r="BD686">
        <f t="shared" si="632"/>
        <v>-9.9857978865925094</v>
      </c>
      <c r="BF686">
        <f t="shared" si="633"/>
        <v>-13.225124696100767</v>
      </c>
      <c r="BG686">
        <f t="shared" si="634"/>
        <v>-142.24591297832825</v>
      </c>
      <c r="BH686">
        <f t="shared" si="635"/>
        <v>37.754087021671751</v>
      </c>
      <c r="BI686">
        <f t="shared" si="636"/>
        <v>37.754087021671751</v>
      </c>
    </row>
    <row r="687" spans="1:69" x14ac:dyDescent="0.25">
      <c r="A687">
        <f>Fp2_u</f>
        <v>159476.19027575068</v>
      </c>
      <c r="B687">
        <f t="shared" si="591"/>
        <v>159.47619027575067</v>
      </c>
      <c r="C687">
        <f>SQRT((A687/Fesr)^2+1)</f>
        <v>1.6581438444381338</v>
      </c>
      <c r="D687">
        <f>ATAN(A687/Fesr)</f>
        <v>0.92343463617954602</v>
      </c>
      <c r="F687">
        <f t="shared" si="594"/>
        <v>1.0087377601851E-3</v>
      </c>
      <c r="G687">
        <f t="shared" si="595"/>
        <v>1.0809419993786427E-2</v>
      </c>
      <c r="H687">
        <f t="shared" si="596"/>
        <v>-3.1307832300062137</v>
      </c>
      <c r="J687">
        <f t="shared" si="597"/>
        <v>15</v>
      </c>
      <c r="M687">
        <f t="shared" si="598"/>
        <v>7.9775028897745119E-3</v>
      </c>
      <c r="N687">
        <f t="shared" si="599"/>
        <v>-1.5707963250000001</v>
      </c>
      <c r="O687">
        <f t="shared" si="600"/>
        <v>46.344123443838882</v>
      </c>
      <c r="P687">
        <f t="shared" si="601"/>
        <v>1.5492169432283664</v>
      </c>
      <c r="Q687">
        <f t="shared" si="602"/>
        <v>40.926636338206443</v>
      </c>
      <c r="R687">
        <f t="shared" si="603"/>
        <v>1.5463599298825059</v>
      </c>
      <c r="S687">
        <f t="shared" si="604"/>
        <v>0.62944672905329357</v>
      </c>
      <c r="T687">
        <f t="shared" si="605"/>
        <v>-0.88995534118004993</v>
      </c>
      <c r="U687">
        <f t="shared" si="606"/>
        <v>0.70710678118654746</v>
      </c>
      <c r="V687">
        <f t="shared" si="607"/>
        <v>-0.78539816339744828</v>
      </c>
      <c r="X687">
        <f>20*LOG(C687*J687*O687*Q687*F687*M687*S687*U687)</f>
        <v>-15.443931632180059</v>
      </c>
      <c r="Y687">
        <f>(180/Pi)*(D687+H687+N687+P687+R687+T687+V687)</f>
        <v>-135.09895340912283</v>
      </c>
      <c r="Z687">
        <f t="shared" si="610"/>
        <v>44.901046590877172</v>
      </c>
      <c r="AC687">
        <v>1</v>
      </c>
      <c r="AD687">
        <f t="shared" si="611"/>
        <v>46.333333333333329</v>
      </c>
      <c r="AE687">
        <f t="shared" si="612"/>
        <v>-6.9640282583621664E-3</v>
      </c>
      <c r="AF687">
        <f t="shared" si="613"/>
        <v>6.9640282583621664E-3</v>
      </c>
      <c r="AG687">
        <f t="shared" si="614"/>
        <v>3254.8211790280006</v>
      </c>
      <c r="AH687">
        <f t="shared" si="615"/>
        <v>-3398.4162310439419</v>
      </c>
      <c r="AJ687">
        <f t="shared" si="616"/>
        <v>18000</v>
      </c>
      <c r="AK687">
        <f t="shared" si="617"/>
        <v>22220.761245674734</v>
      </c>
      <c r="AL687">
        <v>1</v>
      </c>
      <c r="AM687">
        <f t="shared" si="618"/>
        <v>40.914417531718563</v>
      </c>
      <c r="AN687">
        <f t="shared" si="619"/>
        <v>553.52554101493479</v>
      </c>
      <c r="AO687">
        <f t="shared" si="620"/>
        <v>-426.41385388072138</v>
      </c>
      <c r="AQ687">
        <f t="shared" si="621"/>
        <v>9.8297853664931281E-2</v>
      </c>
      <c r="AR687">
        <f t="shared" si="622"/>
        <v>-31.352334429532956</v>
      </c>
      <c r="AT687">
        <f t="shared" si="623"/>
        <v>-106228.34027048099</v>
      </c>
      <c r="AU687">
        <f t="shared" si="624"/>
        <v>-102380.29913458432</v>
      </c>
      <c r="AV687">
        <f t="shared" si="625"/>
        <v>3.9085466838198144</v>
      </c>
      <c r="AW687">
        <f t="shared" si="626"/>
        <v>-9401.0537682622144</v>
      </c>
      <c r="AX687">
        <f t="shared" si="627"/>
        <v>-22197.22654328886</v>
      </c>
      <c r="AY687">
        <f t="shared" si="628"/>
        <v>4.3117693469117713</v>
      </c>
      <c r="BA687">
        <f t="shared" si="629"/>
        <v>6.1202191142092888</v>
      </c>
      <c r="BB687">
        <f t="shared" si="630"/>
        <v>15.735339418037153</v>
      </c>
      <c r="BC687">
        <f t="shared" si="631"/>
        <v>-0.40322266309195687</v>
      </c>
      <c r="BD687">
        <f t="shared" si="632"/>
        <v>-23.102956825593612</v>
      </c>
      <c r="BF687">
        <f>20*LOG(BA687*J687*F687*C687)</f>
        <v>-16.274825778087738</v>
      </c>
      <c r="BG687">
        <f>(180/Pi)*(D687+H687+BC687)</f>
        <v>-149.57471531051371</v>
      </c>
      <c r="BH687">
        <f t="shared" si="635"/>
        <v>30.42528468948629</v>
      </c>
      <c r="BI687">
        <f t="shared" si="636"/>
        <v>30.42528468948629</v>
      </c>
    </row>
    <row r="688" spans="1:69" x14ac:dyDescent="0.25">
      <c r="A688">
        <f>'Bode Plots Calculations'!BK5*1000</f>
        <v>37000</v>
      </c>
      <c r="B688">
        <f t="shared" si="591"/>
        <v>37</v>
      </c>
      <c r="C688">
        <f>SQRT((A688/Fesr)^2+1)</f>
        <v>1.0460256543279938</v>
      </c>
      <c r="D688">
        <f>ATAN(A688/Fesr)</f>
        <v>0.29774827264968484</v>
      </c>
      <c r="F688">
        <f t="shared" ref="F688" si="637">(Ro/(Ro+Rdcr))/SQRT((A688/(Q*Fo))^2+(1-(A688^2/Fo^2))^2)</f>
        <v>1.9059872372423216E-2</v>
      </c>
      <c r="G688">
        <f t="shared" ref="G688" si="638">-ATAN(A688*Fo/(Q*(Fo^2-A688^2)))</f>
        <v>4.7402819415357005E-2</v>
      </c>
      <c r="H688">
        <f t="shared" ref="H688" si="639">IF(G688&gt;0,G688-Pi,G688)</f>
        <v>-3.0941898305846434</v>
      </c>
      <c r="J688">
        <f t="shared" si="597"/>
        <v>15</v>
      </c>
      <c r="M688">
        <f t="shared" ref="M688" si="640">1/(2*Pi*_Rfb1*(Cc1ea_u+Cc2ea_u)*A688)</f>
        <v>3.4384372129054895E-2</v>
      </c>
      <c r="N688">
        <f t="shared" si="599"/>
        <v>-1.5707963250000001</v>
      </c>
      <c r="O688">
        <f t="shared" ref="O688" si="641">SQRT(1+(A688/Fz1_u)^2)</f>
        <v>10.796188469572138</v>
      </c>
      <c r="P688">
        <f t="shared" ref="P688" si="642">ATAN(A688/Fz1_u)</f>
        <v>1.4780380854180271</v>
      </c>
      <c r="Q688">
        <f t="shared" ref="Q688" si="643">SQRT(1+(A688/Fz2_u)^2)</f>
        <v>9.5450634518167448</v>
      </c>
      <c r="R688">
        <f t="shared" ref="R688" si="644">ATAN(A688/Fz2_u)</f>
        <v>1.4658375252199669</v>
      </c>
      <c r="S688">
        <f t="shared" ref="S688" si="645">1/SQRT(1+(A688/Fp1_u)^2)</f>
        <v>0.96134638679449691</v>
      </c>
      <c r="T688">
        <f t="shared" ref="T688" si="646">-ATAN(A688/Fp1_u)</f>
        <v>-0.27894526088350441</v>
      </c>
      <c r="U688">
        <f t="shared" ref="U688" si="647">1/SQRT(1+(A688/Fp2_u)^2)</f>
        <v>0.97412579540190436</v>
      </c>
      <c r="V688">
        <f t="shared" ref="V688" si="648">-ATAN(A688/Fp2_u)</f>
        <v>-0.22797613914449075</v>
      </c>
      <c r="X688">
        <f>20*LOG(C688*J688*O688*Q688*F688*M688*S688*U688)</f>
        <v>-6.6821979332148285E-2</v>
      </c>
      <c r="Y688">
        <f>(180/Pi)*(D688+H688+N688+P688+R688+T688+V688)</f>
        <v>-110.59710781360934</v>
      </c>
      <c r="Z688">
        <f t="shared" ref="Z688" si="649">Y688+180</f>
        <v>69.402892186390659</v>
      </c>
      <c r="AC688">
        <v>1</v>
      </c>
      <c r="AD688">
        <f t="shared" ref="AD688" si="650">Rcea1_u*Cc1ea_u*A688*2*Pi</f>
        <v>10.749776066064001</v>
      </c>
      <c r="AE688">
        <f t="shared" ref="AE688" si="651">-Rcea1_u*Cc1ea_u*Cc2ea_u*(A688*2*Pi)^2</f>
        <v>-3.7486273400904761E-4</v>
      </c>
      <c r="AF688">
        <f t="shared" ref="AF688" si="652">(Cc2ea_u+Cc1ea_u)*A688*2*Pi</f>
        <v>1.6157210998950001E-3</v>
      </c>
      <c r="AG688">
        <f t="shared" ref="AG688" si="653">AC688*AE688/(AE688^2+AF688^2)+AD688*AF688/(AE688^2+AF688^2)</f>
        <v>6177.1367609162435</v>
      </c>
      <c r="AH688">
        <f t="shared" ref="AH688" si="654">AD688*AE688/(AE688^2+AF688^2)-AC688*AF688/(AE688^2+AF688^2)</f>
        <v>-2052.0734517611509</v>
      </c>
      <c r="AJ688">
        <f t="shared" si="616"/>
        <v>18000</v>
      </c>
      <c r="AK688">
        <f t="shared" ref="AK688" si="655">_Rfb1*Rcea2_u*Cc3ea_u*A688*2*Pi</f>
        <v>5155.4289368735999</v>
      </c>
      <c r="AL688">
        <v>1</v>
      </c>
      <c r="AM688">
        <f t="shared" ref="AM688" si="656">(_Rfb1+Rcea2_u)*Cc3ea_u*A688*2*Pi</f>
        <v>9.4925358202752008</v>
      </c>
      <c r="AN688">
        <f t="shared" ref="AN688" si="657">AJ688*AL688/(AL688^2+AM688^2)+AK688*AM688/(AL688^2+AM688^2)</f>
        <v>734.70957809264496</v>
      </c>
      <c r="AO688">
        <f t="shared" ref="AO688" si="658">AK688*AL688/(AL688^2+AM688^2)-AJ688*AM688/(AL688^2+AM688^2)</f>
        <v>-1818.8280506701119</v>
      </c>
      <c r="AQ688">
        <f t="shared" ref="AQ688" si="659">Eadcg/(1+(Eadcg*A688/GBP)^2)</f>
        <v>1.8258170531312763</v>
      </c>
      <c r="AR688">
        <f t="shared" ref="AR688" si="660">-(A688*Eadcg*Eadcg/GBP)/(1+(Eadcg*A688/GBP)^2)</f>
        <v>-135.11046193171444</v>
      </c>
      <c r="AT688">
        <f t="shared" ref="AT688" si="661">-AR688*AH688+AG688*AQ688</f>
        <v>-265978.27034765185</v>
      </c>
      <c r="AU688">
        <f t="shared" ref="AU688" si="662">AQ688*AH688+AG688*AR688</f>
        <v>-838342.51188527141</v>
      </c>
      <c r="AV688">
        <f t="shared" ref="AV688" si="663">IF(AT688&lt;0,ATAN(AU688/AT688)+Pi,ATAN(AU688/AT688))</f>
        <v>4.405167287286865</v>
      </c>
      <c r="AW688">
        <f t="shared" ref="AW688" si="664">AG688-AH688*AO688/_Rfb2+AG688*AN688/_Rfb2+AN688-AO688*AR688+AQ688*AN688</f>
        <v>-237248.7161383912</v>
      </c>
      <c r="AX688">
        <f t="shared" ref="AX688" si="665">AH688+AH688*AN688/_Rfb2+AG688*AO688/_Rfb2+AO688+AO688*AQ688+AN688*AR688</f>
        <v>-110263.84917415887</v>
      </c>
      <c r="AY688">
        <f t="shared" ref="AY688" si="666">IF(AW688&lt;0,ATAN(AX688/AW688)+Pi,ATAN(AX688/AW688))</f>
        <v>3.576653443776459</v>
      </c>
      <c r="BA688">
        <f t="shared" ref="BA688" si="667">SQRT(AT688^2+AU688^2)/SQRT(AW688^2+AX688^2)</f>
        <v>3.3618369726876876</v>
      </c>
      <c r="BB688">
        <f t="shared" ref="BB688" si="668">20*LOG(BA688)</f>
        <v>10.531532982908871</v>
      </c>
      <c r="BC688">
        <f t="shared" ref="BC688" si="669">AV688-AY688</f>
        <v>0.82851384351040602</v>
      </c>
      <c r="BD688">
        <f t="shared" ref="BD688" si="670">BC688*180/Pi</f>
        <v>47.470346555551394</v>
      </c>
      <c r="BF688">
        <v>0</v>
      </c>
      <c r="BG688">
        <f>(180/Pi)*(D688+H688+BC688)</f>
        <v>-112.75395255219335</v>
      </c>
      <c r="BH688">
        <f t="shared" ref="BH688:BH690" si="671">IF(BG688&gt;180,BG688-180,BG688+180)</f>
        <v>67.246047447806646</v>
      </c>
      <c r="BI688">
        <f t="shared" ref="BI688:BI690" si="672">IF(BH688&gt;180,BH688-360,BH688)</f>
        <v>67.246047447806646</v>
      </c>
    </row>
    <row r="689" spans="1:61" x14ac:dyDescent="0.25">
      <c r="A689">
        <v>1000000</v>
      </c>
      <c r="B689">
        <f t="shared" si="591"/>
        <v>1000</v>
      </c>
      <c r="BG689">
        <f>BG688</f>
        <v>-112.75395255219335</v>
      </c>
      <c r="BH689">
        <f t="shared" si="671"/>
        <v>67.246047447806646</v>
      </c>
      <c r="BI689">
        <f t="shared" si="672"/>
        <v>67.246047447806646</v>
      </c>
    </row>
    <row r="690" spans="1:61" x14ac:dyDescent="0.25">
      <c r="A690">
        <f>'Bode Plots Calculations'!BK5*1000</f>
        <v>37000</v>
      </c>
      <c r="B690">
        <f t="shared" si="591"/>
        <v>37</v>
      </c>
      <c r="BG690">
        <f>BG688</f>
        <v>-112.75395255219335</v>
      </c>
      <c r="BH690">
        <f t="shared" si="671"/>
        <v>67.246047447806646</v>
      </c>
      <c r="BI690">
        <f t="shared" si="672"/>
        <v>67.246047447806646</v>
      </c>
    </row>
    <row r="691" spans="1:61" x14ac:dyDescent="0.25">
      <c r="A691">
        <f>'Bode Plots Calculations'!BK5*1000</f>
        <v>37000</v>
      </c>
      <c r="B691">
        <f t="shared" si="591"/>
        <v>37</v>
      </c>
      <c r="BG691">
        <v>-90</v>
      </c>
    </row>
    <row r="692" spans="1:61" x14ac:dyDescent="0.25">
      <c r="A692">
        <f>'Bode Plots Calculations'!BK5*1000</f>
        <v>37000</v>
      </c>
      <c r="B692">
        <f t="shared" si="591"/>
        <v>37</v>
      </c>
      <c r="BG692">
        <v>-80</v>
      </c>
    </row>
  </sheetData>
  <mergeCells count="8">
    <mergeCell ref="A1:G1"/>
    <mergeCell ref="C6:H6"/>
    <mergeCell ref="C679:H679"/>
    <mergeCell ref="O7:P7"/>
    <mergeCell ref="U7:V7"/>
    <mergeCell ref="S7:T7"/>
    <mergeCell ref="Q7:R7"/>
    <mergeCell ref="M7:N7"/>
  </mergeCells>
  <phoneticPr fontId="5" type="noConversion"/>
  <pageMargins left="0.75" right="0.75" top="1" bottom="1" header="0.5" footer="0.5"/>
  <pageSetup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2:B9"/>
  <sheetViews>
    <sheetView zoomScaleNormal="100" workbookViewId="0">
      <selection activeCell="B2" sqref="B2"/>
    </sheetView>
  </sheetViews>
  <sheetFormatPr defaultColWidth="9.109375" defaultRowHeight="13.2" x14ac:dyDescent="0.25"/>
  <cols>
    <col min="1" max="1" width="10.5546875" style="385" customWidth="1"/>
    <col min="2" max="2" width="133.6640625" style="385" customWidth="1"/>
    <col min="3" max="16384" width="9.109375" style="385"/>
  </cols>
  <sheetData>
    <row r="2" spans="1:2" x14ac:dyDescent="0.25">
      <c r="A2" s="385" t="str">
        <f>IF(RDSON_sense=1, "SCH_RDSON", "SCH_SHUNT")</f>
        <v>SCH_RDSON</v>
      </c>
    </row>
    <row r="5" spans="1:2" ht="403.5" customHeight="1" x14ac:dyDescent="0.25">
      <c r="B5" s="346"/>
    </row>
    <row r="6" spans="1:2" ht="12" customHeight="1" x14ac:dyDescent="0.25">
      <c r="B6" s="346"/>
    </row>
    <row r="7" spans="1:2" ht="34.5" customHeight="1" x14ac:dyDescent="0.25"/>
    <row r="8" spans="1:2" ht="404.1" customHeight="1" x14ac:dyDescent="0.25">
      <c r="B8" s="346"/>
    </row>
    <row r="9" spans="1:2" x14ac:dyDescent="0.25">
      <c r="B9" s="346"/>
    </row>
  </sheetData>
  <phoneticPr fontId="106"/>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Q209"/>
  <sheetViews>
    <sheetView topLeftCell="I1" workbookViewId="0">
      <selection activeCell="P9" sqref="P9"/>
    </sheetView>
  </sheetViews>
  <sheetFormatPr defaultRowHeight="13.2" x14ac:dyDescent="0.25"/>
  <cols>
    <col min="1" max="1" width="19.88671875" customWidth="1"/>
    <col min="2" max="2" width="13.109375" bestFit="1" customWidth="1"/>
    <col min="4" max="4" width="61.5546875" customWidth="1"/>
    <col min="8" max="8" width="11" bestFit="1" customWidth="1"/>
    <col min="10" max="10" width="12.44140625" bestFit="1" customWidth="1"/>
    <col min="11" max="11" width="12.44140625" customWidth="1"/>
    <col min="12" max="12" width="10" customWidth="1"/>
    <col min="13" max="13" width="11" customWidth="1"/>
    <col min="14" max="14" width="11.44140625" customWidth="1"/>
    <col min="15" max="15" width="10.33203125" bestFit="1" customWidth="1"/>
    <col min="16" max="16" width="8" customWidth="1"/>
    <col min="17" max="17" width="11.88671875" style="40" customWidth="1"/>
    <col min="18" max="18" width="10.33203125" style="9" customWidth="1"/>
    <col min="19" max="19" width="9.44140625" bestFit="1" customWidth="1"/>
    <col min="20" max="20" width="11.5546875" customWidth="1"/>
    <col min="21" max="21" width="12.5546875" bestFit="1" customWidth="1"/>
    <col min="22" max="22" width="12.33203125" bestFit="1" customWidth="1"/>
    <col min="23" max="23" width="10.5546875" bestFit="1" customWidth="1"/>
    <col min="24" max="25" width="10.33203125" customWidth="1"/>
    <col min="26" max="27" width="12.44140625" customWidth="1"/>
    <col min="28" max="28" width="11.109375" bestFit="1" customWidth="1"/>
    <col min="29" max="29" width="11.88671875" customWidth="1"/>
    <col min="30" max="30" width="12.44140625" customWidth="1"/>
    <col min="31" max="31" width="9.5546875" bestFit="1" customWidth="1"/>
    <col min="32" max="32" width="11.5546875" customWidth="1"/>
    <col min="33" max="34" width="12.6640625" customWidth="1"/>
    <col min="35" max="35" width="14.33203125" customWidth="1"/>
    <col min="36" max="36" width="10.88671875" bestFit="1" customWidth="1"/>
    <col min="37" max="37" width="10" customWidth="1"/>
    <col min="38" max="38" width="11.33203125" customWidth="1"/>
    <col min="39" max="39" width="10.6640625" customWidth="1"/>
    <col min="41" max="41" width="10" style="4" bestFit="1" customWidth="1"/>
    <col min="42" max="42" width="15" customWidth="1"/>
    <col min="43" max="43" width="14.88671875" style="10" customWidth="1"/>
    <col min="55" max="55" width="28.44140625" customWidth="1"/>
    <col min="58" max="58" width="12.44140625" bestFit="1" customWidth="1"/>
  </cols>
  <sheetData>
    <row r="1" spans="1:69" ht="12.75" customHeight="1" x14ac:dyDescent="0.25">
      <c r="A1" s="566" t="s">
        <v>195</v>
      </c>
      <c r="B1" s="566"/>
      <c r="C1" s="566"/>
      <c r="D1" s="566"/>
    </row>
    <row r="2" spans="1:69" ht="12.75" customHeight="1" x14ac:dyDescent="0.25">
      <c r="A2" s="566"/>
      <c r="B2" s="566"/>
      <c r="C2" s="566"/>
      <c r="D2" s="566"/>
    </row>
    <row r="3" spans="1:69" ht="12.75" customHeight="1" x14ac:dyDescent="0.25">
      <c r="A3" s="566"/>
      <c r="B3" s="566"/>
      <c r="C3" s="566"/>
      <c r="D3" s="566"/>
      <c r="AG3">
        <f>VsdBot</f>
        <v>0.8</v>
      </c>
      <c r="AK3">
        <f>Iq</f>
        <v>2E-3</v>
      </c>
    </row>
    <row r="4" spans="1:69" ht="12.75" customHeight="1" x14ac:dyDescent="0.25">
      <c r="A4" s="566"/>
      <c r="B4" s="566"/>
      <c r="C4" s="566"/>
      <c r="D4" s="566"/>
    </row>
    <row r="5" spans="1:69" x14ac:dyDescent="0.25">
      <c r="A5" s="11"/>
      <c r="B5" s="12"/>
      <c r="C5" s="6"/>
      <c r="D5" s="6"/>
    </row>
    <row r="6" spans="1:69" ht="13.5" customHeight="1" thickBot="1" x14ac:dyDescent="0.3">
      <c r="A6" s="567" t="s">
        <v>198</v>
      </c>
      <c r="B6" s="567"/>
      <c r="C6" s="567"/>
      <c r="D6" s="567"/>
      <c r="BH6">
        <v>80</v>
      </c>
      <c r="BI6">
        <v>100</v>
      </c>
      <c r="BJ6">
        <v>120</v>
      </c>
      <c r="BK6">
        <v>140</v>
      </c>
      <c r="BL6">
        <v>160</v>
      </c>
      <c r="BM6">
        <v>180</v>
      </c>
      <c r="BN6">
        <v>20</v>
      </c>
      <c r="BO6">
        <v>30</v>
      </c>
      <c r="BP6">
        <v>40</v>
      </c>
      <c r="BQ6">
        <v>50</v>
      </c>
    </row>
    <row r="7" spans="1:69" ht="13.8" thickBot="1" x14ac:dyDescent="0.3">
      <c r="A7" s="567"/>
      <c r="B7" s="567"/>
      <c r="C7" s="567"/>
      <c r="D7" s="567"/>
      <c r="G7" s="13" t="s">
        <v>118</v>
      </c>
      <c r="H7" s="14"/>
      <c r="I7" s="15"/>
      <c r="J7" s="15"/>
      <c r="K7" s="497"/>
      <c r="L7" s="497"/>
      <c r="M7" s="497"/>
      <c r="N7" s="13" t="s">
        <v>143</v>
      </c>
      <c r="O7" s="14"/>
      <c r="P7" s="14"/>
      <c r="Q7" s="16"/>
      <c r="R7" s="67" t="s">
        <v>36</v>
      </c>
      <c r="S7" s="17"/>
      <c r="T7" s="15"/>
      <c r="U7" s="13" t="s">
        <v>127</v>
      </c>
      <c r="V7" s="18"/>
      <c r="W7" s="15"/>
      <c r="X7" s="13" t="s">
        <v>256</v>
      </c>
      <c r="Y7" s="14"/>
      <c r="Z7" s="14"/>
      <c r="AA7" s="479"/>
      <c r="AB7" s="14"/>
      <c r="AC7" s="15"/>
      <c r="AD7" s="13" t="s">
        <v>255</v>
      </c>
      <c r="AE7" s="18"/>
      <c r="AF7" s="68"/>
      <c r="AG7" s="15"/>
      <c r="AH7" s="415" t="s">
        <v>619</v>
      </c>
      <c r="AI7" s="69" t="s">
        <v>372</v>
      </c>
      <c r="AJ7" s="14" t="s">
        <v>371</v>
      </c>
      <c r="AK7" s="70" t="s">
        <v>237</v>
      </c>
      <c r="AL7" s="71"/>
      <c r="AM7" s="72"/>
      <c r="AN7" s="73"/>
      <c r="AO7" s="13" t="s">
        <v>254</v>
      </c>
      <c r="AP7" s="14"/>
      <c r="AQ7" s="14"/>
      <c r="AR7" s="14"/>
      <c r="AS7" s="14"/>
    </row>
    <row r="8" spans="1:69" ht="66.599999999999994" thickBot="1" x14ac:dyDescent="0.55000000000000004">
      <c r="A8" s="19" t="s">
        <v>189</v>
      </c>
      <c r="B8" s="19"/>
      <c r="C8" s="19"/>
      <c r="D8" s="6"/>
      <c r="G8" s="20" t="s">
        <v>120</v>
      </c>
      <c r="H8" s="21" t="s">
        <v>6</v>
      </c>
      <c r="I8" s="21" t="s">
        <v>247</v>
      </c>
      <c r="J8" s="22" t="s">
        <v>248</v>
      </c>
      <c r="K8" s="498" t="s">
        <v>742</v>
      </c>
      <c r="L8" s="498" t="s">
        <v>743</v>
      </c>
      <c r="M8" s="498" t="s">
        <v>741</v>
      </c>
      <c r="N8" s="20" t="s">
        <v>252</v>
      </c>
      <c r="O8" s="21" t="s">
        <v>165</v>
      </c>
      <c r="P8" s="21" t="s">
        <v>121</v>
      </c>
      <c r="Q8" s="74" t="s">
        <v>373</v>
      </c>
      <c r="R8" s="75" t="s">
        <v>157</v>
      </c>
      <c r="S8" s="23" t="s">
        <v>164</v>
      </c>
      <c r="T8" s="74" t="s">
        <v>374</v>
      </c>
      <c r="U8" s="20" t="s">
        <v>157</v>
      </c>
      <c r="V8" s="21" t="s">
        <v>163</v>
      </c>
      <c r="W8" s="74" t="s">
        <v>375</v>
      </c>
      <c r="X8" s="20" t="s">
        <v>157</v>
      </c>
      <c r="Y8" s="21" t="s">
        <v>162</v>
      </c>
      <c r="Z8" s="21" t="s">
        <v>744</v>
      </c>
      <c r="AA8" s="499" t="s">
        <v>731</v>
      </c>
      <c r="AB8" s="76" t="s">
        <v>377</v>
      </c>
      <c r="AC8" s="74" t="s">
        <v>376</v>
      </c>
      <c r="AD8" s="20" t="s">
        <v>157</v>
      </c>
      <c r="AE8" s="21" t="s">
        <v>162</v>
      </c>
      <c r="AF8" s="21" t="s">
        <v>172</v>
      </c>
      <c r="AG8" s="77" t="s">
        <v>746</v>
      </c>
      <c r="AH8" s="77" t="s">
        <v>620</v>
      </c>
      <c r="AI8" s="74" t="s">
        <v>172</v>
      </c>
      <c r="AJ8" s="78" t="s">
        <v>171</v>
      </c>
      <c r="AK8" s="79" t="s">
        <v>197</v>
      </c>
      <c r="AL8" s="80" t="s">
        <v>270</v>
      </c>
      <c r="AM8" s="81" t="s">
        <v>379</v>
      </c>
      <c r="AN8" s="82" t="s">
        <v>253</v>
      </c>
      <c r="AO8" s="83" t="s">
        <v>122</v>
      </c>
      <c r="AP8" s="21" t="s">
        <v>123</v>
      </c>
      <c r="AQ8" s="84" t="s">
        <v>124</v>
      </c>
      <c r="AR8" s="21" t="s">
        <v>257</v>
      </c>
      <c r="AS8" s="21" t="s">
        <v>258</v>
      </c>
      <c r="BF8" t="s">
        <v>220</v>
      </c>
      <c r="BH8" t="s">
        <v>212</v>
      </c>
      <c r="BI8" t="s">
        <v>213</v>
      </c>
      <c r="BJ8" t="s">
        <v>214</v>
      </c>
      <c r="BK8" t="s">
        <v>215</v>
      </c>
      <c r="BL8" t="s">
        <v>216</v>
      </c>
      <c r="BM8" t="s">
        <v>217</v>
      </c>
      <c r="BN8" t="s">
        <v>221</v>
      </c>
      <c r="BO8" t="s">
        <v>222</v>
      </c>
      <c r="BP8" t="s">
        <v>223</v>
      </c>
      <c r="BQ8" t="s">
        <v>224</v>
      </c>
    </row>
    <row r="9" spans="1:69" x14ac:dyDescent="0.25">
      <c r="A9" s="24" t="s">
        <v>125</v>
      </c>
      <c r="B9" s="25" t="s">
        <v>201</v>
      </c>
      <c r="C9" s="26" t="s">
        <v>148</v>
      </c>
      <c r="D9" s="27" t="s">
        <v>188</v>
      </c>
      <c r="G9">
        <v>0</v>
      </c>
      <c r="H9">
        <f t="shared" ref="H9:H72" si="0">Iout*(G9/200)</f>
        <v>0</v>
      </c>
      <c r="I9" s="407">
        <f t="shared" ref="I9:I73" si="1">(Vout+Rdcr*H9+RdsonBot*H9)/(Vin-RdsonTop*H9+RdsonBot*H9)</f>
        <v>0.21249999999999999</v>
      </c>
      <c r="J9" s="408">
        <f t="shared" ref="J9:J72" si="2">(Vin-Vout)*I9/(Fsw*Lout2)</f>
        <v>1.8091216216216213</v>
      </c>
      <c r="K9" s="408">
        <f>H9+J9/2</f>
        <v>0.90456081081081063</v>
      </c>
      <c r="L9" s="408">
        <f>H9-J9/2</f>
        <v>-0.90456081081081063</v>
      </c>
      <c r="M9" s="63">
        <f t="shared" ref="M9:M72" si="3">IF(MIN(Vin, -L9/(CossTop+CossBot)*0.00000002)&lt;0, 0, MIN(Vin, -L9/(CossTop+CossBot)*0.00000002))</f>
        <v>24</v>
      </c>
      <c r="N9" s="407">
        <f t="shared" ref="N9:N40" si="4">SQRT(H9^2+(J9^2)/12)</f>
        <v>0.52224842762000767</v>
      </c>
      <c r="O9" s="407">
        <f t="shared" ref="O9:O73" si="5">(N9^2*Rdcr*(1+Ltc*Ta-Ltc*25))/(1-N9^2*Rdcr*Ltc*ThetaCa)</f>
        <v>1.3638658949373772E-3</v>
      </c>
      <c r="P9">
        <f t="shared" ref="P9:P72" si="6">Core_Loss</f>
        <v>0.2</v>
      </c>
      <c r="Q9" s="407">
        <f>O9+P9</f>
        <v>0.20136386589493738</v>
      </c>
      <c r="R9" s="9">
        <f>J9/(2*SQRT(3))</f>
        <v>0.52224842762000767</v>
      </c>
      <c r="S9" s="9">
        <f t="shared" ref="S9:S73" si="7">RCoutEsr*R9^2</f>
        <v>2.7274342015157038E-3</v>
      </c>
      <c r="T9" s="9">
        <f>S9</f>
        <v>2.7274342015157038E-3</v>
      </c>
      <c r="U9" s="407">
        <f t="shared" ref="U9:U40" si="8">SQRT(I9)*SQRT(H9^2+(J9^2)/12)</f>
        <v>0.24074462980969838</v>
      </c>
      <c r="V9" s="409">
        <f t="shared" ref="V9:V73" si="9">RCinEsr*U9^2</f>
        <v>1.1591595356441744E-4</v>
      </c>
      <c r="W9" s="407">
        <f>V9</f>
        <v>1.1591595356441744E-4</v>
      </c>
      <c r="X9" s="407">
        <f t="shared" ref="X9:X40" si="10">SQRT(I9)*SQRT(H9^2+(J9^2)/12)</f>
        <v>0.24074462980969838</v>
      </c>
      <c r="Y9" s="407">
        <f t="shared" ref="Y9:Y73" si="11">RdsonTop*X9^2</f>
        <v>3.4774786069325232E-4</v>
      </c>
      <c r="Z9" s="407">
        <f t="shared" ref="Z9:Z72" si="12">IF(L9&lt;0, (Vin*K9*Tf/2)*Fsw, (Vin*L9*Tr/2+Vin*K9*Tf/2)*Fsw)</f>
        <v>3.2901641926900996E-2</v>
      </c>
      <c r="AA9" s="407">
        <f t="shared" ref="AA9:AA72" si="13">(0.5*CossTop*(Vin-M9)^2-0.5*CossBot*(Vin-M9)^2+(QossBot*(Vin-M9)/Vin)*Vin)*Fsw</f>
        <v>0</v>
      </c>
      <c r="AB9" s="407">
        <f t="shared" ref="AB9:AB72" si="14">IF(L9&gt;0,0,-L9*VsdTop*Deadtime*Fsw)</f>
        <v>6.5128378378378361E-3</v>
      </c>
      <c r="AC9" s="407">
        <f t="shared" ref="AC9:AC40" si="15">(AB9+AA9+Z9+Y9*(1+RdsonTopTc*Ta-RdsonTopTc*25))/(1-Y9*RdsonTopTc*ThetaJaTop)</f>
        <v>3.9764993263699672E-2</v>
      </c>
      <c r="AD9" s="407">
        <f t="shared" ref="AD9:AD40" si="16">SQRT(1-I9)*SQRT(H9^2+(J9^2)/12)</f>
        <v>0.46344950465974361</v>
      </c>
      <c r="AE9" s="407">
        <f t="shared" ref="AE9:AE73" si="17">RdsonBot*AD9^2</f>
        <v>1.2887126602161702E-3</v>
      </c>
      <c r="AF9" s="407">
        <f t="shared" ref="AF9:AF72" si="18">IF(L9&lt;0, Deadtime*Fsw*IF(VfdSky&gt;0,0,VsdBot)*K9, Deadtime*Fsw*IF(VfdSky&gt;0,0,VsdBot)*(K9+L9))</f>
        <v>6.5128378378378361E-3</v>
      </c>
      <c r="AG9" s="407">
        <f t="shared" ref="AG9:AG40" si="19">(AF9+AE9*(1+RdsonBotTc*Ta-RdsonBotTc*25))/(1-AE9*RdsonBotTc*ThetaJaBot)</f>
        <v>7.8035618078333129E-3</v>
      </c>
      <c r="AH9" s="407">
        <f t="shared" ref="AH9:AH40" si="20">IF(RDSON_sense=1, 0, AD9^2*Rshunt)</f>
        <v>0</v>
      </c>
      <c r="AI9">
        <f t="shared" ref="AI9:AI72" si="21">2*Deadtime*Fsw*IF(VfdSky&gt;0,VfdSky,0)*H9</f>
        <v>0</v>
      </c>
      <c r="AJ9" s="408">
        <f t="shared" ref="AJ9:AJ72" si="22">IF(QrrSky&gt;0,QrrSky,QrrBot)*Fsw*(Vin-H9*RdsonTop)</f>
        <v>0.4536</v>
      </c>
      <c r="AK9">
        <f t="shared" ref="AK9:AK73" si="23">Iq*Vin</f>
        <v>4.8000000000000001E-2</v>
      </c>
      <c r="AL9" s="408">
        <f t="shared" ref="AL9:AL72" si="24">IF(Ext_VCC=1, Vdd*(QgTop+QgBot)*Fsw, Vin*(QgTop+QgBot)*Fsw)</f>
        <v>0.1215</v>
      </c>
      <c r="AM9" s="408">
        <f t="shared" ref="AM9:AM73" si="25">(Vin-Vdd)*Fsw*(QgTop+QgBot)+(RdsonDRT+RdsonDRT2)*Fsw*QgTop*Vdd/(RdsonDRT+2*RGateTop+RdsonDRT2)+(RdsonDRB+RdsonDRB2)*Fsw*QgBot*Vdd/(RdsonDRB+2*RGateBot+RdsonDRB2)</f>
        <v>0.31645971316818772</v>
      </c>
      <c r="AN9" s="408">
        <f>SUM(AK9:AL9)</f>
        <v>0.16949999999999998</v>
      </c>
      <c r="AO9" s="408">
        <f t="shared" ref="AO9:AO40" si="26">SUM(Q9,T9,W9,AC9,AJ9,AI9,AG9,AN9, AH9)</f>
        <v>0.87487577112155035</v>
      </c>
      <c r="AP9">
        <f t="shared" ref="AP9:AP72" si="27">Vout*H9</f>
        <v>0</v>
      </c>
      <c r="AQ9" s="10">
        <f>AP9/(AP9+AO9)</f>
        <v>0</v>
      </c>
      <c r="AR9" s="63">
        <f t="shared" ref="AR9:AR40" si="28">ThetaJaTop*AC9</f>
        <v>1.9882496631849835</v>
      </c>
      <c r="AS9" s="63">
        <f>AG9*ThetaJaBot</f>
        <v>0.39017809039166562</v>
      </c>
      <c r="AU9">
        <f>AQ9*100</f>
        <v>0</v>
      </c>
      <c r="BC9" t="s">
        <v>225</v>
      </c>
      <c r="BD9" s="28">
        <v>70</v>
      </c>
      <c r="BE9" s="28">
        <v>70</v>
      </c>
      <c r="BF9" s="28">
        <v>70</v>
      </c>
      <c r="BG9" s="29">
        <f>250000*(5-Vdd)*BF9/1000000000+((250000*BF9/1000000000*Vdd)*2.5/(2*4))</f>
        <v>-2.7343749999999972E-3</v>
      </c>
      <c r="BH9">
        <f t="shared" ref="BH9:BQ17" si="29">BH$6*$BG9</f>
        <v>-0.21874999999999978</v>
      </c>
      <c r="BI9">
        <f t="shared" si="29"/>
        <v>-0.27343749999999972</v>
      </c>
      <c r="BJ9">
        <f t="shared" si="29"/>
        <v>-0.32812499999999967</v>
      </c>
      <c r="BK9">
        <f t="shared" si="29"/>
        <v>-0.38281249999999961</v>
      </c>
      <c r="BL9">
        <f t="shared" si="29"/>
        <v>-0.43749999999999956</v>
      </c>
      <c r="BM9">
        <f t="shared" si="29"/>
        <v>-0.4921874999999995</v>
      </c>
      <c r="BN9">
        <f t="shared" si="29"/>
        <v>-5.4687499999999944E-2</v>
      </c>
      <c r="BO9">
        <f t="shared" si="29"/>
        <v>-8.2031249999999917E-2</v>
      </c>
      <c r="BP9">
        <f t="shared" si="29"/>
        <v>-0.10937499999999989</v>
      </c>
      <c r="BQ9">
        <f t="shared" si="29"/>
        <v>-0.13671874999999986</v>
      </c>
    </row>
    <row r="10" spans="1:69" x14ac:dyDescent="0.25">
      <c r="A10" s="357"/>
      <c r="B10" s="34"/>
      <c r="C10" s="26"/>
      <c r="D10" s="27"/>
      <c r="G10">
        <v>1</v>
      </c>
      <c r="H10">
        <f t="shared" si="0"/>
        <v>0.03</v>
      </c>
      <c r="I10" s="407">
        <f t="shared" ref="I10" si="30">(Vout+Rdcr*H10+RdsonBot*H10)/(Vin-RdsonTop*H10+RdsonBot*H10)</f>
        <v>0.21251374999999997</v>
      </c>
      <c r="J10" s="408">
        <f t="shared" si="2"/>
        <v>1.8092386824324318</v>
      </c>
      <c r="K10" s="408">
        <f t="shared" ref="K10:K73" si="31">H10+J10/2</f>
        <v>0.93461934121621593</v>
      </c>
      <c r="L10" s="408">
        <f t="shared" ref="L10:L73" si="32">H10-J10/2</f>
        <v>-0.87461934121621587</v>
      </c>
      <c r="M10" s="63">
        <f t="shared" si="3"/>
        <v>24</v>
      </c>
      <c r="N10" s="407">
        <f t="shared" si="4"/>
        <v>0.52314311378514788</v>
      </c>
      <c r="O10" s="407">
        <f t="shared" ref="O10" si="33">(N10^2*Rdcr*(1+Ltc*Ta-Ltc*25))/(1-N10^2*Rdcr*Ltc*ThetaCa)</f>
        <v>1.3685434039855599E-3</v>
      </c>
      <c r="P10">
        <f t="shared" si="6"/>
        <v>0.2</v>
      </c>
      <c r="Q10" s="407">
        <f t="shared" ref="Q10:Q73" si="34">O10+P10</f>
        <v>0.20136854340398558</v>
      </c>
      <c r="R10" s="9">
        <f>J10/(2*SQRT(3))</f>
        <v>0.52228222016532422</v>
      </c>
      <c r="S10" s="9">
        <f t="shared" ref="S10" si="35">RCoutEsr*R10^2</f>
        <v>2.7277871750082021E-3</v>
      </c>
      <c r="T10" s="9">
        <f>S10</f>
        <v>2.7277871750082021E-3</v>
      </c>
      <c r="U10" s="407">
        <f t="shared" si="8"/>
        <v>0.24116486176740159</v>
      </c>
      <c r="V10" s="409">
        <f t="shared" ref="V10" si="36">RCinEsr*U10^2</f>
        <v>1.1632098110257984E-4</v>
      </c>
      <c r="W10" s="407">
        <f>V10</f>
        <v>1.1632098110257984E-4</v>
      </c>
      <c r="X10" s="407">
        <f t="shared" si="10"/>
        <v>0.24116486176740159</v>
      </c>
      <c r="Y10" s="407">
        <f t="shared" ref="Y10" si="37">RdsonTop*X10^2</f>
        <v>3.4896294330773951E-4</v>
      </c>
      <c r="Z10" s="407">
        <f t="shared" si="12"/>
        <v>3.3994962566517295E-2</v>
      </c>
      <c r="AA10" s="407">
        <f t="shared" si="13"/>
        <v>0</v>
      </c>
      <c r="AB10" s="407">
        <f t="shared" si="14"/>
        <v>6.2972592567567542E-3</v>
      </c>
      <c r="AC10" s="407">
        <f t="shared" si="15"/>
        <v>4.0644021418050173E-2</v>
      </c>
      <c r="AD10" s="407">
        <f t="shared" si="16"/>
        <v>0.46423940693302873</v>
      </c>
      <c r="AE10" s="407">
        <f t="shared" ref="AE10" si="38">RdsonBot*AD10^2</f>
        <v>1.2931093616971815E-3</v>
      </c>
      <c r="AF10" s="407">
        <f t="shared" si="18"/>
        <v>6.7292592567567543E-3</v>
      </c>
      <c r="AG10" s="407">
        <f t="shared" si="19"/>
        <v>8.0244439151637582E-3</v>
      </c>
      <c r="AH10" s="407">
        <f t="shared" si="20"/>
        <v>0</v>
      </c>
      <c r="AI10">
        <f t="shared" si="21"/>
        <v>0</v>
      </c>
      <c r="AJ10" s="408">
        <f t="shared" si="22"/>
        <v>0.45359659800000002</v>
      </c>
      <c r="AK10">
        <f t="shared" si="23"/>
        <v>4.8000000000000001E-2</v>
      </c>
      <c r="AL10" s="408">
        <f t="shared" si="24"/>
        <v>0.1215</v>
      </c>
      <c r="AM10" s="408">
        <f t="shared" si="25"/>
        <v>0.31645971316818772</v>
      </c>
      <c r="AN10" s="408">
        <f>SUM(AK10:AL10)</f>
        <v>0.16949999999999998</v>
      </c>
      <c r="AO10" s="408">
        <f t="shared" si="26"/>
        <v>0.87597771489331033</v>
      </c>
      <c r="AP10">
        <f t="shared" si="27"/>
        <v>0.153</v>
      </c>
      <c r="AQ10" s="10">
        <f>AP10/(AP10+AO10)</f>
        <v>0.14869126686175493</v>
      </c>
      <c r="AR10" s="63">
        <f t="shared" si="28"/>
        <v>2.0322010709025085</v>
      </c>
      <c r="AS10" s="63">
        <f>AG10*ThetaJaBot</f>
        <v>0.40122219575818791</v>
      </c>
      <c r="AU10">
        <f>AQ10*100</f>
        <v>14.869126686175493</v>
      </c>
      <c r="BD10" s="28"/>
      <c r="BE10" s="28"/>
      <c r="BF10" s="28"/>
      <c r="BG10" s="29"/>
    </row>
    <row r="11" spans="1:69" x14ac:dyDescent="0.25">
      <c r="A11" s="30" t="s">
        <v>4</v>
      </c>
      <c r="B11" s="5">
        <f>Vin</f>
        <v>24</v>
      </c>
      <c r="C11" s="417" t="s">
        <v>0</v>
      </c>
      <c r="D11" s="31" t="s">
        <v>4</v>
      </c>
      <c r="G11">
        <v>2</v>
      </c>
      <c r="H11">
        <f t="shared" si="0"/>
        <v>0.06</v>
      </c>
      <c r="I11" s="407">
        <f t="shared" si="1"/>
        <v>0.21252749999999998</v>
      </c>
      <c r="J11" s="408">
        <f t="shared" si="2"/>
        <v>1.8093557432432426</v>
      </c>
      <c r="K11" s="408">
        <f t="shared" si="31"/>
        <v>0.96467787162162133</v>
      </c>
      <c r="L11" s="408">
        <f t="shared" si="32"/>
        <v>-0.84467787162162122</v>
      </c>
      <c r="M11" s="63">
        <f t="shared" si="3"/>
        <v>24</v>
      </c>
      <c r="N11" s="407">
        <f t="shared" si="4"/>
        <v>0.52575090787743028</v>
      </c>
      <c r="O11" s="407">
        <f t="shared" si="5"/>
        <v>1.3822229119847818E-3</v>
      </c>
      <c r="P11">
        <f t="shared" si="6"/>
        <v>0.2</v>
      </c>
      <c r="Q11" s="407">
        <f t="shared" si="34"/>
        <v>0.20138222291198479</v>
      </c>
      <c r="R11" s="9">
        <f t="shared" ref="R11:R74" si="39">J11/(2*SQRT(3))</f>
        <v>0.52231601271064076</v>
      </c>
      <c r="S11" s="9">
        <f t="shared" si="7"/>
        <v>2.7281401713394227E-3</v>
      </c>
      <c r="T11" s="9">
        <f t="shared" ref="T11:T74" si="40">S11</f>
        <v>2.7281401713394227E-3</v>
      </c>
      <c r="U11" s="407">
        <f t="shared" si="8"/>
        <v>0.24237487499003255</v>
      </c>
      <c r="V11" s="409">
        <f t="shared" si="9"/>
        <v>1.1749116005286781E-4</v>
      </c>
      <c r="W11" s="407">
        <f t="shared" ref="W11:W74" si="41">V11</f>
        <v>1.1749116005286781E-4</v>
      </c>
      <c r="X11" s="407">
        <f t="shared" si="10"/>
        <v>0.24237487499003255</v>
      </c>
      <c r="Y11" s="407">
        <f t="shared" si="11"/>
        <v>3.5247348015860343E-4</v>
      </c>
      <c r="Z11" s="407">
        <f t="shared" si="12"/>
        <v>3.5088283206133594E-2</v>
      </c>
      <c r="AA11" s="407">
        <f t="shared" si="13"/>
        <v>0</v>
      </c>
      <c r="AB11" s="407">
        <f t="shared" si="14"/>
        <v>6.0816806756756733E-3</v>
      </c>
      <c r="AC11" s="407">
        <f t="shared" si="15"/>
        <v>4.1525364679928595E-2</v>
      </c>
      <c r="AD11" s="407">
        <f t="shared" si="16"/>
        <v>0.46654950124023098</v>
      </c>
      <c r="AE11" s="407">
        <f t="shared" si="17"/>
        <v>1.3060106226450499E-3</v>
      </c>
      <c r="AF11" s="407">
        <f t="shared" si="18"/>
        <v>6.9456806756756735E-3</v>
      </c>
      <c r="AG11" s="407">
        <f t="shared" si="19"/>
        <v>8.2538472207503225E-3</v>
      </c>
      <c r="AH11" s="407">
        <f t="shared" si="20"/>
        <v>0</v>
      </c>
      <c r="AI11">
        <f t="shared" si="21"/>
        <v>0</v>
      </c>
      <c r="AJ11" s="408">
        <f t="shared" si="22"/>
        <v>0.45359319599999998</v>
      </c>
      <c r="AK11">
        <f t="shared" si="23"/>
        <v>4.8000000000000001E-2</v>
      </c>
      <c r="AL11" s="408">
        <f t="shared" si="24"/>
        <v>0.1215</v>
      </c>
      <c r="AM11" s="408">
        <f t="shared" si="25"/>
        <v>0.31645971316818772</v>
      </c>
      <c r="AN11" s="408">
        <f t="shared" ref="AN11:AN74" si="42">SUM(AK11:AL11)</f>
        <v>0.16949999999999998</v>
      </c>
      <c r="AO11" s="408">
        <f t="shared" si="26"/>
        <v>0.8771002621440559</v>
      </c>
      <c r="AP11">
        <f t="shared" si="27"/>
        <v>0.30599999999999999</v>
      </c>
      <c r="AQ11" s="10">
        <f t="shared" ref="AQ11:AQ74" si="43">AP11/(AP11+AO11)</f>
        <v>0.25864249192664029</v>
      </c>
      <c r="AR11" s="63">
        <f t="shared" si="28"/>
        <v>2.0762682339964296</v>
      </c>
      <c r="AS11" s="63">
        <f t="shared" ref="AS11:AS74" si="44">AG11*ThetaJaBot</f>
        <v>0.41269236103751611</v>
      </c>
      <c r="AT11" s="10"/>
      <c r="AU11">
        <f t="shared" ref="AU11:AU74" si="45">AQ11*100</f>
        <v>25.86424919266403</v>
      </c>
      <c r="BC11" t="s">
        <v>226</v>
      </c>
      <c r="BD11" s="28">
        <v>90</v>
      </c>
      <c r="BE11" s="28">
        <v>90</v>
      </c>
      <c r="BF11" s="28">
        <v>90</v>
      </c>
      <c r="BG11" s="29">
        <f>250000*(12-Vdd)*BF11/1000000000+((250000*BF9/1000000000*Vdd)*2.5/(2*4))</f>
        <v>0.14226562500000001</v>
      </c>
      <c r="BH11">
        <f t="shared" si="29"/>
        <v>11.381250000000001</v>
      </c>
      <c r="BI11">
        <f t="shared" si="29"/>
        <v>14.2265625</v>
      </c>
      <c r="BJ11">
        <f t="shared" si="29"/>
        <v>17.071875000000002</v>
      </c>
      <c r="BK11">
        <f t="shared" si="29"/>
        <v>19.917187500000001</v>
      </c>
      <c r="BL11">
        <f t="shared" si="29"/>
        <v>22.762500000000003</v>
      </c>
      <c r="BM11">
        <f t="shared" si="29"/>
        <v>25.607812500000001</v>
      </c>
      <c r="BN11">
        <f t="shared" si="29"/>
        <v>2.8453125000000004</v>
      </c>
      <c r="BO11">
        <f t="shared" si="29"/>
        <v>4.2679687500000005</v>
      </c>
      <c r="BP11">
        <f t="shared" si="29"/>
        <v>5.6906250000000007</v>
      </c>
      <c r="BQ11">
        <f t="shared" si="29"/>
        <v>7.11328125</v>
      </c>
    </row>
    <row r="12" spans="1:69" x14ac:dyDescent="0.25">
      <c r="A12" s="32" t="s">
        <v>5</v>
      </c>
      <c r="B12" s="5">
        <f>Vout</f>
        <v>5.0999999999999996</v>
      </c>
      <c r="C12" s="417" t="s">
        <v>0</v>
      </c>
      <c r="D12" s="31" t="s">
        <v>5</v>
      </c>
      <c r="G12">
        <v>3</v>
      </c>
      <c r="H12">
        <f t="shared" si="0"/>
        <v>0.09</v>
      </c>
      <c r="I12" s="407">
        <f t="shared" si="1"/>
        <v>0.21254124999999999</v>
      </c>
      <c r="J12" s="408">
        <f t="shared" si="2"/>
        <v>1.8094728040540535</v>
      </c>
      <c r="K12" s="408">
        <f t="shared" si="31"/>
        <v>0.99473640202702673</v>
      </c>
      <c r="L12" s="408">
        <f t="shared" si="32"/>
        <v>-0.8147364020270268</v>
      </c>
      <c r="M12" s="63">
        <f t="shared" si="3"/>
        <v>24</v>
      </c>
      <c r="N12" s="407">
        <f t="shared" si="4"/>
        <v>0.53004652536445951</v>
      </c>
      <c r="O12" s="407">
        <f t="shared" si="5"/>
        <v>1.4049044780372576E-3</v>
      </c>
      <c r="P12">
        <f t="shared" si="6"/>
        <v>0.2</v>
      </c>
      <c r="Q12" s="407">
        <f t="shared" si="34"/>
        <v>0.20140490447803727</v>
      </c>
      <c r="R12" s="9">
        <f t="shared" si="39"/>
        <v>0.52234980525595742</v>
      </c>
      <c r="S12" s="9">
        <f t="shared" si="7"/>
        <v>2.7284931905093663E-3</v>
      </c>
      <c r="T12" s="9">
        <f t="shared" si="40"/>
        <v>2.7284931905093663E-3</v>
      </c>
      <c r="U12" s="407">
        <f t="shared" si="8"/>
        <v>0.24436308939308915</v>
      </c>
      <c r="V12" s="409">
        <f t="shared" si="9"/>
        <v>1.1942663891546976E-4</v>
      </c>
      <c r="W12" s="407">
        <f t="shared" si="41"/>
        <v>1.1942663891546976E-4</v>
      </c>
      <c r="X12" s="407">
        <f t="shared" si="10"/>
        <v>0.24436308939308915</v>
      </c>
      <c r="Y12" s="407">
        <f t="shared" si="11"/>
        <v>3.5827991674640928E-4</v>
      </c>
      <c r="Z12" s="407">
        <f t="shared" si="12"/>
        <v>3.6181603845749893E-2</v>
      </c>
      <c r="AA12" s="407">
        <f t="shared" si="13"/>
        <v>0</v>
      </c>
      <c r="AB12" s="407">
        <f t="shared" si="14"/>
        <v>5.8661020945945924E-3</v>
      </c>
      <c r="AC12" s="407">
        <f t="shared" si="15"/>
        <v>4.2409024717459907E-2</v>
      </c>
      <c r="AD12" s="407">
        <f t="shared" si="16"/>
        <v>0.47035731055571117</v>
      </c>
      <c r="AE12" s="407">
        <f t="shared" si="17"/>
        <v>1.3274159975592103E-3</v>
      </c>
      <c r="AF12" s="407">
        <f t="shared" si="18"/>
        <v>7.1621020945945926E-3</v>
      </c>
      <c r="AG12" s="407">
        <f t="shared" si="19"/>
        <v>8.4917725150906367E-3</v>
      </c>
      <c r="AH12" s="407">
        <f t="shared" si="20"/>
        <v>0</v>
      </c>
      <c r="AI12">
        <f t="shared" si="21"/>
        <v>0</v>
      </c>
      <c r="AJ12" s="408">
        <f t="shared" si="22"/>
        <v>0.45358979399999999</v>
      </c>
      <c r="AK12">
        <f t="shared" si="23"/>
        <v>4.8000000000000001E-2</v>
      </c>
      <c r="AL12" s="408">
        <f t="shared" si="24"/>
        <v>0.1215</v>
      </c>
      <c r="AM12" s="408">
        <f t="shared" si="25"/>
        <v>0.31645971316818772</v>
      </c>
      <c r="AN12" s="408">
        <f t="shared" si="42"/>
        <v>0.16949999999999998</v>
      </c>
      <c r="AO12" s="408">
        <f t="shared" si="26"/>
        <v>0.87824341554001262</v>
      </c>
      <c r="AP12">
        <f t="shared" si="27"/>
        <v>0.45899999999999996</v>
      </c>
      <c r="AQ12" s="10">
        <f t="shared" si="43"/>
        <v>0.34324341751545973</v>
      </c>
      <c r="AR12" s="63">
        <f t="shared" si="28"/>
        <v>2.1204512358729954</v>
      </c>
      <c r="AS12" s="63">
        <f t="shared" si="44"/>
        <v>0.42458862575453182</v>
      </c>
      <c r="AT12" s="10"/>
      <c r="AU12">
        <f t="shared" si="45"/>
        <v>34.324341751545973</v>
      </c>
      <c r="BC12" t="s">
        <v>231</v>
      </c>
      <c r="BD12" s="28">
        <v>60</v>
      </c>
      <c r="BE12" s="28">
        <v>60</v>
      </c>
      <c r="BF12" s="28">
        <v>60</v>
      </c>
      <c r="BG12" s="29">
        <f>250000*(18-Vdd)*BF12/1000000000+((250000*BF9/1000000000*Vdd)*2.5/(2*4))</f>
        <v>0.198515625</v>
      </c>
      <c r="BH12">
        <f t="shared" si="29"/>
        <v>15.88125</v>
      </c>
      <c r="BI12">
        <f t="shared" si="29"/>
        <v>19.8515625</v>
      </c>
      <c r="BJ12">
        <f t="shared" si="29"/>
        <v>23.821874999999999</v>
      </c>
      <c r="BK12">
        <f t="shared" si="29"/>
        <v>27.792187500000001</v>
      </c>
      <c r="BL12">
        <f t="shared" si="29"/>
        <v>31.762499999999999</v>
      </c>
      <c r="BM12">
        <f t="shared" si="29"/>
        <v>35.732812500000001</v>
      </c>
      <c r="BN12">
        <f t="shared" si="29"/>
        <v>3.9703124999999999</v>
      </c>
      <c r="BO12">
        <f t="shared" si="29"/>
        <v>5.9554687499999996</v>
      </c>
      <c r="BP12">
        <f t="shared" si="29"/>
        <v>7.9406249999999998</v>
      </c>
      <c r="BQ12">
        <f t="shared" si="29"/>
        <v>9.92578125</v>
      </c>
    </row>
    <row r="13" spans="1:69" x14ac:dyDescent="0.25">
      <c r="A13" s="32" t="s">
        <v>7</v>
      </c>
      <c r="B13" s="5">
        <f>Fsw/1000</f>
        <v>300</v>
      </c>
      <c r="C13" s="417" t="s">
        <v>3</v>
      </c>
      <c r="D13" s="31" t="s">
        <v>173</v>
      </c>
      <c r="G13">
        <v>4</v>
      </c>
      <c r="H13">
        <f t="shared" si="0"/>
        <v>0.12</v>
      </c>
      <c r="I13" s="407">
        <f t="shared" si="1"/>
        <v>0.21255500000000002</v>
      </c>
      <c r="J13" s="408">
        <f t="shared" si="2"/>
        <v>1.8095898648648649</v>
      </c>
      <c r="K13" s="408">
        <f t="shared" si="31"/>
        <v>1.0247949324324326</v>
      </c>
      <c r="L13" s="408">
        <f t="shared" si="32"/>
        <v>-0.78479493243243248</v>
      </c>
      <c r="M13" s="63">
        <f t="shared" si="3"/>
        <v>23.21878498320806</v>
      </c>
      <c r="N13" s="407">
        <f t="shared" si="4"/>
        <v>0.53598938725669132</v>
      </c>
      <c r="O13" s="407">
        <f t="shared" si="5"/>
        <v>1.4365882001389552E-3</v>
      </c>
      <c r="P13">
        <f t="shared" si="6"/>
        <v>0.2</v>
      </c>
      <c r="Q13" s="407">
        <f t="shared" si="34"/>
        <v>0.20143658820013896</v>
      </c>
      <c r="R13" s="9">
        <f t="shared" si="39"/>
        <v>0.52238359780127419</v>
      </c>
      <c r="S13" s="9">
        <f t="shared" si="7"/>
        <v>2.728846232518034E-3</v>
      </c>
      <c r="T13" s="9">
        <f t="shared" si="40"/>
        <v>2.728846232518034E-3</v>
      </c>
      <c r="U13" s="407">
        <f t="shared" si="8"/>
        <v>0.24711087207018448</v>
      </c>
      <c r="V13" s="409">
        <f t="shared" si="9"/>
        <v>1.2212756619057417E-4</v>
      </c>
      <c r="W13" s="407">
        <f t="shared" si="41"/>
        <v>1.2212756619057417E-4</v>
      </c>
      <c r="X13" s="407">
        <f t="shared" si="10"/>
        <v>0.24711087207018448</v>
      </c>
      <c r="Y13" s="407">
        <f t="shared" si="11"/>
        <v>3.663826985717225E-4</v>
      </c>
      <c r="Z13" s="407">
        <f t="shared" si="12"/>
        <v>3.7274924485366207E-2</v>
      </c>
      <c r="AA13" s="407">
        <f t="shared" si="13"/>
        <v>4.687290100751639E-3</v>
      </c>
      <c r="AB13" s="407">
        <f t="shared" si="14"/>
        <v>5.650523513513514E-3</v>
      </c>
      <c r="AC13" s="407">
        <f t="shared" si="15"/>
        <v>4.7982636799794136E-2</v>
      </c>
      <c r="AD13" s="407">
        <f t="shared" si="16"/>
        <v>0.47562678662635932</v>
      </c>
      <c r="AE13" s="407">
        <f t="shared" si="17"/>
        <v>1.357325040939098E-3</v>
      </c>
      <c r="AF13" s="407">
        <f t="shared" si="18"/>
        <v>7.3785235135135144E-3</v>
      </c>
      <c r="AG13" s="407">
        <f t="shared" si="19"/>
        <v>8.7382206755998622E-3</v>
      </c>
      <c r="AH13" s="407">
        <f t="shared" si="20"/>
        <v>0</v>
      </c>
      <c r="AI13">
        <f t="shared" si="21"/>
        <v>0</v>
      </c>
      <c r="AJ13" s="408">
        <f t="shared" si="22"/>
        <v>0.453586392</v>
      </c>
      <c r="AK13">
        <f t="shared" si="23"/>
        <v>4.8000000000000001E-2</v>
      </c>
      <c r="AL13" s="408">
        <f t="shared" si="24"/>
        <v>0.1215</v>
      </c>
      <c r="AM13" s="408">
        <f t="shared" si="25"/>
        <v>0.31645971316818772</v>
      </c>
      <c r="AN13" s="408">
        <f t="shared" si="42"/>
        <v>0.16949999999999998</v>
      </c>
      <c r="AO13" s="408">
        <f t="shared" si="26"/>
        <v>0.88409481147424152</v>
      </c>
      <c r="AP13">
        <f t="shared" si="27"/>
        <v>0.61199999999999999</v>
      </c>
      <c r="AQ13" s="10">
        <f t="shared" si="43"/>
        <v>0.4090649839209986</v>
      </c>
      <c r="AR13" s="63">
        <f t="shared" si="28"/>
        <v>2.3991318399897068</v>
      </c>
      <c r="AS13" s="63">
        <f t="shared" si="44"/>
        <v>0.43691103377999313</v>
      </c>
      <c r="AT13" s="10"/>
      <c r="AU13">
        <f t="shared" si="45"/>
        <v>40.906498392099863</v>
      </c>
      <c r="BC13" t="s">
        <v>227</v>
      </c>
      <c r="BD13" s="28">
        <v>30</v>
      </c>
      <c r="BE13" s="28">
        <v>30</v>
      </c>
      <c r="BF13" s="28">
        <v>30</v>
      </c>
      <c r="BG13" s="29">
        <f>500000*(5-Vdd)*BF13/1000000000+((500000*BF9/1000000000*Vdd)*2.5/(2*4))</f>
        <v>4.4531250000000001E-2</v>
      </c>
      <c r="BH13">
        <f t="shared" si="29"/>
        <v>3.5625</v>
      </c>
      <c r="BI13">
        <f t="shared" si="29"/>
        <v>4.453125</v>
      </c>
      <c r="BJ13">
        <f t="shared" si="29"/>
        <v>5.34375</v>
      </c>
      <c r="BK13">
        <f t="shared" si="29"/>
        <v>6.234375</v>
      </c>
      <c r="BL13">
        <f t="shared" si="29"/>
        <v>7.125</v>
      </c>
      <c r="BM13">
        <f t="shared" si="29"/>
        <v>8.015625</v>
      </c>
      <c r="BN13">
        <f t="shared" si="29"/>
        <v>0.890625</v>
      </c>
      <c r="BO13">
        <f t="shared" si="29"/>
        <v>1.3359375</v>
      </c>
      <c r="BP13">
        <f t="shared" si="29"/>
        <v>1.78125</v>
      </c>
      <c r="BQ13">
        <f t="shared" si="29"/>
        <v>2.2265625</v>
      </c>
    </row>
    <row r="14" spans="1:69" x14ac:dyDescent="0.25">
      <c r="A14" s="32" t="s">
        <v>6</v>
      </c>
      <c r="B14" s="5">
        <f>Iout</f>
        <v>6</v>
      </c>
      <c r="C14" s="417" t="s">
        <v>2</v>
      </c>
      <c r="D14" s="31" t="s">
        <v>174</v>
      </c>
      <c r="G14">
        <v>5</v>
      </c>
      <c r="H14">
        <f t="shared" si="0"/>
        <v>0.15000000000000002</v>
      </c>
      <c r="I14" s="407">
        <f t="shared" si="1"/>
        <v>0.21256874999999997</v>
      </c>
      <c r="J14" s="408">
        <f t="shared" si="2"/>
        <v>1.809706925675675</v>
      </c>
      <c r="K14" s="408">
        <f t="shared" si="31"/>
        <v>1.0548534628378374</v>
      </c>
      <c r="L14" s="408">
        <f t="shared" si="32"/>
        <v>-0.7548534628378375</v>
      </c>
      <c r="M14" s="63">
        <f t="shared" si="3"/>
        <v>22.332942687509984</v>
      </c>
      <c r="N14" s="407">
        <f t="shared" si="4"/>
        <v>0.54352546374253885</v>
      </c>
      <c r="O14" s="407">
        <f t="shared" si="5"/>
        <v>1.4772742151806495E-3</v>
      </c>
      <c r="P14">
        <f t="shared" si="6"/>
        <v>0.2</v>
      </c>
      <c r="Q14" s="407">
        <f t="shared" si="34"/>
        <v>0.20147727421518066</v>
      </c>
      <c r="R14" s="9">
        <f t="shared" si="39"/>
        <v>0.52241739034659052</v>
      </c>
      <c r="S14" s="9">
        <f t="shared" si="7"/>
        <v>2.7291992973654195E-3</v>
      </c>
      <c r="T14" s="9">
        <f t="shared" si="40"/>
        <v>2.7291992973654195E-3</v>
      </c>
      <c r="U14" s="407">
        <f t="shared" si="8"/>
        <v>0.2505933861640896</v>
      </c>
      <c r="V14" s="409">
        <f t="shared" si="9"/>
        <v>1.2559409037836907E-4</v>
      </c>
      <c r="W14" s="407">
        <f t="shared" si="41"/>
        <v>1.2559409037836907E-4</v>
      </c>
      <c r="X14" s="407">
        <f t="shared" si="10"/>
        <v>0.2505933861640896</v>
      </c>
      <c r="Y14" s="407">
        <f t="shared" si="11"/>
        <v>3.7678227113510724E-4</v>
      </c>
      <c r="Z14" s="407">
        <f t="shared" si="12"/>
        <v>3.8368245124982485E-2</v>
      </c>
      <c r="AA14" s="407">
        <f t="shared" si="13"/>
        <v>1.0002343874940096E-2</v>
      </c>
      <c r="AB14" s="407">
        <f t="shared" si="14"/>
        <v>5.4349449324324296E-3</v>
      </c>
      <c r="AC14" s="407">
        <f t="shared" si="15"/>
        <v>5.4186399498423653E-2</v>
      </c>
      <c r="AD14" s="407">
        <f t="shared" si="16"/>
        <v>0.48230994655652432</v>
      </c>
      <c r="AE14" s="407">
        <f t="shared" si="17"/>
        <v>1.3957373072841441E-3</v>
      </c>
      <c r="AF14" s="407">
        <f t="shared" si="18"/>
        <v>7.5949449324324292E-3</v>
      </c>
      <c r="AG14" s="407">
        <f t="shared" si="19"/>
        <v>8.9931926666198519E-3</v>
      </c>
      <c r="AH14" s="407">
        <f t="shared" si="20"/>
        <v>0</v>
      </c>
      <c r="AI14">
        <f t="shared" si="21"/>
        <v>0</v>
      </c>
      <c r="AJ14" s="408">
        <f t="shared" si="22"/>
        <v>0.45358298999999996</v>
      </c>
      <c r="AK14">
        <f t="shared" si="23"/>
        <v>4.8000000000000001E-2</v>
      </c>
      <c r="AL14" s="408">
        <f t="shared" si="24"/>
        <v>0.1215</v>
      </c>
      <c r="AM14" s="408">
        <f t="shared" si="25"/>
        <v>0.31645971316818772</v>
      </c>
      <c r="AN14" s="408">
        <f t="shared" si="42"/>
        <v>0.16949999999999998</v>
      </c>
      <c r="AO14" s="408">
        <f t="shared" si="26"/>
        <v>0.89059464976796787</v>
      </c>
      <c r="AP14">
        <f t="shared" si="27"/>
        <v>0.76500000000000001</v>
      </c>
      <c r="AQ14" s="10">
        <f t="shared" si="43"/>
        <v>0.46206962562195703</v>
      </c>
      <c r="AR14" s="63">
        <f t="shared" si="28"/>
        <v>2.7093199749211827</v>
      </c>
      <c r="AS14" s="63">
        <f t="shared" si="44"/>
        <v>0.44965963333099257</v>
      </c>
      <c r="AT14" s="10"/>
      <c r="AU14">
        <f t="shared" si="45"/>
        <v>46.206962562195706</v>
      </c>
      <c r="BC14" t="s">
        <v>230</v>
      </c>
      <c r="BD14" s="28">
        <v>45</v>
      </c>
      <c r="BE14" s="28">
        <v>45</v>
      </c>
      <c r="BF14" s="28">
        <v>45</v>
      </c>
      <c r="BG14" s="29">
        <f>500000*(12-Vdd)*BF14/1000000000+((500000*BF9/1000000000*Vdd)*2.5/(2*4))</f>
        <v>0.18328125000000001</v>
      </c>
      <c r="BH14">
        <f t="shared" si="29"/>
        <v>14.662500000000001</v>
      </c>
      <c r="BI14">
        <f t="shared" si="29"/>
        <v>18.328125</v>
      </c>
      <c r="BJ14">
        <f t="shared" si="29"/>
        <v>21.993750000000002</v>
      </c>
      <c r="BK14">
        <f t="shared" si="29"/>
        <v>25.659375000000001</v>
      </c>
      <c r="BL14">
        <f t="shared" si="29"/>
        <v>29.325000000000003</v>
      </c>
      <c r="BM14">
        <f t="shared" si="29"/>
        <v>32.990625000000001</v>
      </c>
      <c r="BN14">
        <f t="shared" si="29"/>
        <v>3.6656250000000004</v>
      </c>
      <c r="BO14">
        <f t="shared" si="29"/>
        <v>5.4984375000000005</v>
      </c>
      <c r="BP14">
        <f t="shared" si="29"/>
        <v>7.3312500000000007</v>
      </c>
      <c r="BQ14">
        <f t="shared" si="29"/>
        <v>9.1640625</v>
      </c>
    </row>
    <row r="15" spans="1:69" x14ac:dyDescent="0.25">
      <c r="A15" s="33" t="s">
        <v>156</v>
      </c>
      <c r="B15" s="5">
        <f>Ta</f>
        <v>25</v>
      </c>
      <c r="C15" s="417" t="s">
        <v>719</v>
      </c>
      <c r="D15" s="31" t="s">
        <v>175</v>
      </c>
      <c r="G15">
        <v>6</v>
      </c>
      <c r="H15">
        <f t="shared" si="0"/>
        <v>0.18</v>
      </c>
      <c r="I15" s="407">
        <f t="shared" si="1"/>
        <v>0.21258249999999998</v>
      </c>
      <c r="J15" s="408">
        <f t="shared" si="2"/>
        <v>1.809823986486486</v>
      </c>
      <c r="K15" s="408">
        <f t="shared" si="31"/>
        <v>1.0849119932432429</v>
      </c>
      <c r="L15" s="408">
        <f t="shared" si="32"/>
        <v>-0.72491199324324307</v>
      </c>
      <c r="M15" s="63">
        <f t="shared" si="3"/>
        <v>21.447100391811926</v>
      </c>
      <c r="N15" s="407">
        <f t="shared" si="4"/>
        <v>0.55258957509633944</v>
      </c>
      <c r="O15" s="407">
        <f t="shared" si="5"/>
        <v>1.5269626989494153E-3</v>
      </c>
      <c r="P15">
        <f t="shared" si="6"/>
        <v>0.2</v>
      </c>
      <c r="Q15" s="407">
        <f t="shared" si="34"/>
        <v>0.20152696269894943</v>
      </c>
      <c r="R15" s="9">
        <f t="shared" si="39"/>
        <v>0.52245118289190717</v>
      </c>
      <c r="S15" s="9">
        <f t="shared" si="7"/>
        <v>2.7295523850515303E-3</v>
      </c>
      <c r="T15" s="9">
        <f t="shared" si="40"/>
        <v>2.7295523850515303E-3</v>
      </c>
      <c r="U15" s="407">
        <f t="shared" si="8"/>
        <v>0.25478065073612177</v>
      </c>
      <c r="V15" s="409">
        <f t="shared" si="9"/>
        <v>1.2982635997904336E-4</v>
      </c>
      <c r="W15" s="407">
        <f t="shared" si="41"/>
        <v>1.2982635997904336E-4</v>
      </c>
      <c r="X15" s="407">
        <f t="shared" si="10"/>
        <v>0.25478065073612177</v>
      </c>
      <c r="Y15" s="407">
        <f t="shared" si="11"/>
        <v>3.8947907993713008E-4</v>
      </c>
      <c r="Z15" s="407">
        <f t="shared" si="12"/>
        <v>3.9461565764598791E-2</v>
      </c>
      <c r="AA15" s="407">
        <f t="shared" si="13"/>
        <v>1.5317397649128442E-2</v>
      </c>
      <c r="AB15" s="407">
        <f t="shared" si="14"/>
        <v>5.2193663513513504E-3</v>
      </c>
      <c r="AC15" s="407">
        <f t="shared" si="15"/>
        <v>6.0392513169108555E-2</v>
      </c>
      <c r="AD15" s="407">
        <f t="shared" si="16"/>
        <v>0.49034891507540962</v>
      </c>
      <c r="AE15" s="407">
        <f t="shared" si="17"/>
        <v>1.4426523510937877E-3</v>
      </c>
      <c r="AF15" s="407">
        <f t="shared" si="18"/>
        <v>7.8113663513513492E-3</v>
      </c>
      <c r="AG15" s="407">
        <f t="shared" si="19"/>
        <v>9.2566895394306167E-3</v>
      </c>
      <c r="AH15" s="407">
        <f t="shared" si="20"/>
        <v>0</v>
      </c>
      <c r="AI15">
        <f t="shared" si="21"/>
        <v>0</v>
      </c>
      <c r="AJ15" s="408">
        <f t="shared" si="22"/>
        <v>0.45357958799999998</v>
      </c>
      <c r="AK15">
        <f t="shared" si="23"/>
        <v>4.8000000000000001E-2</v>
      </c>
      <c r="AL15" s="408">
        <f t="shared" si="24"/>
        <v>0.1215</v>
      </c>
      <c r="AM15" s="408">
        <f t="shared" si="25"/>
        <v>0.31645971316818772</v>
      </c>
      <c r="AN15" s="408">
        <f t="shared" si="42"/>
        <v>0.16949999999999998</v>
      </c>
      <c r="AO15" s="408">
        <f t="shared" si="26"/>
        <v>0.89711513215251915</v>
      </c>
      <c r="AP15">
        <f t="shared" si="27"/>
        <v>0.91799999999999993</v>
      </c>
      <c r="AQ15" s="10">
        <f t="shared" si="43"/>
        <v>0.50575304218380723</v>
      </c>
      <c r="AR15" s="63">
        <f t="shared" si="28"/>
        <v>3.019625658455428</v>
      </c>
      <c r="AS15" s="63">
        <f t="shared" si="44"/>
        <v>0.46283447697153085</v>
      </c>
      <c r="AT15" s="10"/>
      <c r="AU15">
        <f t="shared" si="45"/>
        <v>50.575304218380722</v>
      </c>
      <c r="BC15" t="s">
        <v>228</v>
      </c>
      <c r="BD15" s="28">
        <v>20</v>
      </c>
      <c r="BE15" s="28">
        <v>20</v>
      </c>
      <c r="BF15" s="28">
        <v>20</v>
      </c>
      <c r="BG15" s="29">
        <f>1000000*(5-Vdd)*BF15/1000000000+((1000000*BF9/1000000000*Vdd)*2.5/(2*4))</f>
        <v>0.1140625</v>
      </c>
      <c r="BH15">
        <f t="shared" si="29"/>
        <v>9.125</v>
      </c>
      <c r="BI15">
        <f t="shared" si="29"/>
        <v>11.40625</v>
      </c>
      <c r="BJ15">
        <f t="shared" si="29"/>
        <v>13.6875</v>
      </c>
      <c r="BK15">
        <f t="shared" si="29"/>
        <v>15.96875</v>
      </c>
      <c r="BL15">
        <f t="shared" si="29"/>
        <v>18.25</v>
      </c>
      <c r="BM15">
        <f t="shared" si="29"/>
        <v>20.53125</v>
      </c>
      <c r="BN15">
        <f t="shared" si="29"/>
        <v>2.28125</v>
      </c>
      <c r="BO15">
        <f t="shared" si="29"/>
        <v>3.421875</v>
      </c>
      <c r="BP15">
        <f t="shared" si="29"/>
        <v>4.5625</v>
      </c>
      <c r="BQ15">
        <f t="shared" si="29"/>
        <v>5.703125</v>
      </c>
    </row>
    <row r="16" spans="1:69" x14ac:dyDescent="0.25">
      <c r="A16" s="406" t="s">
        <v>618</v>
      </c>
      <c r="B16" s="5">
        <v>7.5</v>
      </c>
      <c r="C16" s="417" t="s">
        <v>0</v>
      </c>
      <c r="D16" s="417" t="s">
        <v>623</v>
      </c>
      <c r="G16">
        <v>7</v>
      </c>
      <c r="H16">
        <f t="shared" si="0"/>
        <v>0.21000000000000002</v>
      </c>
      <c r="I16" s="407">
        <f t="shared" si="1"/>
        <v>0.21259625000000001</v>
      </c>
      <c r="J16" s="408">
        <f t="shared" si="2"/>
        <v>1.8099410472972972</v>
      </c>
      <c r="K16" s="408">
        <f t="shared" si="31"/>
        <v>1.1149705236486487</v>
      </c>
      <c r="L16" s="408">
        <f t="shared" si="32"/>
        <v>-0.69497052364864853</v>
      </c>
      <c r="M16" s="63">
        <f t="shared" si="3"/>
        <v>20.56125809611386</v>
      </c>
      <c r="N16" s="407">
        <f t="shared" si="4"/>
        <v>0.56310793775051371</v>
      </c>
      <c r="O16" s="407">
        <f t="shared" si="5"/>
        <v>1.58565386613051E-3</v>
      </c>
      <c r="P16">
        <f t="shared" si="6"/>
        <v>0.2</v>
      </c>
      <c r="Q16" s="407">
        <f t="shared" si="34"/>
        <v>0.20158565386613053</v>
      </c>
      <c r="R16" s="9">
        <f t="shared" si="39"/>
        <v>0.52248497543722394</v>
      </c>
      <c r="S16" s="9">
        <f t="shared" si="7"/>
        <v>2.7299054955763655E-3</v>
      </c>
      <c r="T16" s="9">
        <f t="shared" si="40"/>
        <v>2.7299054955763655E-3</v>
      </c>
      <c r="U16" s="407">
        <f t="shared" si="8"/>
        <v>0.25963871388218024</v>
      </c>
      <c r="V16" s="409">
        <f t="shared" si="9"/>
        <v>1.3482452349278533E-4</v>
      </c>
      <c r="W16" s="407">
        <f t="shared" si="41"/>
        <v>1.3482452349278533E-4</v>
      </c>
      <c r="X16" s="407">
        <f t="shared" si="10"/>
        <v>0.25963871388218024</v>
      </c>
      <c r="Y16" s="407">
        <f t="shared" si="11"/>
        <v>4.0447357047835594E-4</v>
      </c>
      <c r="Z16" s="407">
        <f t="shared" si="12"/>
        <v>4.0554886404215111E-2</v>
      </c>
      <c r="AA16" s="407">
        <f t="shared" si="13"/>
        <v>2.0632451423316836E-2</v>
      </c>
      <c r="AB16" s="407">
        <f t="shared" si="14"/>
        <v>5.0037877702702686E-3</v>
      </c>
      <c r="AC16" s="407">
        <f t="shared" si="15"/>
        <v>6.6600986836069173E-2</v>
      </c>
      <c r="AD16" s="407">
        <f t="shared" si="16"/>
        <v>0.49967818424586413</v>
      </c>
      <c r="AE16" s="407">
        <f t="shared" si="17"/>
        <v>1.4980697268674624E-3</v>
      </c>
      <c r="AF16" s="407">
        <f t="shared" si="18"/>
        <v>8.0277877702702709E-3</v>
      </c>
      <c r="AG16" s="407">
        <f t="shared" si="19"/>
        <v>9.528712432263893E-3</v>
      </c>
      <c r="AH16" s="407">
        <f t="shared" si="20"/>
        <v>0</v>
      </c>
      <c r="AI16">
        <f t="shared" si="21"/>
        <v>0</v>
      </c>
      <c r="AJ16" s="408">
        <f t="shared" si="22"/>
        <v>0.45357618600000005</v>
      </c>
      <c r="AK16">
        <f t="shared" si="23"/>
        <v>4.8000000000000001E-2</v>
      </c>
      <c r="AL16" s="408">
        <f t="shared" si="24"/>
        <v>0.1215</v>
      </c>
      <c r="AM16" s="408">
        <f t="shared" si="25"/>
        <v>0.31645971316818772</v>
      </c>
      <c r="AN16" s="408">
        <f t="shared" si="42"/>
        <v>0.16949999999999998</v>
      </c>
      <c r="AO16" s="408">
        <f t="shared" si="26"/>
        <v>0.90365626915353281</v>
      </c>
      <c r="AP16">
        <f t="shared" si="27"/>
        <v>1.071</v>
      </c>
      <c r="AQ16" s="10">
        <f t="shared" si="43"/>
        <v>0.54237287609508911</v>
      </c>
      <c r="AR16" s="63">
        <f t="shared" si="28"/>
        <v>3.3300493418034587</v>
      </c>
      <c r="AS16" s="63">
        <f t="shared" si="44"/>
        <v>0.47643562161319464</v>
      </c>
      <c r="AT16" s="10"/>
      <c r="AU16">
        <f t="shared" si="45"/>
        <v>54.237287609508911</v>
      </c>
      <c r="BC16" t="s">
        <v>229</v>
      </c>
      <c r="BD16" s="28">
        <v>25</v>
      </c>
      <c r="BE16" s="28">
        <v>25</v>
      </c>
      <c r="BF16" s="28">
        <v>25</v>
      </c>
      <c r="BG16" s="29">
        <f>1000000*(12-Vdd)*BF16/1000000000+((1000000*BF9/1000000000*Vdd)*2.5/(2*4))</f>
        <v>0.27656249999999999</v>
      </c>
      <c r="BH16">
        <f t="shared" si="29"/>
        <v>22.125</v>
      </c>
      <c r="BI16">
        <f t="shared" si="29"/>
        <v>27.65625</v>
      </c>
      <c r="BJ16">
        <f t="shared" si="29"/>
        <v>33.1875</v>
      </c>
      <c r="BK16">
        <f t="shared" si="29"/>
        <v>38.71875</v>
      </c>
      <c r="BL16">
        <f t="shared" si="29"/>
        <v>44.25</v>
      </c>
      <c r="BM16">
        <f t="shared" si="29"/>
        <v>49.78125</v>
      </c>
      <c r="BN16">
        <f t="shared" si="29"/>
        <v>5.53125</v>
      </c>
      <c r="BO16">
        <f t="shared" si="29"/>
        <v>8.296875</v>
      </c>
      <c r="BP16">
        <f t="shared" si="29"/>
        <v>11.0625</v>
      </c>
      <c r="BQ16">
        <f t="shared" si="29"/>
        <v>13.828125</v>
      </c>
    </row>
    <row r="17" spans="1:69" x14ac:dyDescent="0.25">
      <c r="A17" s="34" t="s">
        <v>128</v>
      </c>
      <c r="B17" s="26" t="s">
        <v>201</v>
      </c>
      <c r="C17" s="34" t="s">
        <v>148</v>
      </c>
      <c r="D17" s="27" t="s">
        <v>188</v>
      </c>
      <c r="G17">
        <v>8</v>
      </c>
      <c r="H17">
        <f t="shared" si="0"/>
        <v>0.24</v>
      </c>
      <c r="I17" s="407">
        <f t="shared" si="1"/>
        <v>0.21260999999999997</v>
      </c>
      <c r="J17" s="408">
        <f t="shared" si="2"/>
        <v>1.8100581081081073</v>
      </c>
      <c r="K17" s="408">
        <f t="shared" si="31"/>
        <v>1.1450290540540538</v>
      </c>
      <c r="L17" s="408">
        <f t="shared" si="32"/>
        <v>-0.66502905405405366</v>
      </c>
      <c r="M17" s="63">
        <f t="shared" si="3"/>
        <v>19.675415800415788</v>
      </c>
      <c r="N17" s="407">
        <f t="shared" si="4"/>
        <v>0.57500075034211195</v>
      </c>
      <c r="O17" s="407">
        <f t="shared" si="5"/>
        <v>1.6533479703096979E-3</v>
      </c>
      <c r="P17">
        <f t="shared" si="6"/>
        <v>0.2</v>
      </c>
      <c r="Q17" s="407">
        <f t="shared" si="34"/>
        <v>0.2016533479703097</v>
      </c>
      <c r="R17" s="9">
        <f t="shared" si="39"/>
        <v>0.52251876798254027</v>
      </c>
      <c r="S17" s="9">
        <f t="shared" si="7"/>
        <v>2.7302586289399172E-3</v>
      </c>
      <c r="T17" s="9">
        <f t="shared" si="40"/>
        <v>2.7302586289399172E-3</v>
      </c>
      <c r="U17" s="407">
        <f t="shared" si="8"/>
        <v>0.26513084450869079</v>
      </c>
      <c r="V17" s="409">
        <f t="shared" si="9"/>
        <v>1.4058872941978315E-4</v>
      </c>
      <c r="W17" s="407">
        <f t="shared" si="41"/>
        <v>1.4058872941978315E-4</v>
      </c>
      <c r="X17" s="407">
        <f t="shared" si="10"/>
        <v>0.26513084450869079</v>
      </c>
      <c r="Y17" s="407">
        <f t="shared" si="11"/>
        <v>4.2176618825934948E-4</v>
      </c>
      <c r="Z17" s="407">
        <f t="shared" si="12"/>
        <v>4.1648207043831389E-2</v>
      </c>
      <c r="AA17" s="407">
        <f t="shared" si="13"/>
        <v>2.5947505197505272E-2</v>
      </c>
      <c r="AB17" s="407">
        <f t="shared" si="14"/>
        <v>4.788209189189185E-3</v>
      </c>
      <c r="AC17" s="407">
        <f t="shared" si="15"/>
        <v>7.2811829532345607E-2</v>
      </c>
      <c r="AD17" s="407">
        <f t="shared" si="16"/>
        <v>0.51022690852609898</v>
      </c>
      <c r="AE17" s="407">
        <f t="shared" si="17"/>
        <v>1.561988989104601E-3</v>
      </c>
      <c r="AF17" s="407">
        <f t="shared" si="18"/>
        <v>8.2442091891891875E-3</v>
      </c>
      <c r="AG17" s="407">
        <f t="shared" si="19"/>
        <v>9.809262570319003E-3</v>
      </c>
      <c r="AH17" s="407">
        <f t="shared" si="20"/>
        <v>0</v>
      </c>
      <c r="AI17">
        <f t="shared" si="21"/>
        <v>0</v>
      </c>
      <c r="AJ17" s="408">
        <f t="shared" si="22"/>
        <v>0.45357278400000001</v>
      </c>
      <c r="AK17">
        <f t="shared" si="23"/>
        <v>4.8000000000000001E-2</v>
      </c>
      <c r="AL17" s="408">
        <f t="shared" si="24"/>
        <v>0.1215</v>
      </c>
      <c r="AM17" s="408">
        <f t="shared" si="25"/>
        <v>0.31645971316818772</v>
      </c>
      <c r="AN17" s="408">
        <f t="shared" si="42"/>
        <v>0.16949999999999998</v>
      </c>
      <c r="AO17" s="408">
        <f t="shared" si="26"/>
        <v>0.91021807143133393</v>
      </c>
      <c r="AP17">
        <f t="shared" si="27"/>
        <v>1.224</v>
      </c>
      <c r="AQ17" s="10">
        <f t="shared" si="43"/>
        <v>0.57351215247611154</v>
      </c>
      <c r="AR17" s="63">
        <f t="shared" si="28"/>
        <v>3.6405914766172804</v>
      </c>
      <c r="AS17" s="63">
        <f t="shared" si="44"/>
        <v>0.49046312851595014</v>
      </c>
      <c r="AT17" s="10"/>
      <c r="AU17">
        <f t="shared" si="45"/>
        <v>57.351215247611151</v>
      </c>
      <c r="BC17" t="s">
        <v>232</v>
      </c>
      <c r="BD17" s="28">
        <v>50</v>
      </c>
      <c r="BE17" s="28">
        <v>50</v>
      </c>
      <c r="BF17" s="28">
        <v>50</v>
      </c>
      <c r="BG17" s="29">
        <f>500000*(18-Vdd)*BF17/1000000000+((500000*BF15/1000000000*Vdd)*2.5/(2*4))</f>
        <v>0.28593750000000001</v>
      </c>
      <c r="BH17">
        <f t="shared" si="29"/>
        <v>22.875</v>
      </c>
      <c r="BI17">
        <f t="shared" si="29"/>
        <v>28.59375</v>
      </c>
      <c r="BJ17">
        <f t="shared" si="29"/>
        <v>34.3125</v>
      </c>
      <c r="BK17">
        <f t="shared" si="29"/>
        <v>40.03125</v>
      </c>
      <c r="BL17">
        <f t="shared" si="29"/>
        <v>45.75</v>
      </c>
      <c r="BM17">
        <f t="shared" si="29"/>
        <v>51.46875</v>
      </c>
      <c r="BN17">
        <f t="shared" si="29"/>
        <v>5.71875</v>
      </c>
      <c r="BO17">
        <f t="shared" si="29"/>
        <v>8.578125</v>
      </c>
      <c r="BP17">
        <f t="shared" si="29"/>
        <v>11.4375</v>
      </c>
      <c r="BQ17">
        <f t="shared" si="29"/>
        <v>14.296875</v>
      </c>
    </row>
    <row r="18" spans="1:69" x14ac:dyDescent="0.25">
      <c r="A18" s="45" t="s">
        <v>126</v>
      </c>
      <c r="B18" s="48">
        <f>Lout2*1000000</f>
        <v>7.4</v>
      </c>
      <c r="C18" s="419" t="s">
        <v>11</v>
      </c>
      <c r="D18" s="31" t="s">
        <v>190</v>
      </c>
      <c r="G18">
        <v>9</v>
      </c>
      <c r="H18">
        <f t="shared" si="0"/>
        <v>0.27</v>
      </c>
      <c r="I18" s="407">
        <f t="shared" si="1"/>
        <v>0.21262375</v>
      </c>
      <c r="J18" s="408">
        <f t="shared" si="2"/>
        <v>1.8101751689189187</v>
      </c>
      <c r="K18" s="408">
        <f t="shared" si="31"/>
        <v>1.1750875844594595</v>
      </c>
      <c r="L18" s="408">
        <f t="shared" si="32"/>
        <v>-0.63508758445945934</v>
      </c>
      <c r="M18" s="63">
        <f t="shared" si="3"/>
        <v>18.789573504717733</v>
      </c>
      <c r="N18" s="407">
        <f t="shared" si="4"/>
        <v>0.58818464661551617</v>
      </c>
      <c r="O18" s="407">
        <f t="shared" si="5"/>
        <v>1.7300453039759969E-3</v>
      </c>
      <c r="P18">
        <f t="shared" si="6"/>
        <v>0.2</v>
      </c>
      <c r="Q18" s="407">
        <f t="shared" si="34"/>
        <v>0.20173004530397601</v>
      </c>
      <c r="R18" s="9">
        <f t="shared" si="39"/>
        <v>0.52255256052785704</v>
      </c>
      <c r="S18" s="9">
        <f t="shared" si="7"/>
        <v>2.7306117851421969E-3</v>
      </c>
      <c r="T18" s="9">
        <f t="shared" si="40"/>
        <v>2.7306117851421969E-3</v>
      </c>
      <c r="U18" s="407">
        <f t="shared" si="8"/>
        <v>0.27121866294580987</v>
      </c>
      <c r="V18" s="409">
        <f t="shared" si="9"/>
        <v>1.4711912626022563E-4</v>
      </c>
      <c r="W18" s="407">
        <f t="shared" si="41"/>
        <v>1.4711912626022563E-4</v>
      </c>
      <c r="X18" s="407">
        <f t="shared" si="10"/>
        <v>0.27121866294580987</v>
      </c>
      <c r="Y18" s="407">
        <f t="shared" si="11"/>
        <v>4.4135737878067693E-4</v>
      </c>
      <c r="Z18" s="407">
        <f t="shared" si="12"/>
        <v>4.2741527683447703E-2</v>
      </c>
      <c r="AA18" s="407">
        <f t="shared" si="13"/>
        <v>3.1262558971693603E-2</v>
      </c>
      <c r="AB18" s="407">
        <f t="shared" si="14"/>
        <v>4.5726306081081067E-3</v>
      </c>
      <c r="AC18" s="407">
        <f t="shared" si="15"/>
        <v>7.9025050299841762E-2</v>
      </c>
      <c r="AD18" s="407">
        <f t="shared" si="16"/>
        <v>0.52192108156703809</v>
      </c>
      <c r="AE18" s="407">
        <f t="shared" si="17"/>
        <v>1.634409692304641E-3</v>
      </c>
      <c r="AF18" s="407">
        <f t="shared" si="18"/>
        <v>8.4606306081081075E-3</v>
      </c>
      <c r="AG18" s="407">
        <f t="shared" si="19"/>
        <v>1.0098341265780948E-2</v>
      </c>
      <c r="AH18" s="407">
        <f t="shared" si="20"/>
        <v>0</v>
      </c>
      <c r="AI18">
        <f t="shared" si="21"/>
        <v>0</v>
      </c>
      <c r="AJ18" s="408">
        <f t="shared" si="22"/>
        <v>0.45356938200000002</v>
      </c>
      <c r="AK18">
        <f t="shared" si="23"/>
        <v>4.8000000000000001E-2</v>
      </c>
      <c r="AL18" s="408">
        <f t="shared" si="24"/>
        <v>0.1215</v>
      </c>
      <c r="AM18" s="408">
        <f t="shared" si="25"/>
        <v>0.31645971316818772</v>
      </c>
      <c r="AN18" s="408">
        <f t="shared" si="42"/>
        <v>0.16949999999999998</v>
      </c>
      <c r="AO18" s="408">
        <f t="shared" si="26"/>
        <v>0.91680054978100112</v>
      </c>
      <c r="AP18">
        <f t="shared" si="27"/>
        <v>1.377</v>
      </c>
      <c r="AQ18" s="10">
        <f t="shared" si="43"/>
        <v>0.60031374573149698</v>
      </c>
      <c r="AR18" s="63">
        <f t="shared" si="28"/>
        <v>3.9512525149920883</v>
      </c>
      <c r="AS18" s="63">
        <f t="shared" si="44"/>
        <v>0.5049170632890474</v>
      </c>
      <c r="AT18" s="10"/>
      <c r="AU18">
        <f t="shared" si="45"/>
        <v>60.031374573149698</v>
      </c>
      <c r="BC18" t="s">
        <v>233</v>
      </c>
      <c r="BE18" s="28"/>
      <c r="BF18" s="29"/>
    </row>
    <row r="19" spans="1:69" x14ac:dyDescent="0.25">
      <c r="A19" s="45" t="s">
        <v>12</v>
      </c>
      <c r="B19" s="49">
        <f>Rdcr*1000</f>
        <v>5</v>
      </c>
      <c r="C19" s="417" t="s">
        <v>621</v>
      </c>
      <c r="D19" s="31" t="s">
        <v>191</v>
      </c>
      <c r="G19">
        <v>10</v>
      </c>
      <c r="H19">
        <f t="shared" si="0"/>
        <v>0.30000000000000004</v>
      </c>
      <c r="I19" s="407">
        <f t="shared" si="1"/>
        <v>0.21263750000000001</v>
      </c>
      <c r="J19" s="408">
        <f t="shared" si="2"/>
        <v>1.8102922297297297</v>
      </c>
      <c r="K19" s="408">
        <f t="shared" si="31"/>
        <v>1.2051461148648648</v>
      </c>
      <c r="L19" s="408">
        <f t="shared" si="32"/>
        <v>-0.6051461148648648</v>
      </c>
      <c r="M19" s="63">
        <f t="shared" si="3"/>
        <v>17.903731209019668</v>
      </c>
      <c r="N19" s="407">
        <f t="shared" si="4"/>
        <v>0.60257488863901365</v>
      </c>
      <c r="O19" s="407">
        <f t="shared" si="5"/>
        <v>1.8157461985248262E-3</v>
      </c>
      <c r="P19">
        <f t="shared" si="6"/>
        <v>0.2</v>
      </c>
      <c r="Q19" s="407">
        <f t="shared" si="34"/>
        <v>0.20181574619852483</v>
      </c>
      <c r="R19" s="9">
        <f t="shared" si="39"/>
        <v>0.52258635307317369</v>
      </c>
      <c r="S19" s="9">
        <f t="shared" si="7"/>
        <v>2.7309649641831975E-3</v>
      </c>
      <c r="T19" s="9">
        <f t="shared" si="40"/>
        <v>2.7309649641831975E-3</v>
      </c>
      <c r="U19" s="407">
        <f t="shared" si="8"/>
        <v>0.27786315203198581</v>
      </c>
      <c r="V19" s="409">
        <f t="shared" si="9"/>
        <v>1.5441586251430093E-4</v>
      </c>
      <c r="W19" s="407">
        <f t="shared" si="41"/>
        <v>1.5441586251430093E-4</v>
      </c>
      <c r="X19" s="407">
        <f t="shared" si="10"/>
        <v>0.27786315203198581</v>
      </c>
      <c r="Y19" s="407">
        <f t="shared" si="11"/>
        <v>4.6324758754290275E-4</v>
      </c>
      <c r="Z19" s="407">
        <f t="shared" si="12"/>
        <v>4.3834848323064002E-2</v>
      </c>
      <c r="AA19" s="407">
        <f t="shared" si="13"/>
        <v>3.6577612745881991E-2</v>
      </c>
      <c r="AB19" s="407">
        <f t="shared" si="14"/>
        <v>4.3570520270270266E-3</v>
      </c>
      <c r="AC19" s="407">
        <f t="shared" si="15"/>
        <v>8.5240658189369281E-2</v>
      </c>
      <c r="AD19" s="407">
        <f t="shared" si="16"/>
        <v>0.53468548246718761</v>
      </c>
      <c r="AE19" s="407">
        <f t="shared" si="17"/>
        <v>1.7153313909670151E-3</v>
      </c>
      <c r="AF19" s="407">
        <f t="shared" si="18"/>
        <v>8.6770520270270258E-3</v>
      </c>
      <c r="AG19" s="407">
        <f t="shared" si="19"/>
        <v>1.0395949917840638E-2</v>
      </c>
      <c r="AH19" s="407">
        <f t="shared" si="20"/>
        <v>0</v>
      </c>
      <c r="AI19">
        <f t="shared" si="21"/>
        <v>0</v>
      </c>
      <c r="AJ19" s="408">
        <f t="shared" si="22"/>
        <v>0.45356598000000004</v>
      </c>
      <c r="AK19">
        <f t="shared" si="23"/>
        <v>4.8000000000000001E-2</v>
      </c>
      <c r="AL19" s="408">
        <f t="shared" si="24"/>
        <v>0.1215</v>
      </c>
      <c r="AM19" s="408">
        <f t="shared" si="25"/>
        <v>0.31645971316818772</v>
      </c>
      <c r="AN19" s="408">
        <f t="shared" si="42"/>
        <v>0.16949999999999998</v>
      </c>
      <c r="AO19" s="408">
        <f t="shared" si="26"/>
        <v>0.92340371513243225</v>
      </c>
      <c r="AP19">
        <f t="shared" si="27"/>
        <v>1.53</v>
      </c>
      <c r="AQ19" s="10">
        <f t="shared" si="43"/>
        <v>0.62362341369382501</v>
      </c>
      <c r="AR19" s="63">
        <f t="shared" si="28"/>
        <v>4.2620329094684637</v>
      </c>
      <c r="AS19" s="63">
        <f t="shared" si="44"/>
        <v>0.51979749589203195</v>
      </c>
      <c r="AT19" s="10"/>
      <c r="AU19">
        <f t="shared" si="45"/>
        <v>62.362341369382499</v>
      </c>
      <c r="BC19" t="s">
        <v>234</v>
      </c>
      <c r="BE19" s="28"/>
      <c r="BF19" s="29"/>
    </row>
    <row r="20" spans="1:69" x14ac:dyDescent="0.25">
      <c r="A20" s="45" t="s">
        <v>155</v>
      </c>
      <c r="B20" s="49">
        <f>Ltc*1000000</f>
        <v>4000</v>
      </c>
      <c r="C20" s="419" t="s">
        <v>154</v>
      </c>
      <c r="D20" s="31" t="s">
        <v>176</v>
      </c>
      <c r="G20">
        <v>11</v>
      </c>
      <c r="H20">
        <f t="shared" si="0"/>
        <v>0.33</v>
      </c>
      <c r="I20" s="407">
        <f t="shared" si="1"/>
        <v>0.21265124999999996</v>
      </c>
      <c r="J20" s="408">
        <f t="shared" si="2"/>
        <v>1.8104092905405398</v>
      </c>
      <c r="K20" s="408">
        <f t="shared" si="31"/>
        <v>1.2352046452702699</v>
      </c>
      <c r="L20" s="408">
        <f t="shared" si="32"/>
        <v>-0.57520464527026993</v>
      </c>
      <c r="M20" s="63">
        <f t="shared" si="3"/>
        <v>17.017888913321595</v>
      </c>
      <c r="N20" s="407">
        <f t="shared" si="4"/>
        <v>0.61808722410861372</v>
      </c>
      <c r="O20" s="407">
        <f t="shared" si="5"/>
        <v>1.9104510242615928E-3</v>
      </c>
      <c r="P20">
        <f t="shared" si="6"/>
        <v>0.2</v>
      </c>
      <c r="Q20" s="407">
        <f t="shared" si="34"/>
        <v>0.20191045102426161</v>
      </c>
      <c r="R20" s="9">
        <f t="shared" si="39"/>
        <v>0.52262014561849002</v>
      </c>
      <c r="S20" s="9">
        <f t="shared" si="7"/>
        <v>2.7313181660629173E-3</v>
      </c>
      <c r="T20" s="9">
        <f t="shared" si="40"/>
        <v>2.7313181660629173E-3</v>
      </c>
      <c r="U20" s="407">
        <f t="shared" si="8"/>
        <v>0.28502551349150951</v>
      </c>
      <c r="V20" s="409">
        <f t="shared" si="9"/>
        <v>1.6247908668219735E-4</v>
      </c>
      <c r="W20" s="407">
        <f t="shared" si="41"/>
        <v>1.6247908668219735E-4</v>
      </c>
      <c r="X20" s="407">
        <f t="shared" si="10"/>
        <v>0.28502551349150951</v>
      </c>
      <c r="Y20" s="407">
        <f t="shared" si="11"/>
        <v>4.8743726004659208E-4</v>
      </c>
      <c r="Z20" s="407">
        <f t="shared" si="12"/>
        <v>4.4928168962680294E-2</v>
      </c>
      <c r="AA20" s="407">
        <f t="shared" si="13"/>
        <v>4.1892666520070433E-2</v>
      </c>
      <c r="AB20" s="407">
        <f t="shared" si="14"/>
        <v>4.141473445945943E-3</v>
      </c>
      <c r="AC20" s="407">
        <f t="shared" si="15"/>
        <v>9.1458662260691229E-2</v>
      </c>
      <c r="AD20" s="407">
        <f t="shared" si="16"/>
        <v>0.54844532386117861</v>
      </c>
      <c r="AE20" s="407">
        <f t="shared" si="17"/>
        <v>1.8047536395911586E-3</v>
      </c>
      <c r="AF20" s="407">
        <f t="shared" si="18"/>
        <v>8.8934734459459423E-3</v>
      </c>
      <c r="AG20" s="407">
        <f t="shared" si="19"/>
        <v>1.0702090012717437E-2</v>
      </c>
      <c r="AH20" s="407">
        <f t="shared" si="20"/>
        <v>0</v>
      </c>
      <c r="AI20">
        <f t="shared" si="21"/>
        <v>0</v>
      </c>
      <c r="AJ20" s="408">
        <f t="shared" si="22"/>
        <v>0.45356257799999999</v>
      </c>
      <c r="AK20">
        <f t="shared" si="23"/>
        <v>4.8000000000000001E-2</v>
      </c>
      <c r="AL20" s="408">
        <f t="shared" si="24"/>
        <v>0.1215</v>
      </c>
      <c r="AM20" s="408">
        <f t="shared" si="25"/>
        <v>0.31645971316818772</v>
      </c>
      <c r="AN20" s="408">
        <f t="shared" si="42"/>
        <v>0.16949999999999998</v>
      </c>
      <c r="AO20" s="408">
        <f t="shared" si="26"/>
        <v>0.93002757855041551</v>
      </c>
      <c r="AP20">
        <f t="shared" si="27"/>
        <v>1.6830000000000001</v>
      </c>
      <c r="AQ20" s="10">
        <f t="shared" si="43"/>
        <v>0.64408045816862336</v>
      </c>
      <c r="AR20" s="63">
        <f t="shared" si="28"/>
        <v>4.5729331130345612</v>
      </c>
      <c r="AS20" s="63">
        <f t="shared" si="44"/>
        <v>0.53510450063587189</v>
      </c>
      <c r="AT20" s="10"/>
      <c r="AU20">
        <f t="shared" si="45"/>
        <v>64.408045816862341</v>
      </c>
      <c r="BE20" s="28"/>
      <c r="BF20" s="29"/>
    </row>
    <row r="21" spans="1:69" x14ac:dyDescent="0.25">
      <c r="A21" s="35" t="s">
        <v>250</v>
      </c>
      <c r="B21" s="49">
        <f>ThetaCa</f>
        <v>20</v>
      </c>
      <c r="C21" s="419" t="s">
        <v>720</v>
      </c>
      <c r="D21" s="36" t="s">
        <v>251</v>
      </c>
      <c r="G21">
        <v>12</v>
      </c>
      <c r="H21">
        <f t="shared" si="0"/>
        <v>0.36</v>
      </c>
      <c r="I21" s="407">
        <f t="shared" si="1"/>
        <v>0.21266499999999999</v>
      </c>
      <c r="J21" s="408">
        <f t="shared" si="2"/>
        <v>1.810526351351351</v>
      </c>
      <c r="K21" s="408">
        <f t="shared" si="31"/>
        <v>1.2652631756756754</v>
      </c>
      <c r="L21" s="408">
        <f t="shared" si="32"/>
        <v>-0.5452631756756755</v>
      </c>
      <c r="M21" s="63">
        <f t="shared" si="3"/>
        <v>16.132046617623534</v>
      </c>
      <c r="N21" s="407">
        <f t="shared" si="4"/>
        <v>0.63463937718844421</v>
      </c>
      <c r="O21" s="407">
        <f t="shared" si="5"/>
        <v>2.0141601904056961E-3</v>
      </c>
      <c r="P21">
        <f t="shared" si="6"/>
        <v>0.2</v>
      </c>
      <c r="Q21" s="407">
        <f t="shared" si="34"/>
        <v>0.20201416019040572</v>
      </c>
      <c r="R21" s="9">
        <f t="shared" si="39"/>
        <v>0.52265393816380679</v>
      </c>
      <c r="S21" s="9">
        <f t="shared" si="7"/>
        <v>2.7316713907813641E-3</v>
      </c>
      <c r="T21" s="9">
        <f t="shared" si="40"/>
        <v>2.7316713907813641E-3</v>
      </c>
      <c r="U21" s="407">
        <f t="shared" si="8"/>
        <v>0.29266785548134916</v>
      </c>
      <c r="V21" s="409">
        <f t="shared" si="9"/>
        <v>1.7130894726410375E-4</v>
      </c>
      <c r="W21" s="407">
        <f t="shared" si="41"/>
        <v>1.7130894726410375E-4</v>
      </c>
      <c r="X21" s="407">
        <f t="shared" si="10"/>
        <v>0.29266785548134916</v>
      </c>
      <c r="Y21" s="407">
        <f t="shared" si="11"/>
        <v>5.1392684179231126E-4</v>
      </c>
      <c r="Z21" s="407">
        <f t="shared" si="12"/>
        <v>4.6021489602296593E-2</v>
      </c>
      <c r="AA21" s="407">
        <f t="shared" si="13"/>
        <v>4.72077202942588E-2</v>
      </c>
      <c r="AB21" s="407">
        <f t="shared" si="14"/>
        <v>3.925894864864863E-3</v>
      </c>
      <c r="AC21" s="407">
        <f t="shared" si="15"/>
        <v>9.7679071582566099E-2</v>
      </c>
      <c r="AD21" s="407">
        <f t="shared" si="16"/>
        <v>0.56312757475201347</v>
      </c>
      <c r="AE21" s="407">
        <f t="shared" si="17"/>
        <v>1.9026759926765071E-3</v>
      </c>
      <c r="AF21" s="407">
        <f t="shared" si="18"/>
        <v>9.1098948648648623E-3</v>
      </c>
      <c r="AG21" s="407">
        <f t="shared" si="19"/>
        <v>1.1016763123683857E-2</v>
      </c>
      <c r="AH21" s="407">
        <f t="shared" si="20"/>
        <v>0</v>
      </c>
      <c r="AI21">
        <f t="shared" si="21"/>
        <v>0</v>
      </c>
      <c r="AJ21" s="408">
        <f t="shared" si="22"/>
        <v>0.45355917600000001</v>
      </c>
      <c r="AK21">
        <f t="shared" si="23"/>
        <v>4.8000000000000001E-2</v>
      </c>
      <c r="AL21" s="408">
        <f t="shared" si="24"/>
        <v>0.1215</v>
      </c>
      <c r="AM21" s="408">
        <f t="shared" si="25"/>
        <v>0.31645971316818772</v>
      </c>
      <c r="AN21" s="408">
        <f t="shared" si="42"/>
        <v>0.16949999999999998</v>
      </c>
      <c r="AO21" s="408">
        <f t="shared" si="26"/>
        <v>0.93667215123470104</v>
      </c>
      <c r="AP21">
        <f t="shared" si="27"/>
        <v>1.8359999999999999</v>
      </c>
      <c r="AQ21" s="10">
        <f t="shared" si="43"/>
        <v>0.66217709842918471</v>
      </c>
      <c r="AR21" s="63">
        <f t="shared" si="28"/>
        <v>4.8839535791283053</v>
      </c>
      <c r="AS21" s="63">
        <f t="shared" si="44"/>
        <v>0.55083815618419285</v>
      </c>
      <c r="AT21" s="10"/>
      <c r="AU21">
        <f t="shared" si="45"/>
        <v>66.217709842918467</v>
      </c>
      <c r="BE21" s="28"/>
      <c r="BF21" s="29"/>
    </row>
    <row r="22" spans="1:69" x14ac:dyDescent="0.25">
      <c r="A22" s="46" t="s">
        <v>127</v>
      </c>
      <c r="B22" s="49">
        <f>Cin*1000000</f>
        <v>110</v>
      </c>
      <c r="C22" s="420" t="s">
        <v>30</v>
      </c>
      <c r="D22" s="31" t="s">
        <v>177</v>
      </c>
      <c r="G22">
        <v>13</v>
      </c>
      <c r="H22">
        <f t="shared" si="0"/>
        <v>0.39</v>
      </c>
      <c r="I22" s="407">
        <f t="shared" si="1"/>
        <v>0.21267875</v>
      </c>
      <c r="J22" s="408">
        <f t="shared" si="2"/>
        <v>1.810643412162162</v>
      </c>
      <c r="K22" s="408">
        <f t="shared" si="31"/>
        <v>1.2953217060810811</v>
      </c>
      <c r="L22" s="408">
        <f t="shared" si="32"/>
        <v>-0.51532170608108097</v>
      </c>
      <c r="M22" s="63">
        <f t="shared" si="3"/>
        <v>15.246204321925472</v>
      </c>
      <c r="N22" s="407">
        <f t="shared" si="4"/>
        <v>0.65215217843219164</v>
      </c>
      <c r="O22" s="407">
        <f t="shared" si="5"/>
        <v>2.1268741450949352E-3</v>
      </c>
      <c r="P22">
        <f t="shared" si="6"/>
        <v>0.2</v>
      </c>
      <c r="Q22" s="407">
        <f t="shared" si="34"/>
        <v>0.20212687414509495</v>
      </c>
      <c r="R22" s="9">
        <f t="shared" si="39"/>
        <v>0.52268773070912344</v>
      </c>
      <c r="S22" s="9">
        <f t="shared" si="7"/>
        <v>2.7320246383385318E-3</v>
      </c>
      <c r="T22" s="9">
        <f t="shared" si="40"/>
        <v>2.7320246383385318E-3</v>
      </c>
      <c r="U22" s="407">
        <f t="shared" si="8"/>
        <v>0.30075371382595445</v>
      </c>
      <c r="V22" s="409">
        <f t="shared" si="9"/>
        <v>1.8090559276020822E-4</v>
      </c>
      <c r="W22" s="407">
        <f t="shared" si="41"/>
        <v>1.8090559276020822E-4</v>
      </c>
      <c r="X22" s="407">
        <f t="shared" si="10"/>
        <v>0.30075371382595445</v>
      </c>
      <c r="Y22" s="407">
        <f t="shared" si="11"/>
        <v>5.4271677828062468E-4</v>
      </c>
      <c r="Z22" s="407">
        <f t="shared" si="12"/>
        <v>4.7114810241912906E-2</v>
      </c>
      <c r="AA22" s="407">
        <f t="shared" si="13"/>
        <v>5.2522774068447173E-2</v>
      </c>
      <c r="AB22" s="407">
        <f t="shared" si="14"/>
        <v>3.7103162837837829E-3</v>
      </c>
      <c r="AC22" s="407">
        <f t="shared" si="15"/>
        <v>0.10390189523279209</v>
      </c>
      <c r="AD22" s="407">
        <f t="shared" si="16"/>
        <v>0.57866196302655748</v>
      </c>
      <c r="AE22" s="407">
        <f t="shared" si="17"/>
        <v>2.0090980047224941E-3</v>
      </c>
      <c r="AF22" s="407">
        <f t="shared" si="18"/>
        <v>9.3263162837837841E-3</v>
      </c>
      <c r="AG22" s="407">
        <f t="shared" si="19"/>
        <v>1.1339970911092496E-2</v>
      </c>
      <c r="AH22" s="407">
        <f t="shared" si="20"/>
        <v>0</v>
      </c>
      <c r="AI22">
        <f t="shared" si="21"/>
        <v>0</v>
      </c>
      <c r="AJ22" s="408">
        <f t="shared" si="22"/>
        <v>0.45355577400000002</v>
      </c>
      <c r="AK22">
        <f t="shared" si="23"/>
        <v>4.8000000000000001E-2</v>
      </c>
      <c r="AL22" s="408">
        <f t="shared" si="24"/>
        <v>0.1215</v>
      </c>
      <c r="AM22" s="408">
        <f t="shared" si="25"/>
        <v>0.31645971316818772</v>
      </c>
      <c r="AN22" s="408">
        <f t="shared" si="42"/>
        <v>0.16949999999999998</v>
      </c>
      <c r="AO22" s="408">
        <f t="shared" si="26"/>
        <v>0.94333744452007828</v>
      </c>
      <c r="AP22">
        <f t="shared" si="27"/>
        <v>1.9889999999999999</v>
      </c>
      <c r="AQ22" s="10">
        <f t="shared" si="43"/>
        <v>0.67829846926963422</v>
      </c>
      <c r="AR22" s="63">
        <f t="shared" si="28"/>
        <v>5.1950947616396039</v>
      </c>
      <c r="AS22" s="63">
        <f t="shared" si="44"/>
        <v>0.56699854555462481</v>
      </c>
      <c r="AT22" s="10"/>
      <c r="AU22">
        <f t="shared" si="45"/>
        <v>67.829846926963427</v>
      </c>
      <c r="BE22" s="28"/>
      <c r="BF22" s="29"/>
    </row>
    <row r="23" spans="1:69" x14ac:dyDescent="0.25">
      <c r="A23" s="46" t="s">
        <v>159</v>
      </c>
      <c r="B23" s="49">
        <f>RCinEsr*1000</f>
        <v>2</v>
      </c>
      <c r="C23" s="417" t="s">
        <v>621</v>
      </c>
      <c r="D23" s="31" t="s">
        <v>178</v>
      </c>
      <c r="G23">
        <v>14</v>
      </c>
      <c r="H23">
        <f t="shared" si="0"/>
        <v>0.42000000000000004</v>
      </c>
      <c r="I23" s="407">
        <f t="shared" si="1"/>
        <v>0.21269249999999998</v>
      </c>
      <c r="J23" s="408">
        <f t="shared" si="2"/>
        <v>1.8107604729729725</v>
      </c>
      <c r="K23" s="408">
        <f t="shared" si="31"/>
        <v>1.3253802364864864</v>
      </c>
      <c r="L23" s="408">
        <f t="shared" si="32"/>
        <v>-0.48538023648648621</v>
      </c>
      <c r="M23" s="63">
        <f t="shared" si="3"/>
        <v>14.360362026227403</v>
      </c>
      <c r="N23" s="407">
        <f t="shared" si="4"/>
        <v>0.67055036415875724</v>
      </c>
      <c r="O23" s="407">
        <f t="shared" si="5"/>
        <v>2.248593375390363E-3</v>
      </c>
      <c r="P23">
        <f t="shared" si="6"/>
        <v>0.2</v>
      </c>
      <c r="Q23" s="407">
        <f t="shared" si="34"/>
        <v>0.20224859337539036</v>
      </c>
      <c r="R23" s="9">
        <f t="shared" si="39"/>
        <v>0.52272152325443988</v>
      </c>
      <c r="S23" s="9">
        <f t="shared" si="7"/>
        <v>2.7323779087344191E-3</v>
      </c>
      <c r="T23" s="9">
        <f t="shared" si="40"/>
        <v>2.7323779087344191E-3</v>
      </c>
      <c r="U23" s="407">
        <f t="shared" si="8"/>
        <v>0.30924842091003396</v>
      </c>
      <c r="V23" s="409">
        <f t="shared" si="9"/>
        <v>1.9126917167069907E-4</v>
      </c>
      <c r="W23" s="407">
        <f t="shared" si="41"/>
        <v>1.9126917167069907E-4</v>
      </c>
      <c r="X23" s="407">
        <f t="shared" si="10"/>
        <v>0.30924842091003396</v>
      </c>
      <c r="Y23" s="407">
        <f t="shared" si="11"/>
        <v>5.7380751501209717E-4</v>
      </c>
      <c r="Z23" s="407">
        <f t="shared" si="12"/>
        <v>4.8208130881529206E-2</v>
      </c>
      <c r="AA23" s="407">
        <f t="shared" si="13"/>
        <v>5.7837827842635588E-2</v>
      </c>
      <c r="AB23" s="407">
        <f t="shared" si="14"/>
        <v>3.4947377027027006E-3</v>
      </c>
      <c r="AC23" s="407">
        <f t="shared" si="15"/>
        <v>0.1101271422982511</v>
      </c>
      <c r="AD23" s="407">
        <f t="shared" si="16"/>
        <v>0.59498168462406675</v>
      </c>
      <c r="AE23" s="407">
        <f t="shared" si="17"/>
        <v>2.1240192302285545E-3</v>
      </c>
      <c r="AF23" s="407">
        <f t="shared" si="18"/>
        <v>9.5427377027027024E-3</v>
      </c>
      <c r="AG23" s="407">
        <f t="shared" si="19"/>
        <v>1.1671715122405205E-2</v>
      </c>
      <c r="AH23" s="407">
        <f t="shared" si="20"/>
        <v>0</v>
      </c>
      <c r="AI23">
        <f t="shared" si="21"/>
        <v>0</v>
      </c>
      <c r="AJ23" s="408">
        <f t="shared" si="22"/>
        <v>0.45355237199999998</v>
      </c>
      <c r="AK23">
        <f t="shared" si="23"/>
        <v>4.8000000000000001E-2</v>
      </c>
      <c r="AL23" s="408">
        <f t="shared" si="24"/>
        <v>0.1215</v>
      </c>
      <c r="AM23" s="408">
        <f t="shared" si="25"/>
        <v>0.31645971316818772</v>
      </c>
      <c r="AN23" s="408">
        <f t="shared" si="42"/>
        <v>0.16949999999999998</v>
      </c>
      <c r="AO23" s="408">
        <f t="shared" si="26"/>
        <v>0.9500234698764517</v>
      </c>
      <c r="AP23">
        <f t="shared" si="27"/>
        <v>2.1419999999999999</v>
      </c>
      <c r="AQ23" s="10">
        <f t="shared" si="43"/>
        <v>0.69275023972751026</v>
      </c>
      <c r="AR23" s="63">
        <f t="shared" si="28"/>
        <v>5.5063571149125554</v>
      </c>
      <c r="AS23" s="63">
        <f t="shared" si="44"/>
        <v>0.5835857561202602</v>
      </c>
      <c r="AT23" s="10"/>
      <c r="AU23">
        <f t="shared" si="45"/>
        <v>69.275023972751029</v>
      </c>
      <c r="BE23" s="28"/>
      <c r="BF23" s="29"/>
    </row>
    <row r="24" spans="1:69" x14ac:dyDescent="0.25">
      <c r="A24" s="45" t="s">
        <v>36</v>
      </c>
      <c r="B24" s="49">
        <f>Cout*1000000</f>
        <v>132</v>
      </c>
      <c r="C24" s="419" t="s">
        <v>30</v>
      </c>
      <c r="D24" s="31" t="s">
        <v>199</v>
      </c>
      <c r="G24">
        <v>15</v>
      </c>
      <c r="H24">
        <f t="shared" si="0"/>
        <v>0.44999999999999996</v>
      </c>
      <c r="I24" s="407">
        <f t="shared" si="1"/>
        <v>0.21270624999999999</v>
      </c>
      <c r="J24" s="408">
        <f t="shared" si="2"/>
        <v>1.8108775337837835</v>
      </c>
      <c r="K24" s="408">
        <f t="shared" si="31"/>
        <v>1.3554387668918917</v>
      </c>
      <c r="L24" s="408">
        <f t="shared" si="32"/>
        <v>-0.45543876689189178</v>
      </c>
      <c r="M24" s="63">
        <f t="shared" si="3"/>
        <v>13.474519730529343</v>
      </c>
      <c r="N24" s="407">
        <f t="shared" si="4"/>
        <v>0.68976308990616708</v>
      </c>
      <c r="O24" s="407">
        <f t="shared" si="5"/>
        <v>2.3793184072815458E-3</v>
      </c>
      <c r="P24">
        <f t="shared" si="6"/>
        <v>0.2</v>
      </c>
      <c r="Q24" s="407">
        <f t="shared" si="34"/>
        <v>0.20237931840728154</v>
      </c>
      <c r="R24" s="9">
        <f t="shared" si="39"/>
        <v>0.52275531579975654</v>
      </c>
      <c r="S24" s="9">
        <f t="shared" si="7"/>
        <v>2.7327312019690322E-3</v>
      </c>
      <c r="T24" s="9">
        <f t="shared" si="40"/>
        <v>2.7327312019690322E-3</v>
      </c>
      <c r="U24" s="407">
        <f t="shared" si="8"/>
        <v>0.31811934277544729</v>
      </c>
      <c r="V24" s="409">
        <f t="shared" si="9"/>
        <v>2.0239983249576506E-4</v>
      </c>
      <c r="W24" s="407">
        <f t="shared" si="41"/>
        <v>2.0239983249576506E-4</v>
      </c>
      <c r="X24" s="407">
        <f t="shared" si="10"/>
        <v>0.31811934277544729</v>
      </c>
      <c r="Y24" s="407">
        <f t="shared" si="11"/>
        <v>6.0719949748729517E-4</v>
      </c>
      <c r="Z24" s="407">
        <f t="shared" si="12"/>
        <v>4.9301451521145498E-2</v>
      </c>
      <c r="AA24" s="407">
        <f t="shared" si="13"/>
        <v>6.3152881616823947E-2</v>
      </c>
      <c r="AB24" s="407">
        <f t="shared" si="14"/>
        <v>3.279159121621621E-3</v>
      </c>
      <c r="AC24" s="407">
        <f t="shared" si="15"/>
        <v>0.11635482187495289</v>
      </c>
      <c r="AD24" s="407">
        <f t="shared" si="16"/>
        <v>0.61202385897040046</v>
      </c>
      <c r="AE24" s="407">
        <f t="shared" si="17"/>
        <v>2.2474392236941235E-3</v>
      </c>
      <c r="AF24" s="407">
        <f t="shared" si="18"/>
        <v>9.7591591216216207E-3</v>
      </c>
      <c r="AG24" s="407">
        <f t="shared" si="19"/>
        <v>1.2011997592224483E-2</v>
      </c>
      <c r="AH24" s="407">
        <f t="shared" si="20"/>
        <v>0</v>
      </c>
      <c r="AI24">
        <f t="shared" si="21"/>
        <v>0</v>
      </c>
      <c r="AJ24" s="408">
        <f t="shared" si="22"/>
        <v>0.45354897</v>
      </c>
      <c r="AK24">
        <f t="shared" si="23"/>
        <v>4.8000000000000001E-2</v>
      </c>
      <c r="AL24" s="408">
        <f t="shared" si="24"/>
        <v>0.1215</v>
      </c>
      <c r="AM24" s="408">
        <f t="shared" si="25"/>
        <v>0.31645971316818772</v>
      </c>
      <c r="AN24" s="408">
        <f t="shared" si="42"/>
        <v>0.16949999999999998</v>
      </c>
      <c r="AO24" s="408">
        <f t="shared" si="26"/>
        <v>0.95673023890892372</v>
      </c>
      <c r="AP24">
        <f t="shared" si="27"/>
        <v>2.2949999999999995</v>
      </c>
      <c r="AQ24" s="10">
        <f t="shared" si="43"/>
        <v>0.70577810315841505</v>
      </c>
      <c r="AR24" s="63">
        <f t="shared" si="28"/>
        <v>5.8177410937476441</v>
      </c>
      <c r="AS24" s="63">
        <f t="shared" si="44"/>
        <v>0.60059987961122419</v>
      </c>
      <c r="AT24" s="10"/>
      <c r="AU24">
        <f t="shared" si="45"/>
        <v>70.577810315841504</v>
      </c>
      <c r="BE24" s="28"/>
      <c r="BF24" s="29"/>
    </row>
    <row r="25" spans="1:69" x14ac:dyDescent="0.25">
      <c r="A25" s="45" t="s">
        <v>158</v>
      </c>
      <c r="B25" s="50">
        <f>CoutEsr*1000</f>
        <v>10</v>
      </c>
      <c r="C25" s="417" t="s">
        <v>621</v>
      </c>
      <c r="D25" s="31" t="s">
        <v>200</v>
      </c>
      <c r="G25">
        <v>16</v>
      </c>
      <c r="H25">
        <f t="shared" si="0"/>
        <v>0.48</v>
      </c>
      <c r="I25" s="407">
        <f t="shared" si="1"/>
        <v>0.21271999999999999</v>
      </c>
      <c r="J25" s="408">
        <f t="shared" si="2"/>
        <v>1.8109945945945942</v>
      </c>
      <c r="K25" s="408">
        <f t="shared" si="31"/>
        <v>1.385497297297297</v>
      </c>
      <c r="L25" s="408">
        <f t="shared" si="32"/>
        <v>-0.42549729729729713</v>
      </c>
      <c r="M25" s="63">
        <f t="shared" si="3"/>
        <v>12.588677434831276</v>
      </c>
      <c r="N25" s="407">
        <f t="shared" si="4"/>
        <v>0.70972420826982963</v>
      </c>
      <c r="O25" s="407">
        <f t="shared" si="5"/>
        <v>2.5190498056922397E-3</v>
      </c>
      <c r="P25">
        <f t="shared" si="6"/>
        <v>0.2</v>
      </c>
      <c r="Q25" s="407">
        <f t="shared" si="34"/>
        <v>0.20251904980569224</v>
      </c>
      <c r="R25" s="9">
        <f t="shared" si="39"/>
        <v>0.52278910834507308</v>
      </c>
      <c r="S25" s="9">
        <f t="shared" si="7"/>
        <v>2.7330845180423657E-3</v>
      </c>
      <c r="T25" s="9">
        <f t="shared" si="40"/>
        <v>2.7330845180423657E-3</v>
      </c>
      <c r="U25" s="407">
        <f t="shared" si="8"/>
        <v>0.32733600759433296</v>
      </c>
      <c r="V25" s="409">
        <f t="shared" si="9"/>
        <v>2.1429772373559442E-4</v>
      </c>
      <c r="W25" s="407">
        <f t="shared" si="41"/>
        <v>2.1429772373559442E-4</v>
      </c>
      <c r="X25" s="407">
        <f t="shared" si="10"/>
        <v>0.32733600759433296</v>
      </c>
      <c r="Y25" s="407">
        <f t="shared" si="11"/>
        <v>6.428931712067833E-4</v>
      </c>
      <c r="Z25" s="407">
        <f t="shared" si="12"/>
        <v>5.0394772160761797E-2</v>
      </c>
      <c r="AA25" s="407">
        <f t="shared" si="13"/>
        <v>6.8467935391012355E-2</v>
      </c>
      <c r="AB25" s="407">
        <f t="shared" si="14"/>
        <v>3.0635805405405392E-3</v>
      </c>
      <c r="AC25" s="407">
        <f t="shared" si="15"/>
        <v>0.12258494306807971</v>
      </c>
      <c r="AD25" s="407">
        <f t="shared" si="16"/>
        <v>0.62972977532941798</v>
      </c>
      <c r="AE25" s="407">
        <f t="shared" si="17"/>
        <v>2.3793575396186357E-3</v>
      </c>
      <c r="AF25" s="407">
        <f t="shared" si="18"/>
        <v>9.9755805405405372E-3</v>
      </c>
      <c r="AG25" s="407">
        <f t="shared" si="19"/>
        <v>1.2360820242327064E-2</v>
      </c>
      <c r="AH25" s="407">
        <f t="shared" si="20"/>
        <v>0</v>
      </c>
      <c r="AI25">
        <f t="shared" si="21"/>
        <v>0</v>
      </c>
      <c r="AJ25" s="408">
        <f t="shared" si="22"/>
        <v>0.45354556800000001</v>
      </c>
      <c r="AK25">
        <f t="shared" si="23"/>
        <v>4.8000000000000001E-2</v>
      </c>
      <c r="AL25" s="408">
        <f t="shared" si="24"/>
        <v>0.1215</v>
      </c>
      <c r="AM25" s="408">
        <f t="shared" si="25"/>
        <v>0.31645971316818772</v>
      </c>
      <c r="AN25" s="408">
        <f t="shared" si="42"/>
        <v>0.16949999999999998</v>
      </c>
      <c r="AO25" s="408">
        <f t="shared" si="26"/>
        <v>0.96345776335787703</v>
      </c>
      <c r="AP25">
        <f t="shared" si="27"/>
        <v>2.448</v>
      </c>
      <c r="AQ25" s="10">
        <f t="shared" si="43"/>
        <v>0.71758179928056576</v>
      </c>
      <c r="AR25" s="63">
        <f t="shared" si="28"/>
        <v>6.1292471534039858</v>
      </c>
      <c r="AS25" s="63">
        <f t="shared" si="44"/>
        <v>0.61804101211635321</v>
      </c>
      <c r="AT25" s="10"/>
      <c r="AU25">
        <f t="shared" si="45"/>
        <v>71.758179928056578</v>
      </c>
      <c r="BC25" t="s">
        <v>240</v>
      </c>
      <c r="BD25" t="s">
        <v>4</v>
      </c>
      <c r="BE25" t="s">
        <v>6</v>
      </c>
      <c r="BF25" t="s">
        <v>5</v>
      </c>
      <c r="BG25" t="s">
        <v>241</v>
      </c>
      <c r="BH25" t="s">
        <v>242</v>
      </c>
    </row>
    <row r="26" spans="1:69" x14ac:dyDescent="0.25">
      <c r="A26" s="34" t="s">
        <v>202</v>
      </c>
      <c r="B26" s="47" t="s">
        <v>201</v>
      </c>
      <c r="C26" s="34" t="s">
        <v>148</v>
      </c>
      <c r="D26" s="27" t="s">
        <v>188</v>
      </c>
      <c r="G26">
        <v>17</v>
      </c>
      <c r="H26">
        <f t="shared" si="0"/>
        <v>0.51</v>
      </c>
      <c r="I26" s="407">
        <f t="shared" si="1"/>
        <v>0.21273374999999997</v>
      </c>
      <c r="J26" s="408">
        <f t="shared" si="2"/>
        <v>1.8111116554054048</v>
      </c>
      <c r="K26" s="408">
        <f t="shared" si="31"/>
        <v>1.4155558277027023</v>
      </c>
      <c r="L26" s="408">
        <f t="shared" si="32"/>
        <v>-0.39555582770270237</v>
      </c>
      <c r="M26" s="63">
        <f t="shared" si="3"/>
        <v>11.702835139133205</v>
      </c>
      <c r="N26" s="407">
        <f t="shared" si="4"/>
        <v>0.73037236098817582</v>
      </c>
      <c r="O26" s="407">
        <f t="shared" si="5"/>
        <v>2.6677881744865037E-3</v>
      </c>
      <c r="P26">
        <f t="shared" si="6"/>
        <v>0.2</v>
      </c>
      <c r="Q26" s="407">
        <f t="shared" si="34"/>
        <v>0.20266778817448652</v>
      </c>
      <c r="R26" s="9">
        <f t="shared" si="39"/>
        <v>0.52282290089038963</v>
      </c>
      <c r="S26" s="9">
        <f t="shared" si="7"/>
        <v>2.7334378569544215E-3</v>
      </c>
      <c r="T26" s="9">
        <f t="shared" si="40"/>
        <v>2.7334378569544215E-3</v>
      </c>
      <c r="U26" s="407">
        <f t="shared" si="8"/>
        <v>0.33687014849224584</v>
      </c>
      <c r="V26" s="409">
        <f t="shared" si="9"/>
        <v>2.2696299389037553E-4</v>
      </c>
      <c r="W26" s="407">
        <f t="shared" si="41"/>
        <v>2.2696299389037553E-4</v>
      </c>
      <c r="X26" s="407">
        <f t="shared" si="10"/>
        <v>0.33687014849224584</v>
      </c>
      <c r="Y26" s="407">
        <f t="shared" si="11"/>
        <v>6.8088898167112659E-4</v>
      </c>
      <c r="Z26" s="407">
        <f t="shared" si="12"/>
        <v>5.1488092800378096E-2</v>
      </c>
      <c r="AA26" s="407">
        <f t="shared" si="13"/>
        <v>7.3782989165200763E-2</v>
      </c>
      <c r="AB26" s="407">
        <f t="shared" si="14"/>
        <v>2.8480019594594569E-3</v>
      </c>
      <c r="AC26" s="407">
        <f t="shared" si="15"/>
        <v>0.12881751499203031</v>
      </c>
      <c r="AD26" s="407">
        <f t="shared" si="16"/>
        <v>0.64804497432682429</v>
      </c>
      <c r="AE26" s="407">
        <f t="shared" si="17"/>
        <v>2.5197737325015259E-3</v>
      </c>
      <c r="AF26" s="407">
        <f t="shared" si="18"/>
        <v>1.0192001959459455E-2</v>
      </c>
      <c r="AG26" s="407">
        <f t="shared" si="19"/>
        <v>1.2718185081699774E-2</v>
      </c>
      <c r="AH26" s="407">
        <f t="shared" si="20"/>
        <v>0</v>
      </c>
      <c r="AI26">
        <f t="shared" si="21"/>
        <v>0</v>
      </c>
      <c r="AJ26" s="408">
        <f t="shared" si="22"/>
        <v>0.45354216599999997</v>
      </c>
      <c r="AK26">
        <f t="shared" si="23"/>
        <v>4.8000000000000001E-2</v>
      </c>
      <c r="AL26" s="408">
        <f t="shared" si="24"/>
        <v>0.1215</v>
      </c>
      <c r="AM26" s="408">
        <f t="shared" si="25"/>
        <v>0.31645971316818772</v>
      </c>
      <c r="AN26" s="408">
        <f t="shared" si="42"/>
        <v>0.16949999999999998</v>
      </c>
      <c r="AO26" s="408">
        <f t="shared" si="26"/>
        <v>0.97020605509906133</v>
      </c>
      <c r="AP26">
        <f t="shared" si="27"/>
        <v>2.601</v>
      </c>
      <c r="AQ26" s="10">
        <f t="shared" si="43"/>
        <v>0.7283253780011445</v>
      </c>
      <c r="AR26" s="63">
        <f t="shared" si="28"/>
        <v>6.4408757496015152</v>
      </c>
      <c r="AS26" s="63">
        <f t="shared" si="44"/>
        <v>0.63590925408498866</v>
      </c>
      <c r="AT26" s="10"/>
      <c r="AU26">
        <f t="shared" si="45"/>
        <v>72.832537800114451</v>
      </c>
      <c r="BC26" t="s">
        <v>243</v>
      </c>
      <c r="BD26">
        <v>9.9989640000000009</v>
      </c>
      <c r="BE26">
        <v>0.1027</v>
      </c>
      <c r="BF26">
        <v>5.1211359999999999</v>
      </c>
      <c r="BG26">
        <v>61.870683235325004</v>
      </c>
      <c r="BH26">
        <v>324.12365701136014</v>
      </c>
    </row>
    <row r="27" spans="1:69" x14ac:dyDescent="0.25">
      <c r="A27" s="32" t="s">
        <v>132</v>
      </c>
      <c r="B27" s="5">
        <v>1.5</v>
      </c>
      <c r="C27" s="416" t="s">
        <v>208</v>
      </c>
      <c r="D27" s="31" t="s">
        <v>204</v>
      </c>
      <c r="G27">
        <v>18</v>
      </c>
      <c r="H27">
        <f t="shared" si="0"/>
        <v>0.54</v>
      </c>
      <c r="I27" s="407">
        <f t="shared" si="1"/>
        <v>0.21274749999999998</v>
      </c>
      <c r="J27" s="408">
        <f t="shared" si="2"/>
        <v>1.8112287162162157</v>
      </c>
      <c r="K27" s="408">
        <f t="shared" si="31"/>
        <v>1.445614358108108</v>
      </c>
      <c r="L27" s="408">
        <f t="shared" si="32"/>
        <v>-0.36561435810810783</v>
      </c>
      <c r="M27" s="63">
        <f t="shared" si="3"/>
        <v>10.816992843435143</v>
      </c>
      <c r="N27" s="407">
        <f t="shared" si="4"/>
        <v>0.75165093086519896</v>
      </c>
      <c r="O27" s="407">
        <f t="shared" si="5"/>
        <v>2.8255341564752167E-3</v>
      </c>
      <c r="P27">
        <f t="shared" si="6"/>
        <v>0.2</v>
      </c>
      <c r="Q27" s="407">
        <f t="shared" si="34"/>
        <v>0.20282553415647522</v>
      </c>
      <c r="R27" s="9">
        <f t="shared" si="39"/>
        <v>0.52285669343570629</v>
      </c>
      <c r="S27" s="9">
        <f t="shared" si="7"/>
        <v>2.7337912187052017E-3</v>
      </c>
      <c r="T27" s="9">
        <f t="shared" si="40"/>
        <v>2.7337912187052017E-3</v>
      </c>
      <c r="U27" s="407">
        <f t="shared" si="8"/>
        <v>0.34669568172988319</v>
      </c>
      <c r="V27" s="409">
        <f t="shared" si="9"/>
        <v>2.4039579146029692E-4</v>
      </c>
      <c r="W27" s="407">
        <f t="shared" si="41"/>
        <v>2.4039579146029692E-4</v>
      </c>
      <c r="X27" s="407">
        <f t="shared" si="10"/>
        <v>0.34669568172988319</v>
      </c>
      <c r="Y27" s="407">
        <f t="shared" si="11"/>
        <v>7.2118737438089074E-4</v>
      </c>
      <c r="Z27" s="407">
        <f t="shared" si="12"/>
        <v>5.2581413439994409E-2</v>
      </c>
      <c r="AA27" s="407">
        <f t="shared" si="13"/>
        <v>7.9098042939389143E-2</v>
      </c>
      <c r="AB27" s="407">
        <f t="shared" si="14"/>
        <v>2.632423378378376E-3</v>
      </c>
      <c r="AC27" s="407">
        <f t="shared" si="15"/>
        <v>0.1350525467704646</v>
      </c>
      <c r="AD27" s="407">
        <f t="shared" si="16"/>
        <v>0.6669192051068642</v>
      </c>
      <c r="AE27" s="407">
        <f t="shared" si="17"/>
        <v>2.6686873568422297E-3</v>
      </c>
      <c r="AF27" s="407">
        <f t="shared" si="18"/>
        <v>1.0408423378378377E-2</v>
      </c>
      <c r="AG27" s="407">
        <f t="shared" si="19"/>
        <v>1.308409420657757E-2</v>
      </c>
      <c r="AH27" s="407">
        <f t="shared" si="20"/>
        <v>0</v>
      </c>
      <c r="AI27">
        <f t="shared" si="21"/>
        <v>0</v>
      </c>
      <c r="AJ27" s="408">
        <f t="shared" si="22"/>
        <v>0.45353876399999998</v>
      </c>
      <c r="AK27">
        <f t="shared" si="23"/>
        <v>4.8000000000000001E-2</v>
      </c>
      <c r="AL27" s="408">
        <f t="shared" si="24"/>
        <v>0.1215</v>
      </c>
      <c r="AM27" s="408">
        <f t="shared" si="25"/>
        <v>0.31645971316818772</v>
      </c>
      <c r="AN27" s="408">
        <f t="shared" si="42"/>
        <v>0.16949999999999998</v>
      </c>
      <c r="AO27" s="408">
        <f t="shared" si="26"/>
        <v>0.97697512614368276</v>
      </c>
      <c r="AP27">
        <f t="shared" si="27"/>
        <v>2.754</v>
      </c>
      <c r="AQ27" s="10">
        <f t="shared" si="43"/>
        <v>0.7381448299406167</v>
      </c>
      <c r="AR27" s="63">
        <f t="shared" si="28"/>
        <v>6.7526273385232303</v>
      </c>
      <c r="AS27" s="63">
        <f t="shared" si="44"/>
        <v>0.6542047103288785</v>
      </c>
      <c r="AT27" s="10"/>
      <c r="AU27">
        <f t="shared" si="45"/>
        <v>73.814482994061663</v>
      </c>
      <c r="BC27" t="s">
        <v>244</v>
      </c>
      <c r="BD27">
        <v>9.9986669999999993</v>
      </c>
      <c r="BE27">
        <v>0.1166</v>
      </c>
      <c r="BF27">
        <v>5.1212980000000003</v>
      </c>
      <c r="BG27">
        <v>64.729420570558148</v>
      </c>
      <c r="BH27">
        <v>325.37886459483997</v>
      </c>
    </row>
    <row r="28" spans="1:69" x14ac:dyDescent="0.25">
      <c r="A28" s="32" t="s">
        <v>239</v>
      </c>
      <c r="B28" s="5">
        <v>0.9</v>
      </c>
      <c r="C28" s="416" t="s">
        <v>208</v>
      </c>
      <c r="D28" s="31" t="s">
        <v>205</v>
      </c>
      <c r="G28">
        <v>19</v>
      </c>
      <c r="H28">
        <f t="shared" si="0"/>
        <v>0.57000000000000006</v>
      </c>
      <c r="I28" s="407">
        <f t="shared" si="1"/>
        <v>0.21276124999999999</v>
      </c>
      <c r="J28" s="408">
        <f t="shared" si="2"/>
        <v>1.8113457770270267</v>
      </c>
      <c r="K28" s="408">
        <f t="shared" si="31"/>
        <v>1.4756728885135133</v>
      </c>
      <c r="L28" s="408">
        <f t="shared" si="32"/>
        <v>-0.33567288851351329</v>
      </c>
      <c r="M28" s="63">
        <f t="shared" si="3"/>
        <v>9.9311505477370794</v>
      </c>
      <c r="N28" s="407">
        <f t="shared" si="4"/>
        <v>0.77350789286824362</v>
      </c>
      <c r="O28" s="407">
        <f t="shared" si="5"/>
        <v>2.9922884334230289E-3</v>
      </c>
      <c r="P28">
        <f t="shared" si="6"/>
        <v>0.2</v>
      </c>
      <c r="Q28" s="407">
        <f t="shared" si="34"/>
        <v>0.20299228843342304</v>
      </c>
      <c r="R28" s="9">
        <f t="shared" si="39"/>
        <v>0.52289048598102283</v>
      </c>
      <c r="S28" s="9">
        <f t="shared" si="7"/>
        <v>2.7341446032947028E-3</v>
      </c>
      <c r="T28" s="9">
        <f t="shared" si="40"/>
        <v>2.7341446032947028E-3</v>
      </c>
      <c r="U28" s="407">
        <f t="shared" si="8"/>
        <v>0.35678863837400077</v>
      </c>
      <c r="V28" s="409">
        <f t="shared" si="9"/>
        <v>2.54596264945547E-4</v>
      </c>
      <c r="W28" s="407">
        <f t="shared" si="41"/>
        <v>2.54596264945547E-4</v>
      </c>
      <c r="X28" s="407">
        <f t="shared" si="10"/>
        <v>0.35678863837400077</v>
      </c>
      <c r="Y28" s="407">
        <f t="shared" si="11"/>
        <v>7.63788794836641E-4</v>
      </c>
      <c r="Z28" s="407">
        <f t="shared" si="12"/>
        <v>5.3674734079610709E-2</v>
      </c>
      <c r="AA28" s="407">
        <f t="shared" si="13"/>
        <v>8.4413096713577523E-2</v>
      </c>
      <c r="AB28" s="407">
        <f t="shared" si="14"/>
        <v>2.4168447972972955E-3</v>
      </c>
      <c r="AC28" s="407">
        <f t="shared" si="15"/>
        <v>0.14129004753634819</v>
      </c>
      <c r="AD28" s="407">
        <f t="shared" si="16"/>
        <v>0.68630629303299906</v>
      </c>
      <c r="AE28" s="407">
        <f t="shared" si="17"/>
        <v>2.8260979671401809E-3</v>
      </c>
      <c r="AF28" s="407">
        <f t="shared" si="18"/>
        <v>1.0624844797297296E-2</v>
      </c>
      <c r="AG28" s="407">
        <f t="shared" si="19"/>
        <v>1.3458549800483836E-2</v>
      </c>
      <c r="AH28" s="407">
        <f t="shared" si="20"/>
        <v>0</v>
      </c>
      <c r="AI28">
        <f t="shared" si="21"/>
        <v>0</v>
      </c>
      <c r="AJ28" s="408">
        <f t="shared" si="22"/>
        <v>0.45353536200000005</v>
      </c>
      <c r="AK28">
        <f t="shared" si="23"/>
        <v>4.8000000000000001E-2</v>
      </c>
      <c r="AL28" s="408">
        <f t="shared" si="24"/>
        <v>0.1215</v>
      </c>
      <c r="AM28" s="408">
        <f t="shared" si="25"/>
        <v>0.31645971316818772</v>
      </c>
      <c r="AN28" s="408">
        <f t="shared" si="42"/>
        <v>0.16949999999999998</v>
      </c>
      <c r="AO28" s="408">
        <f t="shared" si="26"/>
        <v>0.98376498863849549</v>
      </c>
      <c r="AP28">
        <f t="shared" si="27"/>
        <v>2.907</v>
      </c>
      <c r="AQ28" s="10">
        <f t="shared" si="43"/>
        <v>0.74715383953767234</v>
      </c>
      <c r="AR28" s="63">
        <f t="shared" si="28"/>
        <v>7.0645023768174093</v>
      </c>
      <c r="AS28" s="63">
        <f t="shared" si="44"/>
        <v>0.67292749002419183</v>
      </c>
      <c r="AT28" s="10"/>
      <c r="AU28">
        <f t="shared" si="45"/>
        <v>74.71538395376723</v>
      </c>
      <c r="BC28" t="s">
        <v>245</v>
      </c>
      <c r="BD28">
        <v>9.9987659999999998</v>
      </c>
      <c r="BE28">
        <v>0.14660000000000001</v>
      </c>
      <c r="BF28">
        <v>5.1213230000000003</v>
      </c>
      <c r="BG28">
        <v>69.885376918691776</v>
      </c>
      <c r="BH28">
        <v>323.52446193379996</v>
      </c>
    </row>
    <row r="29" spans="1:69" x14ac:dyDescent="0.25">
      <c r="A29" s="34" t="s">
        <v>203</v>
      </c>
      <c r="B29" s="25" t="s">
        <v>201</v>
      </c>
      <c r="C29" s="34" t="s">
        <v>148</v>
      </c>
      <c r="D29" s="27" t="s">
        <v>188</v>
      </c>
      <c r="G29">
        <v>20</v>
      </c>
      <c r="H29">
        <f t="shared" si="0"/>
        <v>0.60000000000000009</v>
      </c>
      <c r="I29" s="407">
        <f t="shared" si="1"/>
        <v>0.21277499999999996</v>
      </c>
      <c r="J29" s="408">
        <f t="shared" si="2"/>
        <v>1.8114628378378372</v>
      </c>
      <c r="K29" s="408">
        <f t="shared" si="31"/>
        <v>1.5057314189189186</v>
      </c>
      <c r="L29" s="408">
        <f t="shared" si="32"/>
        <v>-0.30573141891891853</v>
      </c>
      <c r="M29" s="63">
        <f t="shared" si="3"/>
        <v>9.0453082520390087</v>
      </c>
      <c r="N29" s="407">
        <f t="shared" si="4"/>
        <v>0.79589559684188016</v>
      </c>
      <c r="O29" s="407">
        <f t="shared" si="5"/>
        <v>3.1680517260557262E-3</v>
      </c>
      <c r="P29">
        <f t="shared" si="6"/>
        <v>0.2</v>
      </c>
      <c r="Q29" s="407">
        <f t="shared" si="34"/>
        <v>0.20316805172605573</v>
      </c>
      <c r="R29" s="9">
        <f t="shared" si="39"/>
        <v>0.52292427852633938</v>
      </c>
      <c r="S29" s="9">
        <f t="shared" si="7"/>
        <v>2.7344980107229257E-3</v>
      </c>
      <c r="T29" s="9">
        <f t="shared" si="40"/>
        <v>2.7344980107229257E-3</v>
      </c>
      <c r="U29" s="407">
        <f t="shared" si="8"/>
        <v>0.36712706441116139</v>
      </c>
      <c r="V29" s="409">
        <f t="shared" si="9"/>
        <v>2.6956456284631407E-4</v>
      </c>
      <c r="W29" s="407">
        <f t="shared" si="41"/>
        <v>2.6956456284631407E-4</v>
      </c>
      <c r="X29" s="407">
        <f t="shared" si="10"/>
        <v>0.36712706441116139</v>
      </c>
      <c r="Y29" s="407">
        <f t="shared" si="11"/>
        <v>8.0869368853894231E-4</v>
      </c>
      <c r="Z29" s="407">
        <f t="shared" si="12"/>
        <v>5.4768054719227001E-2</v>
      </c>
      <c r="AA29" s="407">
        <f t="shared" si="13"/>
        <v>8.9728150487765945E-2</v>
      </c>
      <c r="AB29" s="407">
        <f t="shared" si="14"/>
        <v>2.2012662162162132E-3</v>
      </c>
      <c r="AC29" s="407">
        <f t="shared" si="15"/>
        <v>0.1475300264319972</v>
      </c>
      <c r="AD29" s="407">
        <f t="shared" si="16"/>
        <v>0.70616394672139393</v>
      </c>
      <c r="AE29" s="407">
        <f t="shared" si="17"/>
        <v>2.9920051178948144E-3</v>
      </c>
      <c r="AF29" s="407">
        <f t="shared" si="18"/>
        <v>1.0841266216216214E-2</v>
      </c>
      <c r="AG29" s="407">
        <f t="shared" si="19"/>
        <v>1.3841554134272901E-2</v>
      </c>
      <c r="AH29" s="407">
        <f t="shared" si="20"/>
        <v>0</v>
      </c>
      <c r="AI29">
        <f t="shared" si="21"/>
        <v>0</v>
      </c>
      <c r="AJ29" s="408">
        <f t="shared" si="22"/>
        <v>0.45353196000000001</v>
      </c>
      <c r="AK29">
        <f t="shared" si="23"/>
        <v>4.8000000000000001E-2</v>
      </c>
      <c r="AL29" s="408">
        <f t="shared" si="24"/>
        <v>0.1215</v>
      </c>
      <c r="AM29" s="408">
        <f t="shared" si="25"/>
        <v>0.31645971316818772</v>
      </c>
      <c r="AN29" s="408">
        <f t="shared" si="42"/>
        <v>0.16949999999999998</v>
      </c>
      <c r="AO29" s="408">
        <f t="shared" si="26"/>
        <v>0.99057565486589505</v>
      </c>
      <c r="AP29">
        <f t="shared" si="27"/>
        <v>3.06</v>
      </c>
      <c r="AQ29" s="10">
        <f t="shared" si="43"/>
        <v>0.75544817841485534</v>
      </c>
      <c r="AR29" s="63">
        <f t="shared" si="28"/>
        <v>7.3765013215998598</v>
      </c>
      <c r="AS29" s="63">
        <f t="shared" si="44"/>
        <v>0.69207770671364499</v>
      </c>
      <c r="AT29" s="10"/>
      <c r="AU29">
        <f t="shared" si="45"/>
        <v>75.544817841485539</v>
      </c>
      <c r="BC29" t="s">
        <v>246</v>
      </c>
      <c r="BD29">
        <v>9.9987899999999996</v>
      </c>
      <c r="BE29">
        <v>0.1958</v>
      </c>
      <c r="BF29">
        <v>5.1217600000000001</v>
      </c>
      <c r="BG29">
        <v>75.662516566515876</v>
      </c>
      <c r="BH29">
        <v>322.57199766699983</v>
      </c>
    </row>
    <row r="30" spans="1:69" x14ac:dyDescent="0.25">
      <c r="A30" s="32" t="s">
        <v>131</v>
      </c>
      <c r="B30" s="37">
        <v>1.5</v>
      </c>
      <c r="C30" s="416" t="s">
        <v>208</v>
      </c>
      <c r="D30" s="31" t="s">
        <v>204</v>
      </c>
      <c r="G30">
        <v>21</v>
      </c>
      <c r="H30">
        <f t="shared" si="0"/>
        <v>0.63</v>
      </c>
      <c r="I30" s="407">
        <f t="shared" si="1"/>
        <v>0.21278874999999997</v>
      </c>
      <c r="J30" s="408">
        <f t="shared" si="2"/>
        <v>1.8115798986486482</v>
      </c>
      <c r="K30" s="408">
        <f t="shared" si="31"/>
        <v>1.5357899493243241</v>
      </c>
      <c r="L30" s="408">
        <f t="shared" si="32"/>
        <v>-0.2757899493243241</v>
      </c>
      <c r="M30" s="63">
        <f t="shared" si="3"/>
        <v>8.1594659563409504</v>
      </c>
      <c r="N30" s="407">
        <f t="shared" si="4"/>
        <v>0.81877050758987846</v>
      </c>
      <c r="O30" s="407">
        <f t="shared" si="5"/>
        <v>3.35282479406802E-3</v>
      </c>
      <c r="P30">
        <f t="shared" si="6"/>
        <v>0.2</v>
      </c>
      <c r="Q30" s="407">
        <f t="shared" si="34"/>
        <v>0.20335282479406802</v>
      </c>
      <c r="R30" s="9">
        <f t="shared" si="39"/>
        <v>0.52295807107165604</v>
      </c>
      <c r="S30" s="9">
        <f t="shared" si="7"/>
        <v>2.7348514409898726E-3</v>
      </c>
      <c r="T30" s="9">
        <f t="shared" si="40"/>
        <v>2.7348514409898726E-3</v>
      </c>
      <c r="U30" s="407">
        <f t="shared" si="8"/>
        <v>0.37769090117633675</v>
      </c>
      <c r="V30" s="409">
        <f t="shared" si="9"/>
        <v>2.8530083366278675E-4</v>
      </c>
      <c r="W30" s="407">
        <f t="shared" si="41"/>
        <v>2.8530083366278675E-4</v>
      </c>
      <c r="X30" s="407">
        <f t="shared" si="10"/>
        <v>0.37769090117633675</v>
      </c>
      <c r="Y30" s="407">
        <f t="shared" si="11"/>
        <v>8.5590250098836025E-4</v>
      </c>
      <c r="Z30" s="407">
        <f t="shared" si="12"/>
        <v>5.58613753588433E-2</v>
      </c>
      <c r="AA30" s="407">
        <f t="shared" si="13"/>
        <v>9.5043204261954298E-2</v>
      </c>
      <c r="AB30" s="407">
        <f t="shared" si="14"/>
        <v>1.9856876351351336E-3</v>
      </c>
      <c r="AC30" s="407">
        <f t="shared" si="15"/>
        <v>0.15377249260912257</v>
      </c>
      <c r="AD30" s="407">
        <f t="shared" si="16"/>
        <v>0.72645352725937939</v>
      </c>
      <c r="AE30" s="407">
        <f t="shared" si="17"/>
        <v>3.1664083636055631E-3</v>
      </c>
      <c r="AF30" s="407">
        <f t="shared" si="18"/>
        <v>1.1057687635135134E-2</v>
      </c>
      <c r="AG30" s="407">
        <f t="shared" si="19"/>
        <v>1.4233109566174787E-2</v>
      </c>
      <c r="AH30" s="407">
        <f t="shared" si="20"/>
        <v>0</v>
      </c>
      <c r="AI30">
        <f t="shared" si="21"/>
        <v>0</v>
      </c>
      <c r="AJ30" s="408">
        <f t="shared" si="22"/>
        <v>0.45352855800000003</v>
      </c>
      <c r="AK30">
        <f t="shared" si="23"/>
        <v>4.8000000000000001E-2</v>
      </c>
      <c r="AL30" s="408">
        <f t="shared" si="24"/>
        <v>0.1215</v>
      </c>
      <c r="AM30" s="408">
        <f t="shared" si="25"/>
        <v>0.31645971316818772</v>
      </c>
      <c r="AN30" s="408">
        <f t="shared" si="42"/>
        <v>0.16949999999999998</v>
      </c>
      <c r="AO30" s="408">
        <f t="shared" si="26"/>
        <v>0.99740713724401797</v>
      </c>
      <c r="AP30">
        <f t="shared" si="27"/>
        <v>3.2129999999999996</v>
      </c>
      <c r="AQ30" s="10">
        <f t="shared" si="43"/>
        <v>0.76310909973022578</v>
      </c>
      <c r="AR30" s="63">
        <f t="shared" si="28"/>
        <v>7.6886246304561281</v>
      </c>
      <c r="AS30" s="63">
        <f t="shared" si="44"/>
        <v>0.71165547830873932</v>
      </c>
      <c r="AT30" s="10"/>
      <c r="AU30">
        <f t="shared" si="45"/>
        <v>76.310909973022575</v>
      </c>
      <c r="BD30">
        <v>9.9987659999999998</v>
      </c>
      <c r="BE30">
        <v>0.2681</v>
      </c>
      <c r="BF30">
        <v>5.1224080000000001</v>
      </c>
      <c r="BG30">
        <v>80.957553445887683</v>
      </c>
      <c r="BH30">
        <v>323.02506068319997</v>
      </c>
    </row>
    <row r="31" spans="1:69" x14ac:dyDescent="0.25">
      <c r="A31" s="32" t="s">
        <v>238</v>
      </c>
      <c r="B31" s="37">
        <v>0.9</v>
      </c>
      <c r="C31" s="416" t="s">
        <v>208</v>
      </c>
      <c r="D31" s="31" t="s">
        <v>205</v>
      </c>
      <c r="G31">
        <v>22</v>
      </c>
      <c r="H31">
        <f t="shared" si="0"/>
        <v>0.66</v>
      </c>
      <c r="I31" s="407">
        <f t="shared" si="1"/>
        <v>0.21280250000000001</v>
      </c>
      <c r="J31" s="408">
        <f t="shared" si="2"/>
        <v>1.811696959459459</v>
      </c>
      <c r="K31" s="408">
        <f t="shared" si="31"/>
        <v>1.5658484797297296</v>
      </c>
      <c r="L31" s="408">
        <f t="shared" si="32"/>
        <v>-0.24584847972972945</v>
      </c>
      <c r="M31" s="63">
        <f t="shared" si="3"/>
        <v>7.2736236606428823</v>
      </c>
      <c r="N31" s="407">
        <f t="shared" si="4"/>
        <v>0.84209292207544062</v>
      </c>
      <c r="O31" s="407">
        <f t="shared" si="5"/>
        <v>3.5466084361317602E-3</v>
      </c>
      <c r="P31">
        <f t="shared" si="6"/>
        <v>0.2</v>
      </c>
      <c r="Q31" s="407">
        <f t="shared" si="34"/>
        <v>0.20354660843613176</v>
      </c>
      <c r="R31" s="9">
        <f t="shared" si="39"/>
        <v>0.52299186361697259</v>
      </c>
      <c r="S31" s="9">
        <f t="shared" si="7"/>
        <v>2.7352048940955404E-3</v>
      </c>
      <c r="T31" s="9">
        <f t="shared" si="40"/>
        <v>2.7352048940955404E-3</v>
      </c>
      <c r="U31" s="407">
        <f t="shared" si="8"/>
        <v>0.38846185520276844</v>
      </c>
      <c r="V31" s="409">
        <f t="shared" si="9"/>
        <v>3.0180522589515327E-4</v>
      </c>
      <c r="W31" s="407">
        <f t="shared" si="41"/>
        <v>3.0180522589515327E-4</v>
      </c>
      <c r="X31" s="407">
        <f t="shared" si="10"/>
        <v>0.38846185520276844</v>
      </c>
      <c r="Y31" s="407">
        <f t="shared" si="11"/>
        <v>9.0541567768545974E-4</v>
      </c>
      <c r="Z31" s="407">
        <f t="shared" si="12"/>
        <v>5.6954695998459613E-2</v>
      </c>
      <c r="AA31" s="407">
        <f t="shared" si="13"/>
        <v>0.10035825803614271</v>
      </c>
      <c r="AB31" s="407">
        <f t="shared" si="14"/>
        <v>1.770109054054052E-3</v>
      </c>
      <c r="AC31" s="407">
        <f t="shared" si="15"/>
        <v>0.16001745522887537</v>
      </c>
      <c r="AD31" s="407">
        <f t="shared" si="16"/>
        <v>0.74713979713436318</v>
      </c>
      <c r="AE31" s="407">
        <f t="shared" si="17"/>
        <v>3.3493072587718643E-3</v>
      </c>
      <c r="AF31" s="407">
        <f t="shared" si="18"/>
        <v>1.1274109054054054E-2</v>
      </c>
      <c r="AG31" s="407">
        <f t="shared" si="19"/>
        <v>1.4633218541842196E-2</v>
      </c>
      <c r="AH31" s="407">
        <f t="shared" si="20"/>
        <v>0</v>
      </c>
      <c r="AI31">
        <f t="shared" si="21"/>
        <v>0</v>
      </c>
      <c r="AJ31" s="408">
        <f t="shared" si="22"/>
        <v>0.45352515600000004</v>
      </c>
      <c r="AK31">
        <f t="shared" si="23"/>
        <v>4.8000000000000001E-2</v>
      </c>
      <c r="AL31" s="408">
        <f t="shared" si="24"/>
        <v>0.1215</v>
      </c>
      <c r="AM31" s="408">
        <f t="shared" si="25"/>
        <v>0.31645971316818772</v>
      </c>
      <c r="AN31" s="408">
        <f t="shared" si="42"/>
        <v>0.16949999999999998</v>
      </c>
      <c r="AO31" s="408">
        <f t="shared" si="26"/>
        <v>1.0042594483268399</v>
      </c>
      <c r="AP31">
        <f t="shared" si="27"/>
        <v>3.3660000000000001</v>
      </c>
      <c r="AQ31" s="10">
        <f t="shared" si="43"/>
        <v>0.77020598886610225</v>
      </c>
      <c r="AR31" s="63">
        <f t="shared" si="28"/>
        <v>8.0008727614437678</v>
      </c>
      <c r="AS31" s="63">
        <f t="shared" si="44"/>
        <v>0.73166092709210984</v>
      </c>
      <c r="AT31" s="10"/>
      <c r="AU31">
        <f t="shared" si="45"/>
        <v>77.02059888661023</v>
      </c>
      <c r="BD31">
        <v>9.998704</v>
      </c>
      <c r="BE31">
        <v>0.36549999999999999</v>
      </c>
      <c r="BF31">
        <v>5.123094</v>
      </c>
      <c r="BG31">
        <v>85.419022273213088</v>
      </c>
      <c r="BH31">
        <v>319.63300692320018</v>
      </c>
    </row>
    <row r="32" spans="1:69" x14ac:dyDescent="0.25">
      <c r="A32" s="34" t="s">
        <v>133</v>
      </c>
      <c r="B32" s="25" t="s">
        <v>201</v>
      </c>
      <c r="C32" s="34" t="s">
        <v>148</v>
      </c>
      <c r="D32" s="27" t="s">
        <v>188</v>
      </c>
      <c r="G32">
        <v>23</v>
      </c>
      <c r="H32">
        <f t="shared" si="0"/>
        <v>0.69000000000000006</v>
      </c>
      <c r="I32" s="407">
        <f t="shared" si="1"/>
        <v>0.21281624999999996</v>
      </c>
      <c r="J32" s="408">
        <f t="shared" si="2"/>
        <v>1.8118140202702695</v>
      </c>
      <c r="K32" s="408">
        <f t="shared" si="31"/>
        <v>1.5959070101351349</v>
      </c>
      <c r="L32" s="408">
        <f t="shared" si="32"/>
        <v>-0.21590701013513469</v>
      </c>
      <c r="M32" s="63">
        <f t="shared" si="3"/>
        <v>6.3877813649448134</v>
      </c>
      <c r="N32" s="407">
        <f t="shared" si="4"/>
        <v>0.86582667838545679</v>
      </c>
      <c r="O32" s="407">
        <f t="shared" si="5"/>
        <v>3.7494034899045623E-3</v>
      </c>
      <c r="P32">
        <f t="shared" si="6"/>
        <v>0.2</v>
      </c>
      <c r="Q32" s="407">
        <f t="shared" si="34"/>
        <v>0.20374940348990458</v>
      </c>
      <c r="R32" s="9">
        <f t="shared" si="39"/>
        <v>0.52302565616228913</v>
      </c>
      <c r="S32" s="9">
        <f t="shared" si="7"/>
        <v>2.7355583700399313E-3</v>
      </c>
      <c r="T32" s="9">
        <f t="shared" si="40"/>
        <v>2.7355583700399313E-3</v>
      </c>
      <c r="U32" s="407">
        <f t="shared" si="8"/>
        <v>0.39942326424709046</v>
      </c>
      <c r="V32" s="409">
        <f t="shared" si="9"/>
        <v>3.1907788804360211E-4</v>
      </c>
      <c r="W32" s="407">
        <f t="shared" si="41"/>
        <v>3.1907788804360211E-4</v>
      </c>
      <c r="X32" s="407">
        <f t="shared" si="10"/>
        <v>0.39942326424709046</v>
      </c>
      <c r="Y32" s="407">
        <f t="shared" si="11"/>
        <v>9.5723366413080627E-4</v>
      </c>
      <c r="Z32" s="407">
        <f t="shared" si="12"/>
        <v>5.8048016638075906E-2</v>
      </c>
      <c r="AA32" s="407">
        <f t="shared" si="13"/>
        <v>0.10567331181033113</v>
      </c>
      <c r="AB32" s="407">
        <f t="shared" si="14"/>
        <v>1.5545304729729697E-3</v>
      </c>
      <c r="AC32" s="407">
        <f t="shared" si="15"/>
        <v>0.16626492346189117</v>
      </c>
      <c r="AD32" s="407">
        <f t="shared" si="16"/>
        <v>0.76819066186864848</v>
      </c>
      <c r="AE32" s="407">
        <f t="shared" si="17"/>
        <v>3.5407013578931537E-3</v>
      </c>
      <c r="AF32" s="407">
        <f t="shared" si="18"/>
        <v>1.149053047297297E-2</v>
      </c>
      <c r="AG32" s="407">
        <f t="shared" si="19"/>
        <v>1.5041883594399718E-2</v>
      </c>
      <c r="AH32" s="407">
        <f t="shared" si="20"/>
        <v>0</v>
      </c>
      <c r="AI32">
        <f t="shared" si="21"/>
        <v>0</v>
      </c>
      <c r="AJ32" s="408">
        <f t="shared" si="22"/>
        <v>0.453521754</v>
      </c>
      <c r="AK32">
        <f t="shared" si="23"/>
        <v>4.8000000000000001E-2</v>
      </c>
      <c r="AL32" s="408">
        <f t="shared" si="24"/>
        <v>0.1215</v>
      </c>
      <c r="AM32" s="408">
        <f t="shared" si="25"/>
        <v>0.31645971316818772</v>
      </c>
      <c r="AN32" s="408">
        <f t="shared" si="42"/>
        <v>0.16949999999999998</v>
      </c>
      <c r="AO32" s="408">
        <f t="shared" si="26"/>
        <v>1.0111326008042791</v>
      </c>
      <c r="AP32">
        <f t="shared" si="27"/>
        <v>3.5190000000000001</v>
      </c>
      <c r="AQ32" s="10">
        <f t="shared" si="43"/>
        <v>0.77679845384111657</v>
      </c>
      <c r="AR32" s="63">
        <f t="shared" si="28"/>
        <v>8.3132461730945586</v>
      </c>
      <c r="AS32" s="63">
        <f t="shared" si="44"/>
        <v>0.75209417971998593</v>
      </c>
      <c r="AT32" s="10"/>
      <c r="AU32">
        <f t="shared" si="45"/>
        <v>77.679845384111658</v>
      </c>
      <c r="BD32">
        <v>9.9987290000000009</v>
      </c>
      <c r="BE32">
        <v>0.49059999999999998</v>
      </c>
      <c r="BF32">
        <v>5.1238169999999998</v>
      </c>
      <c r="BG32">
        <v>88.551850267052174</v>
      </c>
      <c r="BH32">
        <v>324.98153184230057</v>
      </c>
    </row>
    <row r="33" spans="1:60" x14ac:dyDescent="0.25">
      <c r="A33" s="32" t="s">
        <v>133</v>
      </c>
      <c r="B33" s="5">
        <v>20</v>
      </c>
      <c r="C33" s="417" t="s">
        <v>147</v>
      </c>
      <c r="D33" s="31" t="s">
        <v>179</v>
      </c>
      <c r="G33">
        <v>24</v>
      </c>
      <c r="H33">
        <f t="shared" si="0"/>
        <v>0.72</v>
      </c>
      <c r="I33" s="407">
        <f t="shared" si="1"/>
        <v>0.21282999999999996</v>
      </c>
      <c r="J33" s="408">
        <f t="shared" si="2"/>
        <v>1.8119310810810805</v>
      </c>
      <c r="K33" s="408">
        <f t="shared" si="31"/>
        <v>1.6259655405405402</v>
      </c>
      <c r="L33" s="408">
        <f t="shared" si="32"/>
        <v>-0.18596554054054026</v>
      </c>
      <c r="M33" s="63">
        <f t="shared" si="3"/>
        <v>5.5019390692467534</v>
      </c>
      <c r="N33" s="407">
        <f t="shared" si="4"/>
        <v>0.8899388669354229</v>
      </c>
      <c r="O33" s="407">
        <f t="shared" si="5"/>
        <v>3.9612108320388646E-3</v>
      </c>
      <c r="P33">
        <f t="shared" si="6"/>
        <v>0.2</v>
      </c>
      <c r="Q33" s="407">
        <f t="shared" si="34"/>
        <v>0.20396121083203889</v>
      </c>
      <c r="R33" s="9">
        <f t="shared" si="39"/>
        <v>0.52305944870760579</v>
      </c>
      <c r="S33" s="9">
        <f t="shared" si="7"/>
        <v>2.7359118688230449E-3</v>
      </c>
      <c r="T33" s="9">
        <f t="shared" si="40"/>
        <v>2.7359118688230449E-3</v>
      </c>
      <c r="U33" s="407">
        <f t="shared" si="8"/>
        <v>0.41055996432209607</v>
      </c>
      <c r="V33" s="409">
        <f t="shared" si="9"/>
        <v>3.3711896860832161E-4</v>
      </c>
      <c r="W33" s="407">
        <f t="shared" si="41"/>
        <v>3.3711896860832161E-4</v>
      </c>
      <c r="X33" s="407">
        <f t="shared" si="10"/>
        <v>0.41055996432209607</v>
      </c>
      <c r="Y33" s="407">
        <f t="shared" si="11"/>
        <v>1.0113569058249647E-3</v>
      </c>
      <c r="Z33" s="407">
        <f t="shared" si="12"/>
        <v>5.9141337277692205E-2</v>
      </c>
      <c r="AA33" s="407">
        <f t="shared" si="13"/>
        <v>0.11098836558451951</v>
      </c>
      <c r="AB33" s="407">
        <f t="shared" si="14"/>
        <v>1.3389518918918897E-3</v>
      </c>
      <c r="AC33" s="407">
        <f t="shared" si="15"/>
        <v>0.17251490648833553</v>
      </c>
      <c r="AD33" s="407">
        <f t="shared" si="16"/>
        <v>0.78957691365575244</v>
      </c>
      <c r="AE33" s="407">
        <f t="shared" si="17"/>
        <v>3.7405902154688613E-3</v>
      </c>
      <c r="AF33" s="407">
        <f t="shared" si="18"/>
        <v>1.1706951891891889E-2</v>
      </c>
      <c r="AG33" s="407">
        <f t="shared" si="19"/>
        <v>1.5459107344495291E-2</v>
      </c>
      <c r="AH33" s="407">
        <f t="shared" si="20"/>
        <v>0</v>
      </c>
      <c r="AI33">
        <f t="shared" si="21"/>
        <v>0</v>
      </c>
      <c r="AJ33" s="408">
        <f t="shared" si="22"/>
        <v>0.45351835200000001</v>
      </c>
      <c r="AK33">
        <f t="shared" si="23"/>
        <v>4.8000000000000001E-2</v>
      </c>
      <c r="AL33" s="408">
        <f t="shared" si="24"/>
        <v>0.1215</v>
      </c>
      <c r="AM33" s="408">
        <f t="shared" si="25"/>
        <v>0.31645971316818772</v>
      </c>
      <c r="AN33" s="408">
        <f t="shared" si="42"/>
        <v>0.16949999999999998</v>
      </c>
      <c r="AO33" s="408">
        <f t="shared" si="26"/>
        <v>1.0180266075023012</v>
      </c>
      <c r="AP33">
        <f t="shared" si="27"/>
        <v>3.6719999999999997</v>
      </c>
      <c r="AQ33" s="10">
        <f t="shared" si="43"/>
        <v>0.78293798890738997</v>
      </c>
      <c r="AR33" s="63">
        <f t="shared" si="28"/>
        <v>8.6257453244167763</v>
      </c>
      <c r="AS33" s="63">
        <f t="shared" si="44"/>
        <v>0.77295536722476454</v>
      </c>
      <c r="AT33" s="10"/>
      <c r="AU33">
        <f t="shared" si="45"/>
        <v>78.293798890738998</v>
      </c>
      <c r="BD33">
        <v>9.9986420000000003</v>
      </c>
      <c r="BE33">
        <v>0.64549999999999996</v>
      </c>
      <c r="BF33">
        <v>5.1237300000000001</v>
      </c>
      <c r="BG33">
        <v>90.41893857119905</v>
      </c>
      <c r="BH33">
        <v>350.45848473660021</v>
      </c>
    </row>
    <row r="34" spans="1:60" x14ac:dyDescent="0.25">
      <c r="A34" s="34" t="s">
        <v>119</v>
      </c>
      <c r="B34" s="25" t="s">
        <v>201</v>
      </c>
      <c r="C34" s="34" t="s">
        <v>148</v>
      </c>
      <c r="D34" s="27" t="s">
        <v>188</v>
      </c>
      <c r="G34">
        <v>25</v>
      </c>
      <c r="H34">
        <f t="shared" si="0"/>
        <v>0.75</v>
      </c>
      <c r="I34" s="407">
        <f t="shared" si="1"/>
        <v>0.21284375</v>
      </c>
      <c r="J34" s="408">
        <f t="shared" si="2"/>
        <v>1.8120481418918915</v>
      </c>
      <c r="K34" s="408">
        <f t="shared" si="31"/>
        <v>1.6560240709459457</v>
      </c>
      <c r="L34" s="408">
        <f t="shared" si="32"/>
        <v>-0.15602407094594573</v>
      </c>
      <c r="M34" s="63">
        <f t="shared" si="3"/>
        <v>4.6160967735486897</v>
      </c>
      <c r="N34" s="407">
        <f t="shared" si="4"/>
        <v>0.91439955109595727</v>
      </c>
      <c r="O34" s="407">
        <f t="shared" si="5"/>
        <v>4.1820313781914106E-3</v>
      </c>
      <c r="P34">
        <f t="shared" si="6"/>
        <v>0.2</v>
      </c>
      <c r="Q34" s="407">
        <f t="shared" si="34"/>
        <v>0.20418203137819141</v>
      </c>
      <c r="R34" s="9">
        <f t="shared" si="39"/>
        <v>0.52309324125292234</v>
      </c>
      <c r="S34" s="9">
        <f t="shared" si="7"/>
        <v>2.7362653904448803E-3</v>
      </c>
      <c r="T34" s="9">
        <f t="shared" si="40"/>
        <v>2.7362653904448803E-3</v>
      </c>
      <c r="U34" s="407">
        <f t="shared" si="8"/>
        <v>0.42185816105031121</v>
      </c>
      <c r="V34" s="409">
        <f t="shared" si="9"/>
        <v>3.5592861608950063E-4</v>
      </c>
      <c r="W34" s="407">
        <f t="shared" si="41"/>
        <v>3.5592861608950063E-4</v>
      </c>
      <c r="X34" s="407">
        <f t="shared" si="10"/>
        <v>0.42185816105031121</v>
      </c>
      <c r="Y34" s="407">
        <f t="shared" si="11"/>
        <v>1.0677858482685018E-3</v>
      </c>
      <c r="Z34" s="407">
        <f t="shared" si="12"/>
        <v>6.0234657917308511E-2</v>
      </c>
      <c r="AA34" s="407">
        <f t="shared" si="13"/>
        <v>0.11630341935870785</v>
      </c>
      <c r="AB34" s="407">
        <f t="shared" si="14"/>
        <v>1.1233733108108094E-3</v>
      </c>
      <c r="AC34" s="407">
        <f t="shared" si="15"/>
        <v>0.17876741349794859</v>
      </c>
      <c r="AD34" s="407">
        <f t="shared" si="16"/>
        <v>0.81127198336916451</v>
      </c>
      <c r="AE34" s="407">
        <f t="shared" si="17"/>
        <v>3.9489733859984274E-3</v>
      </c>
      <c r="AF34" s="407">
        <f t="shared" si="18"/>
        <v>1.1923373310810809E-2</v>
      </c>
      <c r="AG34" s="407">
        <f t="shared" si="19"/>
        <v>1.5884892500353905E-2</v>
      </c>
      <c r="AH34" s="407">
        <f t="shared" si="20"/>
        <v>0</v>
      </c>
      <c r="AI34">
        <f t="shared" si="21"/>
        <v>0</v>
      </c>
      <c r="AJ34" s="408">
        <f t="shared" si="22"/>
        <v>0.45351494999999997</v>
      </c>
      <c r="AK34">
        <f t="shared" si="23"/>
        <v>4.8000000000000001E-2</v>
      </c>
      <c r="AL34" s="408">
        <f t="shared" si="24"/>
        <v>0.1215</v>
      </c>
      <c r="AM34" s="408">
        <f t="shared" si="25"/>
        <v>0.31645971316818772</v>
      </c>
      <c r="AN34" s="408">
        <f t="shared" si="42"/>
        <v>0.16949999999999998</v>
      </c>
      <c r="AO34" s="408">
        <f t="shared" si="26"/>
        <v>1.0249414813830282</v>
      </c>
      <c r="AP34">
        <f t="shared" si="27"/>
        <v>3.8249999999999997</v>
      </c>
      <c r="AQ34" s="10">
        <f t="shared" si="43"/>
        <v>0.78866930965716475</v>
      </c>
      <c r="AR34" s="63">
        <f t="shared" si="28"/>
        <v>8.9383706748974294</v>
      </c>
      <c r="AS34" s="63">
        <f t="shared" si="44"/>
        <v>0.79424462501769522</v>
      </c>
      <c r="AT34" s="10"/>
      <c r="AU34">
        <f t="shared" si="45"/>
        <v>78.866930965716477</v>
      </c>
      <c r="BD34">
        <v>9.9986049999999995</v>
      </c>
      <c r="BE34">
        <v>0.83240000000000003</v>
      </c>
      <c r="BF34">
        <v>5.1231559999999998</v>
      </c>
      <c r="BG34">
        <v>91.678946361105133</v>
      </c>
      <c r="BH34">
        <v>387.05996035199956</v>
      </c>
    </row>
    <row r="35" spans="1:60" x14ac:dyDescent="0.25">
      <c r="A35" s="32" t="s">
        <v>249</v>
      </c>
      <c r="B35" s="5">
        <v>2</v>
      </c>
      <c r="C35" s="417" t="s">
        <v>135</v>
      </c>
      <c r="D35" s="31" t="s">
        <v>259</v>
      </c>
      <c r="G35">
        <v>26</v>
      </c>
      <c r="H35">
        <f t="shared" si="0"/>
        <v>0.78</v>
      </c>
      <c r="I35" s="407">
        <f t="shared" si="1"/>
        <v>0.21285749999999995</v>
      </c>
      <c r="J35" s="408">
        <f t="shared" si="2"/>
        <v>1.812165202702702</v>
      </c>
      <c r="K35" s="408">
        <f t="shared" si="31"/>
        <v>1.686082601351351</v>
      </c>
      <c r="L35" s="408">
        <f t="shared" si="32"/>
        <v>-0.12608260135135096</v>
      </c>
      <c r="M35" s="63">
        <f t="shared" si="3"/>
        <v>3.7302544778506204</v>
      </c>
      <c r="N35" s="407">
        <f t="shared" si="4"/>
        <v>0.93918150188903515</v>
      </c>
      <c r="O35" s="407">
        <f t="shared" si="5"/>
        <v>4.4118660830331294E-3</v>
      </c>
      <c r="P35">
        <f t="shared" si="6"/>
        <v>0.2</v>
      </c>
      <c r="Q35" s="407">
        <f t="shared" si="34"/>
        <v>0.20441186608303313</v>
      </c>
      <c r="R35" s="9">
        <f t="shared" si="39"/>
        <v>0.52312703379823888</v>
      </c>
      <c r="S35" s="9">
        <f t="shared" si="7"/>
        <v>2.7366189349054375E-3</v>
      </c>
      <c r="T35" s="9">
        <f t="shared" si="40"/>
        <v>2.7366189349054375E-3</v>
      </c>
      <c r="U35" s="407">
        <f t="shared" si="8"/>
        <v>0.43330530748383794</v>
      </c>
      <c r="V35" s="409">
        <f t="shared" si="9"/>
        <v>3.755069789873267E-4</v>
      </c>
      <c r="W35" s="407">
        <f t="shared" si="41"/>
        <v>3.755069789873267E-4</v>
      </c>
      <c r="X35" s="407">
        <f t="shared" si="10"/>
        <v>0.43330530748383794</v>
      </c>
      <c r="Y35" s="407">
        <f t="shared" si="11"/>
        <v>1.1265209369619802E-3</v>
      </c>
      <c r="Z35" s="407">
        <f t="shared" si="12"/>
        <v>6.1327978556924803E-2</v>
      </c>
      <c r="AA35" s="407">
        <f t="shared" si="13"/>
        <v>0.12161847313289627</v>
      </c>
      <c r="AB35" s="407">
        <f t="shared" si="14"/>
        <v>9.0779472972972702E-4</v>
      </c>
      <c r="AC35" s="407">
        <f t="shared" si="15"/>
        <v>0.18502245369009074</v>
      </c>
      <c r="AD35" s="407">
        <f t="shared" si="16"/>
        <v>0.8332517050668905</v>
      </c>
      <c r="AE35" s="407">
        <f t="shared" si="17"/>
        <v>4.165850423981282E-3</v>
      </c>
      <c r="AF35" s="407">
        <f t="shared" si="18"/>
        <v>1.2139794729729727E-2</v>
      </c>
      <c r="AG35" s="407">
        <f t="shared" si="19"/>
        <v>1.6319241857833511E-2</v>
      </c>
      <c r="AH35" s="407">
        <f t="shared" si="20"/>
        <v>0</v>
      </c>
      <c r="AI35">
        <f t="shared" si="21"/>
        <v>0</v>
      </c>
      <c r="AJ35" s="408">
        <f t="shared" si="22"/>
        <v>0.45351154799999999</v>
      </c>
      <c r="AK35">
        <f t="shared" si="23"/>
        <v>4.8000000000000001E-2</v>
      </c>
      <c r="AL35" s="408">
        <f t="shared" si="24"/>
        <v>0.1215</v>
      </c>
      <c r="AM35" s="408">
        <f t="shared" si="25"/>
        <v>0.31645971316818772</v>
      </c>
      <c r="AN35" s="408">
        <f t="shared" si="42"/>
        <v>0.16949999999999998</v>
      </c>
      <c r="AO35" s="408">
        <f t="shared" si="26"/>
        <v>1.03187723554485</v>
      </c>
      <c r="AP35">
        <f t="shared" si="27"/>
        <v>3.9779999999999998</v>
      </c>
      <c r="AQ35" s="10">
        <f t="shared" si="43"/>
        <v>0.79403143290144351</v>
      </c>
      <c r="AR35" s="63">
        <f t="shared" si="28"/>
        <v>9.2511226845045371</v>
      </c>
      <c r="AS35" s="63">
        <f t="shared" si="44"/>
        <v>0.81596209289167554</v>
      </c>
      <c r="AT35" s="10"/>
      <c r="AU35">
        <f t="shared" si="45"/>
        <v>79.403143290144357</v>
      </c>
      <c r="BD35">
        <v>9.9986049999999995</v>
      </c>
      <c r="BE35">
        <v>1.0528999999999999</v>
      </c>
      <c r="BF35">
        <v>5.1218219999999999</v>
      </c>
      <c r="BG35">
        <v>92.889938966292178</v>
      </c>
      <c r="BH35">
        <v>412.77762981700039</v>
      </c>
    </row>
    <row r="36" spans="1:60" x14ac:dyDescent="0.25">
      <c r="A36" s="34" t="s">
        <v>129</v>
      </c>
      <c r="B36" s="25" t="s">
        <v>201</v>
      </c>
      <c r="C36" s="34" t="s">
        <v>148</v>
      </c>
      <c r="D36" s="27" t="s">
        <v>188</v>
      </c>
      <c r="G36">
        <v>27</v>
      </c>
      <c r="H36">
        <f t="shared" si="0"/>
        <v>0.81</v>
      </c>
      <c r="I36" s="407">
        <f t="shared" si="1"/>
        <v>0.21287124999999998</v>
      </c>
      <c r="J36" s="408">
        <f t="shared" si="2"/>
        <v>1.8122822635135132</v>
      </c>
      <c r="K36" s="408">
        <f t="shared" si="31"/>
        <v>1.7161411317567565</v>
      </c>
      <c r="L36" s="408">
        <f t="shared" si="32"/>
        <v>-9.6141131756756537E-2</v>
      </c>
      <c r="M36" s="63">
        <f t="shared" si="3"/>
        <v>2.8444121821525603</v>
      </c>
      <c r="N36" s="407">
        <f t="shared" si="4"/>
        <v>0.9642599495055636</v>
      </c>
      <c r="O36" s="407">
        <f t="shared" si="5"/>
        <v>4.6507159402594846E-3</v>
      </c>
      <c r="P36">
        <f t="shared" si="6"/>
        <v>0.2</v>
      </c>
      <c r="Q36" s="407">
        <f t="shared" si="34"/>
        <v>0.20465071594025949</v>
      </c>
      <c r="R36" s="9">
        <f t="shared" si="39"/>
        <v>0.52316082634355554</v>
      </c>
      <c r="S36" s="9">
        <f t="shared" si="7"/>
        <v>2.7369725022047186E-3</v>
      </c>
      <c r="T36" s="9">
        <f t="shared" si="40"/>
        <v>2.7369725022047186E-3</v>
      </c>
      <c r="U36" s="407">
        <f t="shared" si="8"/>
        <v>0.44488998966148324</v>
      </c>
      <c r="V36" s="409">
        <f t="shared" si="9"/>
        <v>3.9585420580198934E-4</v>
      </c>
      <c r="W36" s="407">
        <f t="shared" si="41"/>
        <v>3.9585420580198934E-4</v>
      </c>
      <c r="X36" s="407">
        <f t="shared" si="10"/>
        <v>0.44488998966148324</v>
      </c>
      <c r="Y36" s="407">
        <f t="shared" si="11"/>
        <v>1.187562617405968E-3</v>
      </c>
      <c r="Z36" s="407">
        <f t="shared" si="12"/>
        <v>6.2421299196541102E-2</v>
      </c>
      <c r="AA36" s="407">
        <f t="shared" si="13"/>
        <v>0.12693352690708465</v>
      </c>
      <c r="AB36" s="407">
        <f t="shared" si="14"/>
        <v>6.9221614864864716E-4</v>
      </c>
      <c r="AC36" s="407">
        <f t="shared" si="15"/>
        <v>0.19128003627378731</v>
      </c>
      <c r="AD36" s="407">
        <f t="shared" si="16"/>
        <v>0.85549409543226973</v>
      </c>
      <c r="AE36" s="407">
        <f t="shared" si="17"/>
        <v>4.3912208839168645E-3</v>
      </c>
      <c r="AF36" s="407">
        <f t="shared" si="18"/>
        <v>1.2356216148648647E-2</v>
      </c>
      <c r="AG36" s="407">
        <f t="shared" si="19"/>
        <v>1.6762158300483231E-2</v>
      </c>
      <c r="AH36" s="407">
        <f t="shared" si="20"/>
        <v>0</v>
      </c>
      <c r="AI36">
        <f t="shared" si="21"/>
        <v>0</v>
      </c>
      <c r="AJ36" s="408">
        <f t="shared" si="22"/>
        <v>0.453508146</v>
      </c>
      <c r="AK36">
        <f t="shared" si="23"/>
        <v>4.8000000000000001E-2</v>
      </c>
      <c r="AL36" s="408">
        <f t="shared" si="24"/>
        <v>0.1215</v>
      </c>
      <c r="AM36" s="408">
        <f t="shared" si="25"/>
        <v>0.31645971316818772</v>
      </c>
      <c r="AN36" s="408">
        <f t="shared" si="42"/>
        <v>0.16949999999999998</v>
      </c>
      <c r="AO36" s="408">
        <f t="shared" si="26"/>
        <v>1.0388338832225368</v>
      </c>
      <c r="AP36">
        <f t="shared" si="27"/>
        <v>4.1310000000000002</v>
      </c>
      <c r="AQ36" s="10">
        <f t="shared" si="43"/>
        <v>0.79905855648595892</v>
      </c>
      <c r="AR36" s="63">
        <f t="shared" si="28"/>
        <v>9.5640018136893659</v>
      </c>
      <c r="AS36" s="63">
        <f t="shared" si="44"/>
        <v>0.8381079150241616</v>
      </c>
      <c r="AT36" s="10"/>
      <c r="AU36">
        <f t="shared" si="45"/>
        <v>79.905855648595889</v>
      </c>
      <c r="BD36">
        <v>9.9986669999999993</v>
      </c>
      <c r="BE36">
        <v>1.3092999999999999</v>
      </c>
      <c r="BF36">
        <v>5.1195649999999997</v>
      </c>
      <c r="BG36">
        <v>93.690364214923264</v>
      </c>
      <c r="BH36">
        <v>451.42072788069993</v>
      </c>
    </row>
    <row r="37" spans="1:60" x14ac:dyDescent="0.25">
      <c r="A37" s="33" t="s">
        <v>142</v>
      </c>
      <c r="B37" s="5">
        <f>RdsonTop*1000</f>
        <v>6</v>
      </c>
      <c r="C37" s="417" t="s">
        <v>621</v>
      </c>
      <c r="D37" s="31" t="s">
        <v>194</v>
      </c>
      <c r="G37">
        <v>28</v>
      </c>
      <c r="H37">
        <f t="shared" si="0"/>
        <v>0.84000000000000008</v>
      </c>
      <c r="I37" s="407">
        <f t="shared" si="1"/>
        <v>0.21288499999999999</v>
      </c>
      <c r="J37" s="408">
        <f t="shared" si="2"/>
        <v>1.8123993243243237</v>
      </c>
      <c r="K37" s="408">
        <f t="shared" si="31"/>
        <v>1.7461996621621618</v>
      </c>
      <c r="L37" s="408">
        <f t="shared" si="32"/>
        <v>-6.6199662162161776E-2</v>
      </c>
      <c r="M37" s="63">
        <f t="shared" si="3"/>
        <v>1.9585698864544905</v>
      </c>
      <c r="N37" s="407">
        <f t="shared" si="4"/>
        <v>0.98961235301216421</v>
      </c>
      <c r="O37" s="407">
        <f t="shared" si="5"/>
        <v>4.8985819826011887E-3</v>
      </c>
      <c r="P37">
        <f t="shared" si="6"/>
        <v>0.2</v>
      </c>
      <c r="Q37" s="407">
        <f t="shared" si="34"/>
        <v>0.20489858198260119</v>
      </c>
      <c r="R37" s="9">
        <f t="shared" si="39"/>
        <v>0.52319461888887209</v>
      </c>
      <c r="S37" s="9">
        <f t="shared" si="7"/>
        <v>2.7373260923427211E-3</v>
      </c>
      <c r="T37" s="9">
        <f t="shared" si="40"/>
        <v>2.7373260923427211E-3</v>
      </c>
      <c r="U37" s="407">
        <f t="shared" si="8"/>
        <v>0.45660182053605308</v>
      </c>
      <c r="V37" s="409">
        <f t="shared" si="9"/>
        <v>4.1697044503367605E-4</v>
      </c>
      <c r="W37" s="407">
        <f t="shared" si="41"/>
        <v>4.1697044503367605E-4</v>
      </c>
      <c r="X37" s="407">
        <f t="shared" si="10"/>
        <v>0.45660182053605308</v>
      </c>
      <c r="Y37" s="407">
        <f t="shared" si="11"/>
        <v>1.250911335101028E-3</v>
      </c>
      <c r="Z37" s="407">
        <f t="shared" si="12"/>
        <v>6.3514619836157402E-2</v>
      </c>
      <c r="AA37" s="407">
        <f t="shared" si="13"/>
        <v>0.13224858068127304</v>
      </c>
      <c r="AB37" s="407">
        <f t="shared" si="14"/>
        <v>4.766375675675648E-4</v>
      </c>
      <c r="AC37" s="407">
        <f t="shared" si="15"/>
        <v>0.19754017046777422</v>
      </c>
      <c r="AD37" s="407">
        <f t="shared" si="16"/>
        <v>0.87797914936371602</v>
      </c>
      <c r="AE37" s="407">
        <f t="shared" si="17"/>
        <v>4.6250843203046064E-3</v>
      </c>
      <c r="AF37" s="407">
        <f t="shared" si="18"/>
        <v>1.2572637567567565E-2</v>
      </c>
      <c r="AG37" s="407">
        <f t="shared" si="19"/>
        <v>1.7213644799603758E-2</v>
      </c>
      <c r="AH37" s="407">
        <f t="shared" si="20"/>
        <v>0</v>
      </c>
      <c r="AI37">
        <f t="shared" si="21"/>
        <v>0</v>
      </c>
      <c r="AJ37" s="408">
        <f t="shared" si="22"/>
        <v>0.45350474399999996</v>
      </c>
      <c r="AK37">
        <f t="shared" si="23"/>
        <v>4.8000000000000001E-2</v>
      </c>
      <c r="AL37" s="408">
        <f t="shared" si="24"/>
        <v>0.1215</v>
      </c>
      <c r="AM37" s="408">
        <f t="shared" si="25"/>
        <v>0.31645971316818772</v>
      </c>
      <c r="AN37" s="408">
        <f t="shared" si="42"/>
        <v>0.16949999999999998</v>
      </c>
      <c r="AO37" s="408">
        <f t="shared" si="26"/>
        <v>1.0458114377873555</v>
      </c>
      <c r="AP37">
        <f t="shared" si="27"/>
        <v>4.2839999999999998</v>
      </c>
      <c r="AQ37" s="10">
        <f t="shared" si="43"/>
        <v>0.80378078099109662</v>
      </c>
      <c r="AR37" s="63">
        <f t="shared" si="28"/>
        <v>9.8770085233887119</v>
      </c>
      <c r="AS37" s="63">
        <f t="shared" si="44"/>
        <v>0.86068223998018789</v>
      </c>
      <c r="AT37" s="10"/>
      <c r="AU37">
        <f t="shared" si="45"/>
        <v>80.378078099109658</v>
      </c>
      <c r="BD37">
        <v>9.9985429999999997</v>
      </c>
      <c r="BE37">
        <v>1.6020000000000001</v>
      </c>
      <c r="BF37">
        <v>5.1182809999999996</v>
      </c>
      <c r="BG37">
        <v>93.864473327748414</v>
      </c>
      <c r="BH37">
        <v>535.96589716749952</v>
      </c>
    </row>
    <row r="38" spans="1:60" x14ac:dyDescent="0.25">
      <c r="A38" s="32" t="s">
        <v>152</v>
      </c>
      <c r="B38" s="5">
        <v>4500</v>
      </c>
      <c r="C38" s="417" t="s">
        <v>622</v>
      </c>
      <c r="D38" s="31" t="s">
        <v>193</v>
      </c>
      <c r="G38">
        <v>29</v>
      </c>
      <c r="H38">
        <f t="shared" si="0"/>
        <v>0.86999999999999988</v>
      </c>
      <c r="I38" s="407">
        <f t="shared" si="1"/>
        <v>0.21289874999999994</v>
      </c>
      <c r="J38" s="408">
        <f t="shared" si="2"/>
        <v>1.8125163851351342</v>
      </c>
      <c r="K38" s="408">
        <f t="shared" si="31"/>
        <v>1.7762581925675671</v>
      </c>
      <c r="L38" s="408">
        <f t="shared" si="32"/>
        <v>-3.6258192567567238E-2</v>
      </c>
      <c r="M38" s="63">
        <f t="shared" si="3"/>
        <v>1.0727275907564271</v>
      </c>
      <c r="N38" s="407">
        <f t="shared" si="4"/>
        <v>1.0152181886333322</v>
      </c>
      <c r="O38" s="407">
        <f t="shared" si="5"/>
        <v>5.1554652818353915E-3</v>
      </c>
      <c r="P38">
        <f t="shared" si="6"/>
        <v>0.2</v>
      </c>
      <c r="Q38" s="407">
        <f t="shared" si="34"/>
        <v>0.2051554652818354</v>
      </c>
      <c r="R38" s="9">
        <f t="shared" si="39"/>
        <v>0.52322841143418863</v>
      </c>
      <c r="S38" s="9">
        <f t="shared" si="7"/>
        <v>2.7376797053194459E-3</v>
      </c>
      <c r="T38" s="9">
        <f t="shared" si="40"/>
        <v>2.7376797053194459E-3</v>
      </c>
      <c r="U38" s="407">
        <f t="shared" si="8"/>
        <v>0.46843134245189838</v>
      </c>
      <c r="V38" s="409">
        <f t="shared" si="9"/>
        <v>4.3885584518257539E-4</v>
      </c>
      <c r="W38" s="407">
        <f t="shared" si="41"/>
        <v>4.3885584518257539E-4</v>
      </c>
      <c r="X38" s="407">
        <f t="shared" si="10"/>
        <v>0.46843134245189838</v>
      </c>
      <c r="Y38" s="407">
        <f t="shared" si="11"/>
        <v>1.3165675355477262E-3</v>
      </c>
      <c r="Z38" s="407">
        <f t="shared" si="12"/>
        <v>6.4607940475773701E-2</v>
      </c>
      <c r="AA38" s="407">
        <f t="shared" si="13"/>
        <v>0.13756363445546144</v>
      </c>
      <c r="AB38" s="407">
        <f t="shared" si="14"/>
        <v>2.6105898648648413E-4</v>
      </c>
      <c r="AC38" s="407">
        <f t="shared" si="15"/>
        <v>0.20380286550054327</v>
      </c>
      <c r="AD38" s="407">
        <f t="shared" si="16"/>
        <v>0.90068865205500193</v>
      </c>
      <c r="AE38" s="407">
        <f t="shared" si="17"/>
        <v>4.867440287643938E-3</v>
      </c>
      <c r="AF38" s="407">
        <f t="shared" si="18"/>
        <v>1.2789058986486483E-2</v>
      </c>
      <c r="AG38" s="407">
        <f t="shared" si="19"/>
        <v>1.7673704414310046E-2</v>
      </c>
      <c r="AH38" s="407">
        <f t="shared" si="20"/>
        <v>0</v>
      </c>
      <c r="AI38">
        <f t="shared" si="21"/>
        <v>0</v>
      </c>
      <c r="AJ38" s="408">
        <f t="shared" si="22"/>
        <v>0.45350134199999997</v>
      </c>
      <c r="AK38">
        <f t="shared" si="23"/>
        <v>4.8000000000000001E-2</v>
      </c>
      <c r="AL38" s="408">
        <f t="shared" si="24"/>
        <v>0.1215</v>
      </c>
      <c r="AM38" s="408">
        <f t="shared" si="25"/>
        <v>0.31645971316818772</v>
      </c>
      <c r="AN38" s="408">
        <f t="shared" si="42"/>
        <v>0.16949999999999998</v>
      </c>
      <c r="AO38" s="408">
        <f t="shared" si="26"/>
        <v>1.0528099127471906</v>
      </c>
      <c r="AP38">
        <f t="shared" si="27"/>
        <v>4.4369999999999994</v>
      </c>
      <c r="AQ38" s="10">
        <f t="shared" si="43"/>
        <v>0.80822470550344661</v>
      </c>
      <c r="AR38" s="63">
        <f t="shared" si="28"/>
        <v>10.190143275027165</v>
      </c>
      <c r="AS38" s="63">
        <f t="shared" si="44"/>
        <v>0.88368522071550237</v>
      </c>
      <c r="AT38" s="10"/>
      <c r="AU38">
        <f t="shared" si="45"/>
        <v>80.822470550344661</v>
      </c>
      <c r="BD38">
        <v>9.9985429999999997</v>
      </c>
      <c r="BE38">
        <v>1.9350000000000001</v>
      </c>
      <c r="BF38">
        <v>5.117146</v>
      </c>
      <c r="BG38">
        <v>94.224527198076927</v>
      </c>
      <c r="BH38">
        <v>606.92116405899924</v>
      </c>
    </row>
    <row r="39" spans="1:60" x14ac:dyDescent="0.25">
      <c r="A39" s="33" t="s">
        <v>141</v>
      </c>
      <c r="B39" s="5">
        <f>QgTop*1000000000</f>
        <v>27</v>
      </c>
      <c r="C39" s="417" t="s">
        <v>136</v>
      </c>
      <c r="D39" s="31" t="s">
        <v>180</v>
      </c>
      <c r="G39">
        <v>30</v>
      </c>
      <c r="H39">
        <f t="shared" si="0"/>
        <v>0.89999999999999991</v>
      </c>
      <c r="I39" s="407">
        <f t="shared" si="1"/>
        <v>0.21291249999999998</v>
      </c>
      <c r="J39" s="408">
        <f t="shared" si="2"/>
        <v>1.8126334459459457</v>
      </c>
      <c r="K39" s="408">
        <f t="shared" si="31"/>
        <v>1.8063167229729729</v>
      </c>
      <c r="L39" s="408">
        <f t="shared" si="32"/>
        <v>-6.3167229729729213E-3</v>
      </c>
      <c r="M39" s="63">
        <f t="shared" si="3"/>
        <v>0.18688529505837045</v>
      </c>
      <c r="N39" s="407">
        <f t="shared" si="4"/>
        <v>1.041058756321414</v>
      </c>
      <c r="O39" s="407">
        <f t="shared" si="5"/>
        <v>5.4213669487972694E-3</v>
      </c>
      <c r="P39">
        <f t="shared" si="6"/>
        <v>0.2</v>
      </c>
      <c r="Q39" s="407">
        <f t="shared" si="34"/>
        <v>0.20542136694879728</v>
      </c>
      <c r="R39" s="9">
        <f t="shared" si="39"/>
        <v>0.5232622039795054</v>
      </c>
      <c r="S39" s="9">
        <f t="shared" si="7"/>
        <v>2.738033341134895E-3</v>
      </c>
      <c r="T39" s="9">
        <f t="shared" si="40"/>
        <v>2.738033341134895E-3</v>
      </c>
      <c r="U39" s="407">
        <f t="shared" si="8"/>
        <v>0.48036993804196182</v>
      </c>
      <c r="V39" s="409">
        <f t="shared" si="9"/>
        <v>4.6151055474887649E-4</v>
      </c>
      <c r="W39" s="407">
        <f t="shared" si="41"/>
        <v>4.6151055474887649E-4</v>
      </c>
      <c r="X39" s="407">
        <f t="shared" si="10"/>
        <v>0.48036993804196182</v>
      </c>
      <c r="Y39" s="407">
        <f t="shared" si="11"/>
        <v>1.3845316642466295E-3</v>
      </c>
      <c r="Z39" s="407">
        <f t="shared" si="12"/>
        <v>6.5701261115390014E-2</v>
      </c>
      <c r="AA39" s="407">
        <f t="shared" si="13"/>
        <v>0.1428786882296498</v>
      </c>
      <c r="AB39" s="407">
        <f t="shared" si="14"/>
        <v>4.5480405405405025E-5</v>
      </c>
      <c r="AC39" s="407">
        <f t="shared" si="15"/>
        <v>0.2100681306103877</v>
      </c>
      <c r="AD39" s="407">
        <f t="shared" si="16"/>
        <v>0.92360600730996278</v>
      </c>
      <c r="AE39" s="407">
        <f t="shared" si="17"/>
        <v>5.1182883404343061E-3</v>
      </c>
      <c r="AF39" s="407">
        <f t="shared" si="18"/>
        <v>1.3005480405405404E-2</v>
      </c>
      <c r="AG39" s="407">
        <f t="shared" si="19"/>
        <v>1.8142340291596244E-2</v>
      </c>
      <c r="AH39" s="407">
        <f t="shared" si="20"/>
        <v>0</v>
      </c>
      <c r="AI39">
        <f t="shared" si="21"/>
        <v>0</v>
      </c>
      <c r="AJ39" s="408">
        <f t="shared" si="22"/>
        <v>0.45349793999999999</v>
      </c>
      <c r="AK39">
        <f t="shared" si="23"/>
        <v>4.8000000000000001E-2</v>
      </c>
      <c r="AL39" s="408">
        <f t="shared" si="24"/>
        <v>0.1215</v>
      </c>
      <c r="AM39" s="408">
        <f t="shared" si="25"/>
        <v>0.31645971316818772</v>
      </c>
      <c r="AN39" s="408">
        <f t="shared" si="42"/>
        <v>0.16949999999999998</v>
      </c>
      <c r="AO39" s="408">
        <f t="shared" si="26"/>
        <v>1.059829321746665</v>
      </c>
      <c r="AP39">
        <f t="shared" si="27"/>
        <v>4.589999999999999</v>
      </c>
      <c r="AQ39" s="10">
        <f t="shared" si="43"/>
        <v>0.81241392236977972</v>
      </c>
      <c r="AR39" s="63">
        <f t="shared" si="28"/>
        <v>10.503406530519385</v>
      </c>
      <c r="AS39" s="63">
        <f t="shared" si="44"/>
        <v>0.9071170145798122</v>
      </c>
      <c r="AT39" s="10"/>
      <c r="AU39">
        <f t="shared" si="45"/>
        <v>81.241392236977973</v>
      </c>
      <c r="BD39">
        <v>9.9985060000000008</v>
      </c>
      <c r="BE39">
        <v>2.31</v>
      </c>
      <c r="BF39">
        <v>5.1166349999999996</v>
      </c>
      <c r="BG39">
        <v>94.492663502717292</v>
      </c>
      <c r="BH39">
        <v>688.87413060200208</v>
      </c>
    </row>
    <row r="40" spans="1:60" x14ac:dyDescent="0.25">
      <c r="A40" s="33" t="s">
        <v>218</v>
      </c>
      <c r="B40" s="5">
        <f>QgdTop*1000000000</f>
        <v>9</v>
      </c>
      <c r="C40" s="417" t="s">
        <v>136</v>
      </c>
      <c r="D40" s="31" t="s">
        <v>219</v>
      </c>
      <c r="G40">
        <v>31</v>
      </c>
      <c r="H40">
        <f t="shared" si="0"/>
        <v>0.92999999999999994</v>
      </c>
      <c r="I40" s="407">
        <f t="shared" si="1"/>
        <v>0.21292624999999998</v>
      </c>
      <c r="J40" s="408">
        <f t="shared" si="2"/>
        <v>1.8127505067567562</v>
      </c>
      <c r="K40" s="408">
        <f t="shared" si="31"/>
        <v>1.8363752533783781</v>
      </c>
      <c r="L40" s="408">
        <f t="shared" si="32"/>
        <v>2.3624746621621839E-2</v>
      </c>
      <c r="M40" s="63">
        <f t="shared" si="3"/>
        <v>0</v>
      </c>
      <c r="N40" s="407">
        <f t="shared" si="4"/>
        <v>1.0671170038842537</v>
      </c>
      <c r="O40" s="407">
        <f t="shared" si="5"/>
        <v>5.6962881333920204E-3</v>
      </c>
      <c r="P40">
        <f t="shared" si="6"/>
        <v>0.2</v>
      </c>
      <c r="Q40" s="407">
        <f t="shared" si="34"/>
        <v>0.20569628813339202</v>
      </c>
      <c r="R40" s="9">
        <f t="shared" si="39"/>
        <v>0.52329599652482184</v>
      </c>
      <c r="S40" s="9">
        <f t="shared" si="7"/>
        <v>2.7383869997890638E-3</v>
      </c>
      <c r="T40" s="9">
        <f t="shared" si="40"/>
        <v>2.7383869997890638E-3</v>
      </c>
      <c r="U40" s="407">
        <f t="shared" si="8"/>
        <v>0.49240974920931813</v>
      </c>
      <c r="V40" s="409">
        <f t="shared" si="9"/>
        <v>4.8493472223276715E-4</v>
      </c>
      <c r="W40" s="407">
        <f t="shared" si="41"/>
        <v>4.8493472223276715E-4</v>
      </c>
      <c r="X40" s="407">
        <f t="shared" si="10"/>
        <v>0.49240974920931813</v>
      </c>
      <c r="Y40" s="407">
        <f t="shared" si="11"/>
        <v>1.4548041666983013E-3</v>
      </c>
      <c r="Z40" s="407">
        <f t="shared" si="12"/>
        <v>6.7705821981840303E-2</v>
      </c>
      <c r="AA40" s="407">
        <f t="shared" si="13"/>
        <v>0.14400000000000002</v>
      </c>
      <c r="AB40" s="407">
        <f t="shared" si="14"/>
        <v>0</v>
      </c>
      <c r="AC40" s="407">
        <f t="shared" si="15"/>
        <v>0.21322266559300646</v>
      </c>
      <c r="AD40" s="407">
        <f t="shared" si="16"/>
        <v>0.94671608144285935</v>
      </c>
      <c r="AE40" s="407">
        <f t="shared" si="17"/>
        <v>5.377628033175136E-3</v>
      </c>
      <c r="AF40" s="407">
        <f t="shared" si="18"/>
        <v>1.3391999999999999E-2</v>
      </c>
      <c r="AG40" s="407">
        <f t="shared" si="19"/>
        <v>1.8789836983995924E-2</v>
      </c>
      <c r="AH40" s="407">
        <f t="shared" si="20"/>
        <v>0</v>
      </c>
      <c r="AI40">
        <f t="shared" si="21"/>
        <v>0</v>
      </c>
      <c r="AJ40" s="408">
        <f t="shared" si="22"/>
        <v>0.45349453800000006</v>
      </c>
      <c r="AK40">
        <f t="shared" si="23"/>
        <v>4.8000000000000001E-2</v>
      </c>
      <c r="AL40" s="408">
        <f t="shared" si="24"/>
        <v>0.1215</v>
      </c>
      <c r="AM40" s="408">
        <f t="shared" si="25"/>
        <v>0.31645971316818772</v>
      </c>
      <c r="AN40" s="408">
        <f t="shared" si="42"/>
        <v>0.16949999999999998</v>
      </c>
      <c r="AO40" s="408">
        <f t="shared" si="26"/>
        <v>1.0639266504324163</v>
      </c>
      <c r="AP40">
        <f t="shared" si="27"/>
        <v>4.7429999999999994</v>
      </c>
      <c r="AQ40" s="10">
        <f t="shared" si="43"/>
        <v>0.81678317731924666</v>
      </c>
      <c r="AR40" s="63">
        <f t="shared" si="28"/>
        <v>10.661133279650322</v>
      </c>
      <c r="AS40" s="63">
        <f t="shared" si="44"/>
        <v>0.93949184919979623</v>
      </c>
      <c r="AT40" s="10"/>
      <c r="AU40">
        <f t="shared" si="45"/>
        <v>81.678317731924665</v>
      </c>
      <c r="BD40">
        <v>9.9984319999999993</v>
      </c>
      <c r="BE40">
        <v>2.7269999999999999</v>
      </c>
      <c r="BF40">
        <v>5.115812</v>
      </c>
      <c r="BG40">
        <v>94.558770424517263</v>
      </c>
      <c r="BH40">
        <v>802.77694931200062</v>
      </c>
    </row>
    <row r="41" spans="1:60" x14ac:dyDescent="0.25">
      <c r="A41" s="33" t="s">
        <v>236</v>
      </c>
      <c r="B41" s="5">
        <f>QgsTop*1000000000</f>
        <v>8</v>
      </c>
      <c r="C41" s="417" t="s">
        <v>136</v>
      </c>
      <c r="D41" s="417" t="s">
        <v>721</v>
      </c>
      <c r="G41">
        <v>32</v>
      </c>
      <c r="H41">
        <f t="shared" si="0"/>
        <v>0.96</v>
      </c>
      <c r="I41" s="407">
        <f t="shared" si="1"/>
        <v>0.21294000000000002</v>
      </c>
      <c r="J41" s="408">
        <f t="shared" si="2"/>
        <v>1.8128675675675674</v>
      </c>
      <c r="K41" s="408">
        <f t="shared" si="31"/>
        <v>1.8664337837837837</v>
      </c>
      <c r="L41" s="408">
        <f t="shared" si="32"/>
        <v>5.3566216216216267E-2</v>
      </c>
      <c r="M41" s="63">
        <f t="shared" si="3"/>
        <v>0</v>
      </c>
      <c r="N41" s="407">
        <f t="shared" ref="N41:N72" si="46">SQRT(H41^2+(J41^2)/12)</f>
        <v>1.0933773676678129</v>
      </c>
      <c r="O41" s="407">
        <f t="shared" si="5"/>
        <v>5.9802300246073227E-3</v>
      </c>
      <c r="P41">
        <f t="shared" si="6"/>
        <v>0.2</v>
      </c>
      <c r="Q41" s="407">
        <f t="shared" si="34"/>
        <v>0.20598023002460733</v>
      </c>
      <c r="R41" s="9">
        <f t="shared" si="39"/>
        <v>0.52332978907013861</v>
      </c>
      <c r="S41" s="9">
        <f t="shared" si="7"/>
        <v>2.7387406812819574E-3</v>
      </c>
      <c r="T41" s="9">
        <f t="shared" si="40"/>
        <v>2.7387406812819574E-3</v>
      </c>
      <c r="U41" s="407">
        <f t="shared" ref="U41:U72" si="47">SQRT(I41)*SQRT(H41^2+(J41^2)/12)</f>
        <v>0.50454360373234153</v>
      </c>
      <c r="V41" s="409">
        <f t="shared" si="9"/>
        <v>5.0912849613443613E-4</v>
      </c>
      <c r="W41" s="407">
        <f t="shared" si="41"/>
        <v>5.0912849613443613E-4</v>
      </c>
      <c r="X41" s="407">
        <f t="shared" ref="X41:X72" si="48">SQRT(I41)*SQRT(H41^2+(J41^2)/12)</f>
        <v>0.50454360373234153</v>
      </c>
      <c r="Y41" s="407">
        <f t="shared" si="11"/>
        <v>1.5273854884033083E-3</v>
      </c>
      <c r="Z41" s="407">
        <f t="shared" si="12"/>
        <v>6.9954027877248109E-2</v>
      </c>
      <c r="AA41" s="407">
        <f t="shared" si="13"/>
        <v>0.14400000000000002</v>
      </c>
      <c r="AB41" s="407">
        <f t="shared" si="14"/>
        <v>0</v>
      </c>
      <c r="AC41" s="407">
        <f t="shared" ref="AC41:AC72" si="49">(AB41+AA41+Z41+Y41*(1+RdsonTopTc*Ta-RdsonTopTc*25))/(1-Y41*RdsonTopTc*ThetaJaTop)</f>
        <v>0.21554725811647388</v>
      </c>
      <c r="AD41" s="407">
        <f t="shared" ref="AD41:AD72" si="50">SQRT(1-I41)*SQRT(H41^2+(J41^2)/12)</f>
        <v>0.97000506187389435</v>
      </c>
      <c r="AE41" s="407">
        <f t="shared" si="17"/>
        <v>5.6454589203658659E-3</v>
      </c>
      <c r="AF41" s="407">
        <f t="shared" si="18"/>
        <v>1.3823999999999999E-2</v>
      </c>
      <c r="AG41" s="407">
        <f t="shared" ref="AG41:AG72" si="51">(AF41+AE41*(1+RdsonBotTc*Ta-RdsonBotTc*25))/(1-AE41*RdsonBotTc*ThetaJaBot)</f>
        <v>1.9491466575135386E-2</v>
      </c>
      <c r="AH41" s="407">
        <f t="shared" ref="AH41:AH72" si="52">IF(RDSON_sense=1, 0, AD41^2*Rshunt)</f>
        <v>0</v>
      </c>
      <c r="AI41">
        <f t="shared" si="21"/>
        <v>0</v>
      </c>
      <c r="AJ41" s="408">
        <f t="shared" si="22"/>
        <v>0.45349113600000002</v>
      </c>
      <c r="AK41">
        <f t="shared" si="23"/>
        <v>4.8000000000000001E-2</v>
      </c>
      <c r="AL41" s="408">
        <f t="shared" si="24"/>
        <v>0.1215</v>
      </c>
      <c r="AM41" s="408">
        <f t="shared" si="25"/>
        <v>0.31645971316818772</v>
      </c>
      <c r="AN41" s="408">
        <f t="shared" si="42"/>
        <v>0.16949999999999998</v>
      </c>
      <c r="AO41" s="408">
        <f t="shared" ref="AO41:AO72" si="53">SUM(Q41,T41,W41,AC41,AJ41,AI41,AG41,AN41, AH41)</f>
        <v>1.0672579598936329</v>
      </c>
      <c r="AP41">
        <f t="shared" si="27"/>
        <v>4.8959999999999999</v>
      </c>
      <c r="AQ41" s="10">
        <f t="shared" si="43"/>
        <v>0.82102770548053405</v>
      </c>
      <c r="AR41" s="63">
        <f t="shared" ref="AR41:AR72" si="54">ThetaJaTop*AC41</f>
        <v>10.777362905823693</v>
      </c>
      <c r="AS41" s="63">
        <f t="shared" si="44"/>
        <v>0.97457332875676927</v>
      </c>
      <c r="AT41" s="10"/>
      <c r="AU41">
        <f t="shared" si="45"/>
        <v>82.1027705480534</v>
      </c>
      <c r="BD41">
        <v>9.9985180000000007</v>
      </c>
      <c r="BE41">
        <v>3.1859999999999999</v>
      </c>
      <c r="BF41">
        <v>5.1148889999999998</v>
      </c>
      <c r="BG41">
        <v>94.58411932633652</v>
      </c>
      <c r="BH41">
        <v>933.10990806000302</v>
      </c>
    </row>
    <row r="42" spans="1:60" x14ac:dyDescent="0.25">
      <c r="A42" s="33" t="s">
        <v>168</v>
      </c>
      <c r="B42" s="5">
        <f>RGateTop</f>
        <v>2</v>
      </c>
      <c r="C42" s="416" t="s">
        <v>208</v>
      </c>
      <c r="D42" s="31" t="s">
        <v>181</v>
      </c>
      <c r="G42">
        <v>33</v>
      </c>
      <c r="H42">
        <f t="shared" si="0"/>
        <v>0.99</v>
      </c>
      <c r="I42" s="407">
        <f t="shared" si="1"/>
        <v>0.21295374999999997</v>
      </c>
      <c r="J42" s="408">
        <f t="shared" si="2"/>
        <v>1.8129846283783779</v>
      </c>
      <c r="K42" s="408">
        <f t="shared" si="31"/>
        <v>1.896492314189189</v>
      </c>
      <c r="L42" s="408">
        <f t="shared" si="32"/>
        <v>8.3507685810811028E-2</v>
      </c>
      <c r="M42" s="63">
        <f t="shared" si="3"/>
        <v>0</v>
      </c>
      <c r="N42" s="407">
        <f t="shared" si="46"/>
        <v>1.1198256286410653</v>
      </c>
      <c r="O42" s="407">
        <f t="shared" si="5"/>
        <v>6.2731938505261788E-3</v>
      </c>
      <c r="P42">
        <f t="shared" si="6"/>
        <v>0.2</v>
      </c>
      <c r="Q42" s="407">
        <f t="shared" si="34"/>
        <v>0.2062731938505262</v>
      </c>
      <c r="R42" s="9">
        <f t="shared" si="39"/>
        <v>0.52336358161545504</v>
      </c>
      <c r="S42" s="9">
        <f t="shared" si="7"/>
        <v>2.7390943856135707E-3</v>
      </c>
      <c r="T42" s="9">
        <f t="shared" si="40"/>
        <v>2.7390943856135707E-3</v>
      </c>
      <c r="U42" s="407">
        <f t="shared" si="47"/>
        <v>0.51676494896329372</v>
      </c>
      <c r="V42" s="409">
        <f t="shared" si="9"/>
        <v>5.3409202495407115E-4</v>
      </c>
      <c r="W42" s="407">
        <f t="shared" si="41"/>
        <v>5.3409202495407115E-4</v>
      </c>
      <c r="X42" s="407">
        <f t="shared" si="48"/>
        <v>0.51676494896329372</v>
      </c>
      <c r="Y42" s="407">
        <f t="shared" si="11"/>
        <v>1.6022760748622136E-3</v>
      </c>
      <c r="Z42" s="407">
        <f t="shared" si="12"/>
        <v>7.2202233772655902E-2</v>
      </c>
      <c r="AA42" s="407">
        <f t="shared" si="13"/>
        <v>0.14400000000000002</v>
      </c>
      <c r="AB42" s="407">
        <f t="shared" si="14"/>
        <v>0</v>
      </c>
      <c r="AC42" s="407">
        <f t="shared" si="49"/>
        <v>0.21787432881239469</v>
      </c>
      <c r="AD42" s="407">
        <f t="shared" si="50"/>
        <v>0.99346032939635864</v>
      </c>
      <c r="AE42" s="407">
        <f t="shared" si="17"/>
        <v>5.9217805565059288E-3</v>
      </c>
      <c r="AF42" s="407">
        <f t="shared" si="18"/>
        <v>1.4256E-2</v>
      </c>
      <c r="AG42" s="407">
        <f t="shared" si="51"/>
        <v>2.0201706571142172E-2</v>
      </c>
      <c r="AH42" s="407">
        <f t="shared" si="52"/>
        <v>0</v>
      </c>
      <c r="AI42">
        <f t="shared" si="21"/>
        <v>0</v>
      </c>
      <c r="AJ42" s="408">
        <f t="shared" si="22"/>
        <v>0.45348773400000003</v>
      </c>
      <c r="AK42">
        <f t="shared" si="23"/>
        <v>4.8000000000000001E-2</v>
      </c>
      <c r="AL42" s="408">
        <f t="shared" si="24"/>
        <v>0.1215</v>
      </c>
      <c r="AM42" s="408">
        <f t="shared" si="25"/>
        <v>0.31645971316818772</v>
      </c>
      <c r="AN42" s="408">
        <f t="shared" si="42"/>
        <v>0.16949999999999998</v>
      </c>
      <c r="AO42" s="408">
        <f t="shared" si="53"/>
        <v>1.0706101496446307</v>
      </c>
      <c r="AP42">
        <f t="shared" si="27"/>
        <v>5.0489999999999995</v>
      </c>
      <c r="AQ42" s="10">
        <f t="shared" si="43"/>
        <v>0.82505255670464528</v>
      </c>
      <c r="AR42" s="63">
        <f t="shared" si="54"/>
        <v>10.893716440619734</v>
      </c>
      <c r="AS42" s="63">
        <f t="shared" si="44"/>
        <v>1.0100853285571085</v>
      </c>
      <c r="AT42" s="10"/>
      <c r="AU42">
        <f t="shared" si="45"/>
        <v>82.505255670464521</v>
      </c>
      <c r="BD42">
        <v>9.9984190000000002</v>
      </c>
      <c r="BE42">
        <v>3.6920000000000002</v>
      </c>
      <c r="BF42">
        <v>5.1137540000000001</v>
      </c>
      <c r="BG42">
        <v>94.441363374789603</v>
      </c>
      <c r="BH42">
        <v>1111.2391205219994</v>
      </c>
    </row>
    <row r="43" spans="1:60" x14ac:dyDescent="0.25">
      <c r="A43" s="33" t="s">
        <v>140</v>
      </c>
      <c r="B43" s="5">
        <f>GmTop</f>
        <v>100</v>
      </c>
      <c r="C43" s="417" t="s">
        <v>137</v>
      </c>
      <c r="D43" s="31" t="s">
        <v>182</v>
      </c>
      <c r="G43">
        <v>34</v>
      </c>
      <c r="H43">
        <f t="shared" si="0"/>
        <v>1.02</v>
      </c>
      <c r="I43" s="407">
        <f t="shared" si="1"/>
        <v>0.21296749999999998</v>
      </c>
      <c r="J43" s="408">
        <f t="shared" si="2"/>
        <v>1.8131016891891889</v>
      </c>
      <c r="K43" s="408">
        <f t="shared" si="31"/>
        <v>1.9265508445945945</v>
      </c>
      <c r="L43" s="408">
        <f t="shared" si="32"/>
        <v>0.11344915540540557</v>
      </c>
      <c r="M43" s="63">
        <f t="shared" si="3"/>
        <v>0</v>
      </c>
      <c r="N43" s="407">
        <f t="shared" si="46"/>
        <v>1.1464487826668885</v>
      </c>
      <c r="O43" s="407">
        <f t="shared" si="5"/>
        <v>6.575180878340219E-3</v>
      </c>
      <c r="P43">
        <f t="shared" si="6"/>
        <v>0.2</v>
      </c>
      <c r="Q43" s="407">
        <f t="shared" si="34"/>
        <v>0.20657518087834023</v>
      </c>
      <c r="R43" s="9">
        <f t="shared" si="39"/>
        <v>0.5233973741607717</v>
      </c>
      <c r="S43" s="9">
        <f t="shared" si="7"/>
        <v>2.7394481127839083E-3</v>
      </c>
      <c r="T43" s="9">
        <f t="shared" si="40"/>
        <v>2.7394481127839083E-3</v>
      </c>
      <c r="U43" s="407">
        <f t="shared" si="47"/>
        <v>0.52906779206064947</v>
      </c>
      <c r="V43" s="409">
        <f t="shared" si="9"/>
        <v>5.5982545719186132E-4</v>
      </c>
      <c r="W43" s="407">
        <f t="shared" si="41"/>
        <v>5.5982545719186132E-4</v>
      </c>
      <c r="X43" s="407">
        <f t="shared" si="48"/>
        <v>0.52906779206064947</v>
      </c>
      <c r="Y43" s="407">
        <f t="shared" si="11"/>
        <v>1.6794763715755839E-3</v>
      </c>
      <c r="Z43" s="407">
        <f t="shared" si="12"/>
        <v>7.4450439668063723E-2</v>
      </c>
      <c r="AA43" s="407">
        <f t="shared" si="13"/>
        <v>0.14400000000000002</v>
      </c>
      <c r="AB43" s="407">
        <f t="shared" si="14"/>
        <v>0</v>
      </c>
      <c r="AC43" s="407">
        <f t="shared" si="49"/>
        <v>0.22020388148281525</v>
      </c>
      <c r="AD43" s="407">
        <f t="shared" si="50"/>
        <v>1.0170703430355543</v>
      </c>
      <c r="AE43" s="407">
        <f t="shared" si="17"/>
        <v>6.2065924960947611E-3</v>
      </c>
      <c r="AF43" s="407">
        <f t="shared" si="18"/>
        <v>1.4688E-2</v>
      </c>
      <c r="AG43" s="407">
        <f t="shared" si="51"/>
        <v>2.0920561576193337E-2</v>
      </c>
      <c r="AH43" s="407">
        <f t="shared" si="52"/>
        <v>0</v>
      </c>
      <c r="AI43">
        <f t="shared" si="21"/>
        <v>0</v>
      </c>
      <c r="AJ43" s="408">
        <f t="shared" si="22"/>
        <v>0.45348433199999999</v>
      </c>
      <c r="AK43">
        <f t="shared" si="23"/>
        <v>4.8000000000000001E-2</v>
      </c>
      <c r="AL43" s="408">
        <f t="shared" si="24"/>
        <v>0.1215</v>
      </c>
      <c r="AM43" s="408">
        <f t="shared" si="25"/>
        <v>0.31645971316818772</v>
      </c>
      <c r="AN43" s="408">
        <f t="shared" si="42"/>
        <v>0.16949999999999998</v>
      </c>
      <c r="AO43" s="408">
        <f t="shared" si="53"/>
        <v>1.0739832295073246</v>
      </c>
      <c r="AP43">
        <f t="shared" si="27"/>
        <v>5.202</v>
      </c>
      <c r="AQ43" s="10">
        <f t="shared" si="43"/>
        <v>0.82887410781184734</v>
      </c>
      <c r="AR43" s="63">
        <f t="shared" si="54"/>
        <v>11.010194074140763</v>
      </c>
      <c r="AS43" s="63">
        <f t="shared" si="44"/>
        <v>1.0460280788096668</v>
      </c>
      <c r="AT43" s="10"/>
      <c r="AU43">
        <f t="shared" si="45"/>
        <v>82.887410781184741</v>
      </c>
      <c r="BD43">
        <v>9.998246</v>
      </c>
      <c r="BE43">
        <v>4.2430000000000003</v>
      </c>
      <c r="BF43">
        <v>5.1120590000000004</v>
      </c>
      <c r="BG43">
        <v>94.267178615859891</v>
      </c>
      <c r="BH43">
        <v>1319.0970775599953</v>
      </c>
    </row>
    <row r="44" spans="1:60" x14ac:dyDescent="0.25">
      <c r="A44" s="33" t="s">
        <v>170</v>
      </c>
      <c r="B44" s="5">
        <f>VthTop</f>
        <v>3.8</v>
      </c>
      <c r="C44" s="417" t="s">
        <v>0</v>
      </c>
      <c r="D44" s="31" t="s">
        <v>183</v>
      </c>
      <c r="G44">
        <v>35</v>
      </c>
      <c r="H44">
        <f t="shared" si="0"/>
        <v>1.0499999999999998</v>
      </c>
      <c r="I44" s="407">
        <f t="shared" si="1"/>
        <v>0.21298125000000001</v>
      </c>
      <c r="J44" s="408">
        <f t="shared" si="2"/>
        <v>1.8132187499999999</v>
      </c>
      <c r="K44" s="408">
        <f t="shared" si="31"/>
        <v>1.9566093749999998</v>
      </c>
      <c r="L44" s="408">
        <f t="shared" si="32"/>
        <v>0.14339062499999988</v>
      </c>
      <c r="M44" s="63">
        <f t="shared" si="3"/>
        <v>0</v>
      </c>
      <c r="N44" s="407">
        <f t="shared" si="46"/>
        <v>1.1732349237383348</v>
      </c>
      <c r="O44" s="407">
        <f t="shared" si="5"/>
        <v>6.8861924143633927E-3</v>
      </c>
      <c r="P44">
        <f t="shared" si="6"/>
        <v>0.2</v>
      </c>
      <c r="Q44" s="407">
        <f t="shared" si="34"/>
        <v>0.2068861924143634</v>
      </c>
      <c r="R44" s="9">
        <f t="shared" si="39"/>
        <v>0.52343116670608836</v>
      </c>
      <c r="S44" s="9">
        <f t="shared" si="7"/>
        <v>2.7398018627929686E-3</v>
      </c>
      <c r="T44" s="9">
        <f t="shared" si="40"/>
        <v>2.7398018627929686E-3</v>
      </c>
      <c r="U44" s="407">
        <f t="shared" si="47"/>
        <v>0.54144664619332294</v>
      </c>
      <c r="V44" s="409">
        <f t="shared" si="9"/>
        <v>5.8632894134799489E-4</v>
      </c>
      <c r="W44" s="407">
        <f t="shared" si="41"/>
        <v>5.8632894134799489E-4</v>
      </c>
      <c r="X44" s="407">
        <f t="shared" si="48"/>
        <v>0.54144664619332294</v>
      </c>
      <c r="Y44" s="407">
        <f t="shared" si="11"/>
        <v>1.7589868240439847E-3</v>
      </c>
      <c r="Z44" s="407">
        <f t="shared" si="12"/>
        <v>7.6698645563471515E-2</v>
      </c>
      <c r="AA44" s="407">
        <f t="shared" si="13"/>
        <v>0.14400000000000002</v>
      </c>
      <c r="AB44" s="407">
        <f t="shared" si="14"/>
        <v>0</v>
      </c>
      <c r="AC44" s="407">
        <f t="shared" si="49"/>
        <v>0.2225359199377249</v>
      </c>
      <c r="AD44" s="407">
        <f t="shared" si="50"/>
        <v>1.0408245364158644</v>
      </c>
      <c r="AE44" s="407">
        <f t="shared" si="17"/>
        <v>6.4998942936317942E-3</v>
      </c>
      <c r="AF44" s="407">
        <f t="shared" si="18"/>
        <v>1.5119999999999996E-2</v>
      </c>
      <c r="AG44" s="407">
        <f t="shared" si="51"/>
        <v>2.1648036283132804E-2</v>
      </c>
      <c r="AH44" s="407">
        <f t="shared" si="52"/>
        <v>0</v>
      </c>
      <c r="AI44">
        <f t="shared" si="21"/>
        <v>0</v>
      </c>
      <c r="AJ44" s="408">
        <f t="shared" si="22"/>
        <v>0.45348093</v>
      </c>
      <c r="AK44">
        <f t="shared" si="23"/>
        <v>4.8000000000000001E-2</v>
      </c>
      <c r="AL44" s="408">
        <f t="shared" si="24"/>
        <v>0.1215</v>
      </c>
      <c r="AM44" s="408">
        <f t="shared" si="25"/>
        <v>0.31645971316818772</v>
      </c>
      <c r="AN44" s="408">
        <f t="shared" si="42"/>
        <v>0.16949999999999998</v>
      </c>
      <c r="AO44" s="408">
        <f t="shared" si="53"/>
        <v>1.0773772094393621</v>
      </c>
      <c r="AP44">
        <f t="shared" si="27"/>
        <v>5.3549999999999986</v>
      </c>
      <c r="AQ44" s="10">
        <f t="shared" si="43"/>
        <v>0.83250714714641783</v>
      </c>
      <c r="AR44" s="63">
        <f t="shared" si="54"/>
        <v>11.126795996886244</v>
      </c>
      <c r="AS44" s="63">
        <f t="shared" si="44"/>
        <v>1.0824018141566403</v>
      </c>
      <c r="AT44" s="10"/>
      <c r="AU44">
        <f t="shared" si="45"/>
        <v>83.250714714641788</v>
      </c>
      <c r="BD44">
        <v>9.9981469999999995</v>
      </c>
      <c r="BE44">
        <v>4.8490000000000002</v>
      </c>
      <c r="BF44">
        <v>5.1107740000000002</v>
      </c>
      <c r="BG44">
        <v>93.953815994681278</v>
      </c>
      <c r="BH44">
        <v>1594.7983209009985</v>
      </c>
    </row>
    <row r="45" spans="1:60" x14ac:dyDescent="0.25">
      <c r="A45" s="38" t="s">
        <v>235</v>
      </c>
      <c r="B45" s="5">
        <f>VspTop</f>
        <v>3.86</v>
      </c>
      <c r="C45" s="418" t="s">
        <v>0</v>
      </c>
      <c r="G45">
        <v>36</v>
      </c>
      <c r="H45">
        <f t="shared" si="0"/>
        <v>1.08</v>
      </c>
      <c r="I45" s="407">
        <f t="shared" si="1"/>
        <v>0.21299499999999996</v>
      </c>
      <c r="J45" s="408">
        <f t="shared" si="2"/>
        <v>1.8133358108108104</v>
      </c>
      <c r="K45" s="408">
        <f t="shared" si="31"/>
        <v>1.9866679054054053</v>
      </c>
      <c r="L45" s="408">
        <f t="shared" si="32"/>
        <v>0.17333209459459487</v>
      </c>
      <c r="M45" s="63">
        <f t="shared" si="3"/>
        <v>0</v>
      </c>
      <c r="N45" s="407">
        <f t="shared" si="46"/>
        <v>1.2001731389945682</v>
      </c>
      <c r="O45" s="407">
        <f t="shared" si="5"/>
        <v>7.2062298040461228E-3</v>
      </c>
      <c r="P45">
        <f t="shared" si="6"/>
        <v>0.2</v>
      </c>
      <c r="Q45" s="407">
        <f t="shared" si="34"/>
        <v>0.20720622980404613</v>
      </c>
      <c r="R45" s="9">
        <f t="shared" si="39"/>
        <v>0.5234649592514049</v>
      </c>
      <c r="S45" s="9">
        <f t="shared" si="7"/>
        <v>2.7401556356407499E-3</v>
      </c>
      <c r="T45" s="9">
        <f t="shared" si="40"/>
        <v>2.7401556356407499E-3</v>
      </c>
      <c r="U45" s="407">
        <f t="shared" si="47"/>
        <v>0.55389648217092891</v>
      </c>
      <c r="V45" s="409">
        <f t="shared" si="9"/>
        <v>6.1360262592266037E-4</v>
      </c>
      <c r="W45" s="407">
        <f t="shared" si="41"/>
        <v>6.1360262592266037E-4</v>
      </c>
      <c r="X45" s="407">
        <f t="shared" si="48"/>
        <v>0.55389648217092891</v>
      </c>
      <c r="Y45" s="407">
        <f t="shared" si="11"/>
        <v>1.840807877767981E-3</v>
      </c>
      <c r="Z45" s="407">
        <f t="shared" si="12"/>
        <v>7.8946851458879322E-2</v>
      </c>
      <c r="AA45" s="407">
        <f t="shared" si="13"/>
        <v>0.14400000000000002</v>
      </c>
      <c r="AB45" s="407">
        <f t="shared" si="14"/>
        <v>0</v>
      </c>
      <c r="AC45" s="407">
        <f t="shared" si="49"/>
        <v>0.22487044799507661</v>
      </c>
      <c r="AD45" s="407">
        <f t="shared" si="50"/>
        <v>1.0647132245833828</v>
      </c>
      <c r="AE45" s="407">
        <f t="shared" si="17"/>
        <v>6.8016855036164697E-3</v>
      </c>
      <c r="AF45" s="407">
        <f t="shared" si="18"/>
        <v>1.5552E-2</v>
      </c>
      <c r="AG45" s="407">
        <f t="shared" si="51"/>
        <v>2.2384135473568781E-2</v>
      </c>
      <c r="AH45" s="407">
        <f t="shared" si="52"/>
        <v>0</v>
      </c>
      <c r="AI45">
        <f t="shared" si="21"/>
        <v>0</v>
      </c>
      <c r="AJ45" s="408">
        <f t="shared" si="22"/>
        <v>0.45347752800000002</v>
      </c>
      <c r="AK45">
        <f t="shared" si="23"/>
        <v>4.8000000000000001E-2</v>
      </c>
      <c r="AL45" s="408">
        <f t="shared" si="24"/>
        <v>0.1215</v>
      </c>
      <c r="AM45" s="408">
        <f t="shared" si="25"/>
        <v>0.31645971316818772</v>
      </c>
      <c r="AN45" s="408">
        <f t="shared" si="42"/>
        <v>0.16949999999999998</v>
      </c>
      <c r="AO45" s="408">
        <f t="shared" si="53"/>
        <v>1.0807920995342548</v>
      </c>
      <c r="AP45">
        <f t="shared" si="27"/>
        <v>5.508</v>
      </c>
      <c r="AQ45" s="10">
        <f t="shared" si="43"/>
        <v>0.83596506260826575</v>
      </c>
      <c r="AR45" s="63">
        <f t="shared" si="54"/>
        <v>11.24352239975383</v>
      </c>
      <c r="AS45" s="63">
        <f t="shared" si="44"/>
        <v>1.119206773678439</v>
      </c>
      <c r="AT45" s="10"/>
      <c r="AU45">
        <f t="shared" si="45"/>
        <v>83.596506260826573</v>
      </c>
      <c r="BD45">
        <v>9.9979859999999992</v>
      </c>
      <c r="BE45">
        <v>5.4960000000000004</v>
      </c>
      <c r="BF45">
        <v>5.1097890000000001</v>
      </c>
      <c r="BG45">
        <v>93.599771362833366</v>
      </c>
      <c r="BH45">
        <v>1920.3056923499939</v>
      </c>
    </row>
    <row r="46" spans="1:60" x14ac:dyDescent="0.25">
      <c r="A46" s="118" t="s">
        <v>378</v>
      </c>
      <c r="B46" s="5">
        <f>VsdTop</f>
        <v>0.8</v>
      </c>
      <c r="C46" s="418" t="s">
        <v>0</v>
      </c>
      <c r="G46">
        <v>37</v>
      </c>
      <c r="H46">
        <f t="shared" si="0"/>
        <v>1.1099999999999999</v>
      </c>
      <c r="I46" s="407">
        <f t="shared" si="1"/>
        <v>0.21300875</v>
      </c>
      <c r="J46" s="408">
        <f t="shared" si="2"/>
        <v>1.8134528716216212</v>
      </c>
      <c r="K46" s="408">
        <f t="shared" si="31"/>
        <v>2.0167264358108103</v>
      </c>
      <c r="L46" s="408">
        <f t="shared" si="32"/>
        <v>0.20327356418918929</v>
      </c>
      <c r="M46" s="63">
        <f t="shared" si="3"/>
        <v>0</v>
      </c>
      <c r="N46" s="407">
        <f t="shared" si="46"/>
        <v>1.2272534143903309</v>
      </c>
      <c r="O46" s="407">
        <f t="shared" si="5"/>
        <v>7.5352944319898359E-3</v>
      </c>
      <c r="P46">
        <f t="shared" si="6"/>
        <v>0.2</v>
      </c>
      <c r="Q46" s="407">
        <f t="shared" si="34"/>
        <v>0.20753529443198984</v>
      </c>
      <c r="R46" s="9">
        <f t="shared" si="39"/>
        <v>0.52349875179672145</v>
      </c>
      <c r="S46" s="9">
        <f t="shared" si="7"/>
        <v>2.7405094313272538E-3</v>
      </c>
      <c r="T46" s="9">
        <f t="shared" si="40"/>
        <v>2.7405094313272538E-3</v>
      </c>
      <c r="U46" s="407">
        <f t="shared" si="47"/>
        <v>0.56641268498156261</v>
      </c>
      <c r="V46" s="409">
        <f t="shared" si="9"/>
        <v>6.416466594160457E-4</v>
      </c>
      <c r="W46" s="407">
        <f t="shared" si="41"/>
        <v>6.416466594160457E-4</v>
      </c>
      <c r="X46" s="407">
        <f t="shared" si="48"/>
        <v>0.56641268498156261</v>
      </c>
      <c r="Y46" s="407">
        <f t="shared" si="11"/>
        <v>1.9249399782481371E-3</v>
      </c>
      <c r="Z46" s="407">
        <f t="shared" si="12"/>
        <v>8.1195057354287115E-2</v>
      </c>
      <c r="AA46" s="407">
        <f t="shared" si="13"/>
        <v>0.14400000000000002</v>
      </c>
      <c r="AB46" s="407">
        <f t="shared" si="14"/>
        <v>0</v>
      </c>
      <c r="AC46" s="407">
        <f t="shared" si="49"/>
        <v>0.22720746948080731</v>
      </c>
      <c r="AD46" s="407">
        <f t="shared" si="50"/>
        <v>1.0887275202844384</v>
      </c>
      <c r="AE46" s="407">
        <f t="shared" si="17"/>
        <v>7.1119656805482129E-3</v>
      </c>
      <c r="AF46" s="407">
        <f t="shared" si="18"/>
        <v>1.5983999999999998E-2</v>
      </c>
      <c r="AG46" s="407">
        <f t="shared" si="51"/>
        <v>2.3128864017973389E-2</v>
      </c>
      <c r="AH46" s="407">
        <f t="shared" si="52"/>
        <v>0</v>
      </c>
      <c r="AI46">
        <f t="shared" si="21"/>
        <v>0</v>
      </c>
      <c r="AJ46" s="408">
        <f t="shared" si="22"/>
        <v>0.45347412599999998</v>
      </c>
      <c r="AK46">
        <f t="shared" si="23"/>
        <v>4.8000000000000001E-2</v>
      </c>
      <c r="AL46" s="408">
        <f t="shared" si="24"/>
        <v>0.1215</v>
      </c>
      <c r="AM46" s="408">
        <f t="shared" si="25"/>
        <v>0.31645971316818772</v>
      </c>
      <c r="AN46" s="408">
        <f t="shared" si="42"/>
        <v>0.16949999999999998</v>
      </c>
      <c r="AO46" s="408">
        <f t="shared" si="53"/>
        <v>1.0842279100215138</v>
      </c>
      <c r="AP46">
        <f t="shared" si="27"/>
        <v>5.6609999999999987</v>
      </c>
      <c r="AQ46" s="10">
        <f t="shared" si="43"/>
        <v>0.83926000359296149</v>
      </c>
      <c r="AR46" s="63">
        <f t="shared" si="54"/>
        <v>11.360373474040365</v>
      </c>
      <c r="AS46" s="63">
        <f t="shared" si="44"/>
        <v>1.1564432008986694</v>
      </c>
      <c r="AT46" s="10"/>
      <c r="AU46">
        <f t="shared" si="45"/>
        <v>83.926000359296154</v>
      </c>
      <c r="BD46">
        <v>9.9978999999999996</v>
      </c>
      <c r="BE46">
        <v>6.1950000000000003</v>
      </c>
      <c r="BF46">
        <v>5.109191</v>
      </c>
      <c r="BG46">
        <v>93.156651672159526</v>
      </c>
      <c r="BH46">
        <v>2325.1351758999972</v>
      </c>
    </row>
    <row r="47" spans="1:60" x14ac:dyDescent="0.25">
      <c r="A47" s="33" t="s">
        <v>161</v>
      </c>
      <c r="B47" s="5">
        <f>ThetaJaTop</f>
        <v>50</v>
      </c>
      <c r="C47" s="417" t="s">
        <v>381</v>
      </c>
      <c r="D47" s="31" t="s">
        <v>184</v>
      </c>
      <c r="G47">
        <v>38</v>
      </c>
      <c r="H47">
        <f t="shared" si="0"/>
        <v>1.1400000000000001</v>
      </c>
      <c r="I47" s="407">
        <f t="shared" si="1"/>
        <v>0.2130225</v>
      </c>
      <c r="J47" s="408">
        <f t="shared" si="2"/>
        <v>1.8135699324324321</v>
      </c>
      <c r="K47" s="408">
        <f t="shared" si="31"/>
        <v>2.0467849662162161</v>
      </c>
      <c r="L47" s="408">
        <f t="shared" si="32"/>
        <v>0.23321503378378405</v>
      </c>
      <c r="M47" s="63">
        <f t="shared" si="3"/>
        <v>0</v>
      </c>
      <c r="N47" s="407">
        <f t="shared" si="46"/>
        <v>1.2544665499666574</v>
      </c>
      <c r="O47" s="407">
        <f t="shared" si="5"/>
        <v>7.873387721961984E-3</v>
      </c>
      <c r="P47">
        <f t="shared" si="6"/>
        <v>0.2</v>
      </c>
      <c r="Q47" s="407">
        <f t="shared" si="34"/>
        <v>0.20787338772196198</v>
      </c>
      <c r="R47" s="9">
        <f t="shared" si="39"/>
        <v>0.52353254434203811</v>
      </c>
      <c r="S47" s="9">
        <f t="shared" si="7"/>
        <v>2.7408632498524812E-3</v>
      </c>
      <c r="T47" s="9">
        <f t="shared" si="40"/>
        <v>2.7408632498524812E-3</v>
      </c>
      <c r="U47" s="407">
        <f t="shared" si="47"/>
        <v>0.57899101475253489</v>
      </c>
      <c r="V47" s="409">
        <f t="shared" si="9"/>
        <v>6.7046119032834024E-4</v>
      </c>
      <c r="W47" s="407">
        <f t="shared" si="41"/>
        <v>6.7046119032834024E-4</v>
      </c>
      <c r="X47" s="407">
        <f t="shared" si="48"/>
        <v>0.57899101475253489</v>
      </c>
      <c r="Y47" s="407">
        <f t="shared" si="11"/>
        <v>2.0113835709850204E-3</v>
      </c>
      <c r="Z47" s="407">
        <f t="shared" si="12"/>
        <v>8.3443263249694949E-2</v>
      </c>
      <c r="AA47" s="407">
        <f t="shared" si="13"/>
        <v>0.14400000000000002</v>
      </c>
      <c r="AB47" s="407">
        <f t="shared" si="14"/>
        <v>0</v>
      </c>
      <c r="AC47" s="407">
        <f t="shared" si="49"/>
        <v>0.2295469882288585</v>
      </c>
      <c r="AD47" s="407">
        <f t="shared" si="50"/>
        <v>1.1128592587659403</v>
      </c>
      <c r="AE47" s="407">
        <f t="shared" si="17"/>
        <v>7.4307343789264688E-3</v>
      </c>
      <c r="AF47" s="407">
        <f t="shared" si="18"/>
        <v>1.6416E-2</v>
      </c>
      <c r="AG47" s="407">
        <f t="shared" si="51"/>
        <v>2.3882226875784712E-2</v>
      </c>
      <c r="AH47" s="407">
        <f t="shared" si="52"/>
        <v>0</v>
      </c>
      <c r="AI47">
        <f t="shared" si="21"/>
        <v>0</v>
      </c>
      <c r="AJ47" s="408">
        <f t="shared" si="22"/>
        <v>0.45347072399999999</v>
      </c>
      <c r="AK47">
        <f t="shared" si="23"/>
        <v>4.8000000000000001E-2</v>
      </c>
      <c r="AL47" s="408">
        <f t="shared" si="24"/>
        <v>0.1215</v>
      </c>
      <c r="AM47" s="408">
        <f t="shared" si="25"/>
        <v>0.31645971316818772</v>
      </c>
      <c r="AN47" s="408">
        <f t="shared" si="42"/>
        <v>0.16949999999999998</v>
      </c>
      <c r="AO47" s="408">
        <f t="shared" si="53"/>
        <v>1.0876846512667859</v>
      </c>
      <c r="AP47">
        <f t="shared" si="27"/>
        <v>5.8140000000000001</v>
      </c>
      <c r="AQ47" s="10">
        <f t="shared" si="43"/>
        <v>0.84240302096863495</v>
      </c>
      <c r="AR47" s="63">
        <f t="shared" si="54"/>
        <v>11.477349411442924</v>
      </c>
      <c r="AS47" s="63">
        <f t="shared" si="44"/>
        <v>1.1941113437892357</v>
      </c>
      <c r="AT47" s="10"/>
      <c r="AU47">
        <f t="shared" si="45"/>
        <v>84.240302096863502</v>
      </c>
      <c r="BD47">
        <v>9.9976269999999996</v>
      </c>
      <c r="BE47">
        <v>6.9470000000000001</v>
      </c>
      <c r="BF47">
        <v>5.1086669999999996</v>
      </c>
      <c r="BG47">
        <v>92.656807634751772</v>
      </c>
      <c r="BH47">
        <v>2812.6290012010018</v>
      </c>
    </row>
    <row r="48" spans="1:60" x14ac:dyDescent="0.25">
      <c r="A48" s="34" t="s">
        <v>130</v>
      </c>
      <c r="B48" s="25" t="s">
        <v>201</v>
      </c>
      <c r="C48" s="34" t="s">
        <v>148</v>
      </c>
      <c r="D48" s="27" t="s">
        <v>188</v>
      </c>
      <c r="G48">
        <v>39</v>
      </c>
      <c r="H48">
        <f t="shared" si="0"/>
        <v>1.17</v>
      </c>
      <c r="I48" s="407">
        <f t="shared" si="1"/>
        <v>0.21303624999999995</v>
      </c>
      <c r="J48" s="408">
        <f t="shared" si="2"/>
        <v>1.8136869932432427</v>
      </c>
      <c r="K48" s="408">
        <f t="shared" si="31"/>
        <v>2.0768434966216214</v>
      </c>
      <c r="L48" s="408">
        <f t="shared" si="32"/>
        <v>0.26315650337837859</v>
      </c>
      <c r="M48" s="63">
        <f t="shared" si="3"/>
        <v>0</v>
      </c>
      <c r="N48" s="407">
        <f t="shared" si="46"/>
        <v>1.2818040837513518</v>
      </c>
      <c r="O48" s="407">
        <f t="shared" si="5"/>
        <v>8.2205111369114212E-3</v>
      </c>
      <c r="P48">
        <f t="shared" si="6"/>
        <v>0.2</v>
      </c>
      <c r="Q48" s="407">
        <f t="shared" si="34"/>
        <v>0.20822051113691142</v>
      </c>
      <c r="R48" s="9">
        <f t="shared" si="39"/>
        <v>0.52356633688735454</v>
      </c>
      <c r="S48" s="9">
        <f t="shared" si="7"/>
        <v>2.7412170912164287E-3</v>
      </c>
      <c r="T48" s="9">
        <f t="shared" si="40"/>
        <v>2.7412170912164287E-3</v>
      </c>
      <c r="U48" s="407">
        <f t="shared" si="47"/>
        <v>0.59162757168666957</v>
      </c>
      <c r="V48" s="409">
        <f t="shared" si="9"/>
        <v>7.0004636715973064E-4</v>
      </c>
      <c r="W48" s="407">
        <f t="shared" si="41"/>
        <v>7.0004636715973064E-4</v>
      </c>
      <c r="X48" s="407">
        <f t="shared" si="48"/>
        <v>0.59162757168666957</v>
      </c>
      <c r="Y48" s="407">
        <f t="shared" si="11"/>
        <v>2.1001391014791922E-3</v>
      </c>
      <c r="Z48" s="407">
        <f t="shared" si="12"/>
        <v>8.5691469145102742E-2</v>
      </c>
      <c r="AA48" s="407">
        <f t="shared" si="13"/>
        <v>0.14400000000000002</v>
      </c>
      <c r="AB48" s="407">
        <f t="shared" si="14"/>
        <v>0</v>
      </c>
      <c r="AC48" s="407">
        <f t="shared" si="49"/>
        <v>0.23188900808119683</v>
      </c>
      <c r="AD48" s="407">
        <f t="shared" si="50"/>
        <v>1.1371009302352086</v>
      </c>
      <c r="AE48" s="407">
        <f t="shared" si="17"/>
        <v>7.757991153250661E-3</v>
      </c>
      <c r="AF48" s="407">
        <f t="shared" si="18"/>
        <v>1.6847999999999998E-2</v>
      </c>
      <c r="AG48" s="407">
        <f t="shared" si="51"/>
        <v>2.4644229095510988E-2</v>
      </c>
      <c r="AH48" s="407">
        <f t="shared" si="52"/>
        <v>0</v>
      </c>
      <c r="AI48">
        <f t="shared" si="21"/>
        <v>0</v>
      </c>
      <c r="AJ48" s="408">
        <f t="shared" si="22"/>
        <v>0.45346732200000001</v>
      </c>
      <c r="AK48">
        <f t="shared" si="23"/>
        <v>4.8000000000000001E-2</v>
      </c>
      <c r="AL48" s="408">
        <f t="shared" si="24"/>
        <v>0.1215</v>
      </c>
      <c r="AM48" s="408">
        <f t="shared" si="25"/>
        <v>0.31645971316818772</v>
      </c>
      <c r="AN48" s="408">
        <f t="shared" si="42"/>
        <v>0.16949999999999998</v>
      </c>
      <c r="AO48" s="408">
        <f t="shared" si="53"/>
        <v>1.0911623337719956</v>
      </c>
      <c r="AP48">
        <f t="shared" si="27"/>
        <v>5.9669999999999996</v>
      </c>
      <c r="AQ48" s="10">
        <f t="shared" si="43"/>
        <v>0.84540418848813004</v>
      </c>
      <c r="AR48" s="63">
        <f t="shared" si="54"/>
        <v>11.594450404059842</v>
      </c>
      <c r="AS48" s="63">
        <f t="shared" si="44"/>
        <v>1.2322114547755494</v>
      </c>
      <c r="AT48" s="10"/>
      <c r="AU48">
        <f t="shared" si="45"/>
        <v>84.540418848813005</v>
      </c>
      <c r="BD48">
        <v>9.9975280000000009</v>
      </c>
      <c r="BE48">
        <v>7.7530000000000001</v>
      </c>
      <c r="BF48">
        <v>5.10853</v>
      </c>
      <c r="BG48">
        <v>92.034336419785248</v>
      </c>
      <c r="BH48">
        <v>3427.976173640001</v>
      </c>
    </row>
    <row r="49" spans="1:60" x14ac:dyDescent="0.25">
      <c r="A49" s="33" t="s">
        <v>139</v>
      </c>
      <c r="B49" s="5">
        <f>RdsonBot*1000</f>
        <v>6</v>
      </c>
      <c r="C49" s="417" t="s">
        <v>621</v>
      </c>
      <c r="D49" s="31" t="s">
        <v>192</v>
      </c>
      <c r="G49">
        <v>40</v>
      </c>
      <c r="H49">
        <f t="shared" si="0"/>
        <v>1.2000000000000002</v>
      </c>
      <c r="I49" s="407">
        <f t="shared" si="1"/>
        <v>0.21304999999999999</v>
      </c>
      <c r="J49" s="408">
        <f t="shared" si="2"/>
        <v>1.8138040540540536</v>
      </c>
      <c r="K49" s="408">
        <f t="shared" si="31"/>
        <v>2.1069020270270271</v>
      </c>
      <c r="L49" s="408">
        <f t="shared" si="32"/>
        <v>0.29309797297297335</v>
      </c>
      <c r="M49" s="63">
        <f t="shared" si="3"/>
        <v>0</v>
      </c>
      <c r="N49" s="407">
        <f t="shared" si="46"/>
        <v>1.3092582234005294</v>
      </c>
      <c r="O49" s="407">
        <f t="shared" si="5"/>
        <v>8.5766661789842737E-3</v>
      </c>
      <c r="P49">
        <f t="shared" si="6"/>
        <v>0.2</v>
      </c>
      <c r="Q49" s="407">
        <f t="shared" si="34"/>
        <v>0.20857666617898429</v>
      </c>
      <c r="R49" s="9">
        <f t="shared" si="39"/>
        <v>0.5236001294326712</v>
      </c>
      <c r="S49" s="9">
        <f t="shared" si="7"/>
        <v>2.7415709554191002E-3</v>
      </c>
      <c r="T49" s="9">
        <f t="shared" si="40"/>
        <v>2.7415709554191002E-3</v>
      </c>
      <c r="U49" s="407">
        <f t="shared" si="47"/>
        <v>0.60431876456486444</v>
      </c>
      <c r="V49" s="409">
        <f t="shared" si="9"/>
        <v>7.304023384104081E-4</v>
      </c>
      <c r="W49" s="407">
        <f t="shared" si="41"/>
        <v>7.304023384104081E-4</v>
      </c>
      <c r="X49" s="407">
        <f t="shared" si="48"/>
        <v>0.60431876456486444</v>
      </c>
      <c r="Y49" s="407">
        <f t="shared" si="11"/>
        <v>2.1912070152312244E-3</v>
      </c>
      <c r="Z49" s="407">
        <f t="shared" si="12"/>
        <v>8.7939675040510576E-2</v>
      </c>
      <c r="AA49" s="407">
        <f t="shared" si="13"/>
        <v>0.14400000000000002</v>
      </c>
      <c r="AB49" s="407">
        <f t="shared" si="14"/>
        <v>0</v>
      </c>
      <c r="AC49" s="407">
        <f t="shared" si="49"/>
        <v>0.23423353288783508</v>
      </c>
      <c r="AD49" s="407">
        <f t="shared" si="50"/>
        <v>1.1614456191904581</v>
      </c>
      <c r="AE49" s="407">
        <f t="shared" si="17"/>
        <v>8.0937355580202389E-3</v>
      </c>
      <c r="AF49" s="407">
        <f t="shared" si="18"/>
        <v>1.7280000000000004E-2</v>
      </c>
      <c r="AG49" s="407">
        <f t="shared" si="51"/>
        <v>2.5414875814837284E-2</v>
      </c>
      <c r="AH49" s="407">
        <f t="shared" si="52"/>
        <v>0</v>
      </c>
      <c r="AI49">
        <f t="shared" si="21"/>
        <v>0</v>
      </c>
      <c r="AJ49" s="408">
        <f t="shared" si="22"/>
        <v>0.45346391999999996</v>
      </c>
      <c r="AK49">
        <f t="shared" si="23"/>
        <v>4.8000000000000001E-2</v>
      </c>
      <c r="AL49" s="408">
        <f t="shared" si="24"/>
        <v>0.1215</v>
      </c>
      <c r="AM49" s="408">
        <f t="shared" si="25"/>
        <v>0.31645971316818772</v>
      </c>
      <c r="AN49" s="408">
        <f t="shared" si="42"/>
        <v>0.16949999999999998</v>
      </c>
      <c r="AO49" s="408">
        <f t="shared" si="53"/>
        <v>1.0946609681754862</v>
      </c>
      <c r="AP49">
        <f t="shared" si="27"/>
        <v>6.12</v>
      </c>
      <c r="AQ49" s="10">
        <f t="shared" si="43"/>
        <v>0.84827270844685099</v>
      </c>
      <c r="AR49" s="63">
        <f t="shared" si="54"/>
        <v>11.711676644391753</v>
      </c>
      <c r="AS49" s="63">
        <f t="shared" si="44"/>
        <v>1.2707437907418642</v>
      </c>
      <c r="AT49" s="10"/>
      <c r="AU49">
        <f t="shared" si="45"/>
        <v>84.827270844685103</v>
      </c>
      <c r="BD49">
        <v>9.9970090000000003</v>
      </c>
      <c r="BE49">
        <v>8.6120000000000001</v>
      </c>
      <c r="BF49">
        <v>5.1085419999999999</v>
      </c>
      <c r="BG49">
        <v>91.346378256658895</v>
      </c>
      <c r="BH49">
        <v>4167.8065612820019</v>
      </c>
    </row>
    <row r="50" spans="1:60" x14ac:dyDescent="0.25">
      <c r="A50" s="33" t="s">
        <v>153</v>
      </c>
      <c r="B50" s="5">
        <v>4500</v>
      </c>
      <c r="C50" s="417" t="s">
        <v>622</v>
      </c>
      <c r="D50" s="31" t="s">
        <v>185</v>
      </c>
      <c r="G50">
        <v>41</v>
      </c>
      <c r="H50">
        <f t="shared" si="0"/>
        <v>1.23</v>
      </c>
      <c r="I50" s="407">
        <f t="shared" si="1"/>
        <v>0.21306375</v>
      </c>
      <c r="J50" s="408">
        <f t="shared" si="2"/>
        <v>1.8139211148648646</v>
      </c>
      <c r="K50" s="408">
        <f t="shared" si="31"/>
        <v>2.1369605574324324</v>
      </c>
      <c r="L50" s="408">
        <f t="shared" si="32"/>
        <v>0.32303944256756767</v>
      </c>
      <c r="M50" s="63">
        <f t="shared" si="3"/>
        <v>0</v>
      </c>
      <c r="N50" s="407">
        <f t="shared" si="46"/>
        <v>1.3368217847738904</v>
      </c>
      <c r="O50" s="407">
        <f t="shared" si="5"/>
        <v>8.9418543895401562E-3</v>
      </c>
      <c r="P50">
        <f t="shared" si="6"/>
        <v>0.2</v>
      </c>
      <c r="Q50" s="407">
        <f t="shared" si="34"/>
        <v>0.20894185438954016</v>
      </c>
      <c r="R50" s="9">
        <f t="shared" si="39"/>
        <v>0.52363392197798786</v>
      </c>
      <c r="S50" s="9">
        <f t="shared" si="7"/>
        <v>2.7419248424604948E-3</v>
      </c>
      <c r="T50" s="9">
        <f t="shared" si="40"/>
        <v>2.7419248424604948E-3</v>
      </c>
      <c r="U50" s="407">
        <f t="shared" si="47"/>
        <v>0.61706128244306435</v>
      </c>
      <c r="V50" s="409">
        <f t="shared" si="9"/>
        <v>7.6152925258055851E-4</v>
      </c>
      <c r="W50" s="407">
        <f t="shared" si="41"/>
        <v>7.6152925258055851E-4</v>
      </c>
      <c r="X50" s="407">
        <f t="shared" si="48"/>
        <v>0.61706128244306435</v>
      </c>
      <c r="Y50" s="407">
        <f t="shared" si="11"/>
        <v>2.2845877577416756E-3</v>
      </c>
      <c r="Z50" s="407">
        <f t="shared" si="12"/>
        <v>9.0187880935918355E-2</v>
      </c>
      <c r="AA50" s="407">
        <f t="shared" si="13"/>
        <v>0.14400000000000002</v>
      </c>
      <c r="AB50" s="407">
        <f t="shared" si="14"/>
        <v>0</v>
      </c>
      <c r="AC50" s="407">
        <f t="shared" si="49"/>
        <v>0.23658056650685225</v>
      </c>
      <c r="AD50" s="407">
        <f t="shared" si="50"/>
        <v>1.1858869499053315</v>
      </c>
      <c r="AE50" s="407">
        <f t="shared" si="17"/>
        <v>8.4379671477346225E-3</v>
      </c>
      <c r="AF50" s="407">
        <f t="shared" si="18"/>
        <v>1.7711999999999999E-2</v>
      </c>
      <c r="AG50" s="407">
        <f t="shared" si="51"/>
        <v>2.6194172260734255E-2</v>
      </c>
      <c r="AH50" s="407">
        <f t="shared" si="52"/>
        <v>0</v>
      </c>
      <c r="AI50">
        <f t="shared" si="21"/>
        <v>0</v>
      </c>
      <c r="AJ50" s="408">
        <f t="shared" si="22"/>
        <v>0.45346051799999998</v>
      </c>
      <c r="AK50">
        <f t="shared" si="23"/>
        <v>4.8000000000000001E-2</v>
      </c>
      <c r="AL50" s="408">
        <f t="shared" si="24"/>
        <v>0.1215</v>
      </c>
      <c r="AM50" s="408">
        <f t="shared" si="25"/>
        <v>0.31645971316818772</v>
      </c>
      <c r="AN50" s="408">
        <f t="shared" si="42"/>
        <v>0.16949999999999998</v>
      </c>
      <c r="AO50" s="408">
        <f t="shared" si="53"/>
        <v>1.0981805652521677</v>
      </c>
      <c r="AP50">
        <f t="shared" si="27"/>
        <v>6.2729999999999997</v>
      </c>
      <c r="AQ50" s="10">
        <f t="shared" si="43"/>
        <v>0.8510170039207825</v>
      </c>
      <c r="AR50" s="63">
        <f t="shared" si="54"/>
        <v>11.829028325342613</v>
      </c>
      <c r="AS50" s="63">
        <f t="shared" si="44"/>
        <v>1.3097086130367128</v>
      </c>
      <c r="AT50" s="10"/>
      <c r="AU50">
        <f t="shared" si="45"/>
        <v>85.101700392078243</v>
      </c>
      <c r="BD50">
        <v>9.9969590000000004</v>
      </c>
      <c r="BE50">
        <v>9.5229999999999997</v>
      </c>
      <c r="BF50">
        <v>5.1087540000000002</v>
      </c>
      <c r="BG50">
        <v>90.547826191651922</v>
      </c>
      <c r="BH50">
        <v>5078.5816240809982</v>
      </c>
    </row>
    <row r="51" spans="1:60" x14ac:dyDescent="0.25">
      <c r="A51" s="33" t="s">
        <v>138</v>
      </c>
      <c r="B51" s="5">
        <f>QgBot*1000000000</f>
        <v>27</v>
      </c>
      <c r="C51" s="417" t="s">
        <v>136</v>
      </c>
      <c r="D51" s="31" t="s">
        <v>180</v>
      </c>
      <c r="G51">
        <v>42</v>
      </c>
      <c r="H51">
        <f t="shared" si="0"/>
        <v>1.26</v>
      </c>
      <c r="I51" s="407">
        <f t="shared" si="1"/>
        <v>0.2130775</v>
      </c>
      <c r="J51" s="408">
        <f t="shared" si="2"/>
        <v>1.8140381756756754</v>
      </c>
      <c r="K51" s="408">
        <f t="shared" si="31"/>
        <v>2.1670190878378377</v>
      </c>
      <c r="L51" s="408">
        <f t="shared" si="32"/>
        <v>0.35298091216216232</v>
      </c>
      <c r="M51" s="63">
        <f t="shared" si="3"/>
        <v>0</v>
      </c>
      <c r="N51" s="407">
        <f t="shared" si="46"/>
        <v>1.3644881367142996</v>
      </c>
      <c r="O51" s="407">
        <f t="shared" si="5"/>
        <v>9.3160773491689133E-3</v>
      </c>
      <c r="P51">
        <f t="shared" si="6"/>
        <v>0.2</v>
      </c>
      <c r="Q51" s="407">
        <f t="shared" si="34"/>
        <v>0.20931607734916893</v>
      </c>
      <c r="R51" s="9">
        <f t="shared" si="39"/>
        <v>0.52366771452330441</v>
      </c>
      <c r="S51" s="9">
        <f t="shared" si="7"/>
        <v>2.7422787523406107E-3</v>
      </c>
      <c r="T51" s="9">
        <f t="shared" si="40"/>
        <v>2.7422787523406107E-3</v>
      </c>
      <c r="U51" s="407">
        <f t="shared" si="47"/>
        <v>0.62985206920767167</v>
      </c>
      <c r="V51" s="409">
        <f t="shared" si="9"/>
        <v>7.9342725817037134E-4</v>
      </c>
      <c r="W51" s="407">
        <f t="shared" si="41"/>
        <v>7.9342725817037134E-4</v>
      </c>
      <c r="X51" s="407">
        <f t="shared" si="48"/>
        <v>0.62985206920767167</v>
      </c>
      <c r="Y51" s="407">
        <f t="shared" si="11"/>
        <v>2.3802817745111138E-3</v>
      </c>
      <c r="Z51" s="407">
        <f t="shared" si="12"/>
        <v>9.2436086831326175E-2</v>
      </c>
      <c r="AA51" s="407">
        <f t="shared" si="13"/>
        <v>0.14400000000000002</v>
      </c>
      <c r="AB51" s="407">
        <f t="shared" si="14"/>
        <v>0</v>
      </c>
      <c r="AC51" s="407">
        <f t="shared" si="49"/>
        <v>0.23893011280441534</v>
      </c>
      <c r="AD51" s="407">
        <f t="shared" si="50"/>
        <v>1.2104190374200479</v>
      </c>
      <c r="AE51" s="407">
        <f t="shared" si="17"/>
        <v>8.7906854768932518E-3</v>
      </c>
      <c r="AF51" s="407">
        <f t="shared" si="18"/>
        <v>1.8144E-2</v>
      </c>
      <c r="AG51" s="407">
        <f t="shared" si="51"/>
        <v>2.6982123749569469E-2</v>
      </c>
      <c r="AH51" s="407">
        <f t="shared" si="52"/>
        <v>0</v>
      </c>
      <c r="AI51">
        <f t="shared" si="21"/>
        <v>0</v>
      </c>
      <c r="AJ51" s="408">
        <f t="shared" si="22"/>
        <v>0.45345711599999999</v>
      </c>
      <c r="AK51">
        <f t="shared" si="23"/>
        <v>4.8000000000000001E-2</v>
      </c>
      <c r="AL51" s="408">
        <f t="shared" si="24"/>
        <v>0.1215</v>
      </c>
      <c r="AM51" s="408">
        <f t="shared" si="25"/>
        <v>0.31645971316818772</v>
      </c>
      <c r="AN51" s="408">
        <f t="shared" si="42"/>
        <v>0.16949999999999998</v>
      </c>
      <c r="AO51" s="408">
        <f t="shared" si="53"/>
        <v>1.1017211359136647</v>
      </c>
      <c r="AP51">
        <f t="shared" si="27"/>
        <v>6.4259999999999993</v>
      </c>
      <c r="AQ51" s="10">
        <f t="shared" si="43"/>
        <v>0.85364479953202399</v>
      </c>
      <c r="AR51" s="63">
        <f t="shared" si="54"/>
        <v>11.946505640220767</v>
      </c>
      <c r="AS51" s="63">
        <f t="shared" si="44"/>
        <v>1.3491061874784736</v>
      </c>
      <c r="AT51" s="10"/>
      <c r="AU51">
        <f t="shared" si="45"/>
        <v>85.364479953202405</v>
      </c>
      <c r="BD51">
        <v>9.9964639999999996</v>
      </c>
      <c r="BE51">
        <v>10.493</v>
      </c>
      <c r="BF51">
        <v>5.1092279999999999</v>
      </c>
      <c r="BG51">
        <v>89.626660259106615</v>
      </c>
      <c r="BH51">
        <v>6204.9221585439973</v>
      </c>
    </row>
    <row r="52" spans="1:60" x14ac:dyDescent="0.25">
      <c r="A52" s="33" t="s">
        <v>169</v>
      </c>
      <c r="B52" s="5">
        <f>RGateBot</f>
        <v>1</v>
      </c>
      <c r="C52" s="416" t="s">
        <v>208</v>
      </c>
      <c r="D52" s="31" t="s">
        <v>181</v>
      </c>
      <c r="G52">
        <v>43</v>
      </c>
      <c r="H52">
        <f t="shared" si="0"/>
        <v>1.29</v>
      </c>
      <c r="I52" s="407">
        <f t="shared" si="1"/>
        <v>0.21309124999999998</v>
      </c>
      <c r="J52" s="408">
        <f t="shared" si="2"/>
        <v>1.8141552364864859</v>
      </c>
      <c r="K52" s="408">
        <f t="shared" si="31"/>
        <v>2.197077618243243</v>
      </c>
      <c r="L52" s="408">
        <f t="shared" si="32"/>
        <v>0.38292238175675708</v>
      </c>
      <c r="M52" s="63">
        <f t="shared" si="3"/>
        <v>0</v>
      </c>
      <c r="N52" s="407">
        <f t="shared" si="46"/>
        <v>1.3922511513753346</v>
      </c>
      <c r="O52" s="407">
        <f t="shared" si="5"/>
        <v>9.6993366777077001E-3</v>
      </c>
      <c r="P52">
        <f t="shared" si="6"/>
        <v>0.2</v>
      </c>
      <c r="Q52" s="407">
        <f t="shared" si="34"/>
        <v>0.20969933667770771</v>
      </c>
      <c r="R52" s="9">
        <f t="shared" si="39"/>
        <v>0.52370150706862095</v>
      </c>
      <c r="S52" s="9">
        <f t="shared" si="7"/>
        <v>2.7426326850594485E-3</v>
      </c>
      <c r="T52" s="9">
        <f t="shared" si="40"/>
        <v>2.7426326850594485E-3</v>
      </c>
      <c r="U52" s="407">
        <f t="shared" si="47"/>
        <v>0.64268830068705729</v>
      </c>
      <c r="V52" s="409">
        <f t="shared" si="9"/>
        <v>8.2609650368003476E-4</v>
      </c>
      <c r="W52" s="407">
        <f t="shared" si="41"/>
        <v>8.2609650368003476E-4</v>
      </c>
      <c r="X52" s="407">
        <f t="shared" si="48"/>
        <v>0.64268830068705729</v>
      </c>
      <c r="Y52" s="407">
        <f t="shared" si="11"/>
        <v>2.4782895110401042E-3</v>
      </c>
      <c r="Z52" s="407">
        <f t="shared" si="12"/>
        <v>9.4684292726733968E-2</v>
      </c>
      <c r="AA52" s="407">
        <f t="shared" si="13"/>
        <v>0.14400000000000002</v>
      </c>
      <c r="AB52" s="407">
        <f t="shared" si="14"/>
        <v>0</v>
      </c>
      <c r="AC52" s="407">
        <f t="shared" si="49"/>
        <v>0.24128217565479931</v>
      </c>
      <c r="AD52" s="407">
        <f t="shared" si="50"/>
        <v>1.2350364434566001</v>
      </c>
      <c r="AE52" s="407">
        <f t="shared" si="17"/>
        <v>9.1518900999955684E-3</v>
      </c>
      <c r="AF52" s="407">
        <f t="shared" si="18"/>
        <v>1.8575999999999999E-2</v>
      </c>
      <c r="AG52" s="407">
        <f t="shared" si="51"/>
        <v>2.7778735687220817E-2</v>
      </c>
      <c r="AH52" s="407">
        <f t="shared" si="52"/>
        <v>0</v>
      </c>
      <c r="AI52">
        <f t="shared" si="21"/>
        <v>0</v>
      </c>
      <c r="AJ52" s="408">
        <f t="shared" si="22"/>
        <v>0.45345371400000001</v>
      </c>
      <c r="AK52">
        <f t="shared" si="23"/>
        <v>4.8000000000000001E-2</v>
      </c>
      <c r="AL52" s="408">
        <f t="shared" si="24"/>
        <v>0.1215</v>
      </c>
      <c r="AM52" s="408">
        <f t="shared" si="25"/>
        <v>0.31645971316818772</v>
      </c>
      <c r="AN52" s="408">
        <f t="shared" si="42"/>
        <v>0.16949999999999998</v>
      </c>
      <c r="AO52" s="408">
        <f t="shared" si="53"/>
        <v>1.1052826912084672</v>
      </c>
      <c r="AP52">
        <f t="shared" si="27"/>
        <v>6.5789999999999997</v>
      </c>
      <c r="AQ52" s="10">
        <f t="shared" si="43"/>
        <v>0.85616319237278804</v>
      </c>
      <c r="AR52" s="63">
        <f t="shared" si="54"/>
        <v>12.064108782739966</v>
      </c>
      <c r="AS52" s="63">
        <f t="shared" si="44"/>
        <v>1.388936784361041</v>
      </c>
      <c r="AT52" s="10"/>
      <c r="AU52">
        <f t="shared" si="45"/>
        <v>85.616319237278802</v>
      </c>
      <c r="BD52">
        <v>9.9959819999999997</v>
      </c>
      <c r="BE52">
        <v>11.519</v>
      </c>
      <c r="BF52">
        <v>5.1101260000000002</v>
      </c>
      <c r="BG52">
        <v>88.591390420220321</v>
      </c>
      <c r="BH52">
        <v>7580.3207309739973</v>
      </c>
    </row>
    <row r="53" spans="1:60" x14ac:dyDescent="0.25">
      <c r="A53" s="33" t="s">
        <v>144</v>
      </c>
      <c r="B53" s="5">
        <f>VsdBot</f>
        <v>0.8</v>
      </c>
      <c r="C53" s="417" t="s">
        <v>0</v>
      </c>
      <c r="D53" s="31" t="s">
        <v>186</v>
      </c>
      <c r="G53">
        <v>44</v>
      </c>
      <c r="H53">
        <f t="shared" si="0"/>
        <v>1.32</v>
      </c>
      <c r="I53" s="407">
        <f t="shared" si="1"/>
        <v>0.21310499999999999</v>
      </c>
      <c r="J53" s="408">
        <f t="shared" si="2"/>
        <v>1.8142722972972969</v>
      </c>
      <c r="K53" s="408">
        <f t="shared" si="31"/>
        <v>2.2271361486486487</v>
      </c>
      <c r="L53" s="408">
        <f t="shared" si="32"/>
        <v>0.41286385135135162</v>
      </c>
      <c r="M53" s="63">
        <f t="shared" si="3"/>
        <v>0</v>
      </c>
      <c r="N53" s="407">
        <f t="shared" si="46"/>
        <v>1.4201051595081615</v>
      </c>
      <c r="O53" s="407">
        <f t="shared" si="5"/>
        <v>1.0091634034258541E-2</v>
      </c>
      <c r="P53">
        <f t="shared" si="6"/>
        <v>0.2</v>
      </c>
      <c r="Q53" s="407">
        <f t="shared" si="34"/>
        <v>0.21009163403425854</v>
      </c>
      <c r="R53" s="9">
        <f t="shared" si="39"/>
        <v>0.52373529961393761</v>
      </c>
      <c r="S53" s="9">
        <f t="shared" si="7"/>
        <v>2.7429866406170102E-3</v>
      </c>
      <c r="T53" s="9">
        <f t="shared" si="40"/>
        <v>2.7429866406170102E-3</v>
      </c>
      <c r="U53" s="407">
        <f t="shared" si="47"/>
        <v>0.65556736404801963</v>
      </c>
      <c r="V53" s="409">
        <f t="shared" si="9"/>
        <v>8.5953713760973736E-4</v>
      </c>
      <c r="W53" s="407">
        <f t="shared" si="41"/>
        <v>8.5953713760973736E-4</v>
      </c>
      <c r="X53" s="407">
        <f t="shared" si="48"/>
        <v>0.65556736404801963</v>
      </c>
      <c r="Y53" s="407">
        <f t="shared" si="11"/>
        <v>2.5786114128292124E-3</v>
      </c>
      <c r="Z53" s="407">
        <f t="shared" si="12"/>
        <v>9.6932498622141788E-2</v>
      </c>
      <c r="AA53" s="407">
        <f t="shared" si="13"/>
        <v>0.14400000000000002</v>
      </c>
      <c r="AB53" s="407">
        <f t="shared" si="14"/>
        <v>0</v>
      </c>
      <c r="AC53" s="407">
        <f t="shared" si="49"/>
        <v>0.2436367589404087</v>
      </c>
      <c r="AD53" s="407">
        <f t="shared" si="50"/>
        <v>1.2597341367355384</v>
      </c>
      <c r="AE53" s="407">
        <f t="shared" si="17"/>
        <v>9.5215805715409933E-3</v>
      </c>
      <c r="AF53" s="407">
        <f t="shared" si="18"/>
        <v>1.9008000000000004E-2</v>
      </c>
      <c r="AG53" s="407">
        <f t="shared" si="51"/>
        <v>2.8584013569192414E-2</v>
      </c>
      <c r="AH53" s="407">
        <f t="shared" si="52"/>
        <v>0</v>
      </c>
      <c r="AI53">
        <f t="shared" si="21"/>
        <v>0</v>
      </c>
      <c r="AJ53" s="408">
        <f t="shared" si="22"/>
        <v>0.45345031200000002</v>
      </c>
      <c r="AK53">
        <f t="shared" si="23"/>
        <v>4.8000000000000001E-2</v>
      </c>
      <c r="AL53" s="408">
        <f t="shared" si="24"/>
        <v>0.1215</v>
      </c>
      <c r="AM53" s="408">
        <f t="shared" si="25"/>
        <v>0.31645971316818772</v>
      </c>
      <c r="AN53" s="408">
        <f t="shared" si="42"/>
        <v>0.16949999999999998</v>
      </c>
      <c r="AO53" s="408">
        <f t="shared" si="53"/>
        <v>1.1088652423220864</v>
      </c>
      <c r="AP53">
        <f t="shared" si="27"/>
        <v>6.7320000000000002</v>
      </c>
      <c r="AQ53" s="10">
        <f t="shared" si="43"/>
        <v>0.85857871445910805</v>
      </c>
      <c r="AR53" s="63">
        <f t="shared" si="54"/>
        <v>12.181837947020435</v>
      </c>
      <c r="AS53" s="63">
        <f t="shared" si="44"/>
        <v>1.4292006784596207</v>
      </c>
      <c r="AT53" s="10"/>
      <c r="AU53">
        <f t="shared" si="45"/>
        <v>85.857871445910803</v>
      </c>
      <c r="BD53">
        <v>9.9955739999999995</v>
      </c>
      <c r="BE53">
        <v>12.605</v>
      </c>
      <c r="BF53">
        <v>5.1111979999999999</v>
      </c>
      <c r="BG53">
        <v>87.386508098290477</v>
      </c>
      <c r="BH53">
        <v>9299.4335961019988</v>
      </c>
    </row>
    <row r="54" spans="1:60" x14ac:dyDescent="0.25">
      <c r="A54" s="33" t="s">
        <v>145</v>
      </c>
      <c r="B54" s="5">
        <f>QrrBot*1000000000</f>
        <v>62.999999999999993</v>
      </c>
      <c r="C54" s="417" t="s">
        <v>136</v>
      </c>
      <c r="D54" s="31" t="s">
        <v>196</v>
      </c>
      <c r="G54">
        <v>45</v>
      </c>
      <c r="H54">
        <f t="shared" si="0"/>
        <v>1.35</v>
      </c>
      <c r="I54" s="407">
        <f t="shared" si="1"/>
        <v>0.21311875</v>
      </c>
      <c r="J54" s="408">
        <f t="shared" si="2"/>
        <v>1.8143893581081079</v>
      </c>
      <c r="K54" s="408">
        <f t="shared" si="31"/>
        <v>2.257194679054054</v>
      </c>
      <c r="L54" s="408">
        <f t="shared" si="32"/>
        <v>0.44280532094594616</v>
      </c>
      <c r="M54" s="63">
        <f t="shared" si="3"/>
        <v>0</v>
      </c>
      <c r="N54" s="407">
        <f t="shared" si="46"/>
        <v>1.4480449101810793</v>
      </c>
      <c r="O54" s="407">
        <f t="shared" si="5"/>
        <v>1.0492971117206292E-2</v>
      </c>
      <c r="P54">
        <f t="shared" si="6"/>
        <v>0.2</v>
      </c>
      <c r="Q54" s="407">
        <f t="shared" si="34"/>
        <v>0.2104929711172063</v>
      </c>
      <c r="R54" s="9">
        <f t="shared" si="39"/>
        <v>0.52376909215925427</v>
      </c>
      <c r="S54" s="9">
        <f t="shared" si="7"/>
        <v>2.7433406190132941E-3</v>
      </c>
      <c r="T54" s="9">
        <f t="shared" si="40"/>
        <v>2.7433406190132941E-3</v>
      </c>
      <c r="U54" s="407">
        <f t="shared" si="47"/>
        <v>0.66848683923457608</v>
      </c>
      <c r="V54" s="409">
        <f t="shared" si="9"/>
        <v>8.9374930845966796E-4</v>
      </c>
      <c r="W54" s="407">
        <f t="shared" si="41"/>
        <v>8.9374930845966796E-4</v>
      </c>
      <c r="X54" s="407">
        <f t="shared" si="48"/>
        <v>0.66848683923457608</v>
      </c>
      <c r="Y54" s="407">
        <f t="shared" si="11"/>
        <v>2.6812479253790038E-3</v>
      </c>
      <c r="Z54" s="407">
        <f t="shared" si="12"/>
        <v>9.9180704517549581E-2</v>
      </c>
      <c r="AA54" s="407">
        <f t="shared" si="13"/>
        <v>0.14400000000000002</v>
      </c>
      <c r="AB54" s="407">
        <f t="shared" si="14"/>
        <v>0</v>
      </c>
      <c r="AC54" s="407">
        <f t="shared" si="49"/>
        <v>0.24599386655179817</v>
      </c>
      <c r="AD54" s="407">
        <f t="shared" si="50"/>
        <v>1.284507457226892</v>
      </c>
      <c r="AE54" s="407">
        <f t="shared" si="17"/>
        <v>9.8997564460289733E-3</v>
      </c>
      <c r="AF54" s="407">
        <f t="shared" si="18"/>
        <v>1.9440000000000002E-2</v>
      </c>
      <c r="AG54" s="407">
        <f t="shared" si="51"/>
        <v>2.9397962980732703E-2</v>
      </c>
      <c r="AH54" s="407">
        <f t="shared" si="52"/>
        <v>0</v>
      </c>
      <c r="AI54">
        <f t="shared" si="21"/>
        <v>0</v>
      </c>
      <c r="AJ54" s="408">
        <f t="shared" si="22"/>
        <v>0.45344691000000004</v>
      </c>
      <c r="AK54">
        <f t="shared" si="23"/>
        <v>4.8000000000000001E-2</v>
      </c>
      <c r="AL54" s="408">
        <f t="shared" si="24"/>
        <v>0.1215</v>
      </c>
      <c r="AM54" s="408">
        <f t="shared" si="25"/>
        <v>0.31645971316818772</v>
      </c>
      <c r="AN54" s="408">
        <f t="shared" si="42"/>
        <v>0.16949999999999998</v>
      </c>
      <c r="AO54" s="408">
        <f t="shared" si="53"/>
        <v>1.1124688005772101</v>
      </c>
      <c r="AP54">
        <f t="shared" si="27"/>
        <v>6.8849999999999998</v>
      </c>
      <c r="AQ54" s="10">
        <f t="shared" si="43"/>
        <v>0.86089738787140768</v>
      </c>
      <c r="AR54" s="63">
        <f t="shared" si="54"/>
        <v>12.299693327589909</v>
      </c>
      <c r="AS54" s="63">
        <f t="shared" si="44"/>
        <v>1.4698981490366352</v>
      </c>
      <c r="AT54" s="10"/>
      <c r="AU54">
        <f t="shared" si="45"/>
        <v>86.089738787140774</v>
      </c>
      <c r="BD54">
        <v>9.9949670000000008</v>
      </c>
      <c r="BE54">
        <v>13.75</v>
      </c>
      <c r="BF54">
        <v>5.1122329999999998</v>
      </c>
      <c r="BG54">
        <v>85.985113444924963</v>
      </c>
      <c r="BH54">
        <v>11457.230537720005</v>
      </c>
    </row>
    <row r="55" spans="1:60" x14ac:dyDescent="0.25">
      <c r="A55" s="33" t="s">
        <v>146</v>
      </c>
      <c r="B55" s="5">
        <f>TrrBot*1000000000</f>
        <v>40</v>
      </c>
      <c r="C55" s="417" t="s">
        <v>147</v>
      </c>
      <c r="D55" s="31" t="s">
        <v>187</v>
      </c>
      <c r="G55">
        <v>46</v>
      </c>
      <c r="H55">
        <f t="shared" si="0"/>
        <v>1.3800000000000001</v>
      </c>
      <c r="I55" s="407">
        <f t="shared" si="1"/>
        <v>0.21313249999999997</v>
      </c>
      <c r="J55" s="408">
        <f t="shared" si="2"/>
        <v>1.8145064189189184</v>
      </c>
      <c r="K55" s="408">
        <f t="shared" si="31"/>
        <v>2.2872532094594593</v>
      </c>
      <c r="L55" s="408">
        <f t="shared" si="32"/>
        <v>0.47274679054054092</v>
      </c>
      <c r="M55" s="63">
        <f t="shared" si="3"/>
        <v>0</v>
      </c>
      <c r="N55" s="407">
        <f t="shared" si="46"/>
        <v>1.476065534461404</v>
      </c>
      <c r="O55" s="407">
        <f t="shared" si="5"/>
        <v>1.090334966423704E-2</v>
      </c>
      <c r="P55">
        <f t="shared" si="6"/>
        <v>0.2</v>
      </c>
      <c r="Q55" s="407">
        <f t="shared" si="34"/>
        <v>0.21090334966423704</v>
      </c>
      <c r="R55" s="9">
        <f t="shared" si="39"/>
        <v>0.5238028847045707</v>
      </c>
      <c r="S55" s="9">
        <f t="shared" si="7"/>
        <v>2.7436946202482981E-3</v>
      </c>
      <c r="T55" s="9">
        <f t="shared" si="40"/>
        <v>2.7436946202482981E-3</v>
      </c>
      <c r="U55" s="407">
        <f t="shared" si="47"/>
        <v>0.68144448223241716</v>
      </c>
      <c r="V55" s="409">
        <f t="shared" si="9"/>
        <v>9.2873316473001419E-4</v>
      </c>
      <c r="W55" s="407">
        <f t="shared" si="41"/>
        <v>9.2873316473001419E-4</v>
      </c>
      <c r="X55" s="407">
        <f t="shared" si="48"/>
        <v>0.68144448223241716</v>
      </c>
      <c r="Y55" s="407">
        <f t="shared" si="11"/>
        <v>2.7861994941900427E-3</v>
      </c>
      <c r="Z55" s="407">
        <f t="shared" si="12"/>
        <v>0.1014289104129574</v>
      </c>
      <c r="AA55" s="407">
        <f t="shared" si="13"/>
        <v>0.14400000000000002</v>
      </c>
      <c r="AB55" s="407">
        <f t="shared" si="14"/>
        <v>0</v>
      </c>
      <c r="AC55" s="407">
        <f t="shared" si="49"/>
        <v>0.24835350238769405</v>
      </c>
      <c r="AD55" s="407">
        <f t="shared" si="50"/>
        <v>1.3093520839177761</v>
      </c>
      <c r="AE55" s="407">
        <f t="shared" si="17"/>
        <v>1.0286417277958938E-2</v>
      </c>
      <c r="AF55" s="407">
        <f t="shared" si="18"/>
        <v>1.9872000000000001E-2</v>
      </c>
      <c r="AG55" s="407">
        <f t="shared" si="51"/>
        <v>3.0220589596954985E-2</v>
      </c>
      <c r="AH55" s="407">
        <f t="shared" si="52"/>
        <v>0</v>
      </c>
      <c r="AI55">
        <f t="shared" si="21"/>
        <v>0</v>
      </c>
      <c r="AJ55" s="408">
        <f t="shared" si="22"/>
        <v>0.453443508</v>
      </c>
      <c r="AK55">
        <f t="shared" si="23"/>
        <v>4.8000000000000001E-2</v>
      </c>
      <c r="AL55" s="408">
        <f t="shared" si="24"/>
        <v>0.1215</v>
      </c>
      <c r="AM55" s="408">
        <f t="shared" si="25"/>
        <v>0.31645971316818772</v>
      </c>
      <c r="AN55" s="408">
        <f t="shared" si="42"/>
        <v>0.16949999999999998</v>
      </c>
      <c r="AO55" s="408">
        <f t="shared" si="53"/>
        <v>1.1160933774338644</v>
      </c>
      <c r="AP55">
        <f t="shared" si="27"/>
        <v>7.0380000000000003</v>
      </c>
      <c r="AQ55" s="10">
        <f t="shared" si="43"/>
        <v>0.86312477356187634</v>
      </c>
      <c r="AR55" s="63">
        <f t="shared" si="54"/>
        <v>12.417675119384702</v>
      </c>
      <c r="AS55" s="63">
        <f t="shared" si="44"/>
        <v>1.5110294798477493</v>
      </c>
      <c r="AT55" s="10"/>
      <c r="AU55">
        <f t="shared" si="45"/>
        <v>86.312477356187628</v>
      </c>
      <c r="BD55">
        <v>9.9943860000000004</v>
      </c>
      <c r="BE55">
        <v>14.954000000000001</v>
      </c>
      <c r="BF55">
        <v>5.1130310000000003</v>
      </c>
      <c r="BG55">
        <v>84.352650264578628</v>
      </c>
      <c r="BH55">
        <v>14183.318533699994</v>
      </c>
    </row>
    <row r="56" spans="1:60" x14ac:dyDescent="0.25">
      <c r="A56" s="33" t="s">
        <v>160</v>
      </c>
      <c r="B56" s="5">
        <f>ThetaJaBot</f>
        <v>50</v>
      </c>
      <c r="C56" s="417" t="s">
        <v>381</v>
      </c>
      <c r="D56" s="31" t="s">
        <v>184</v>
      </c>
      <c r="E56" s="2"/>
      <c r="G56">
        <v>47</v>
      </c>
      <c r="H56">
        <f t="shared" si="0"/>
        <v>1.41</v>
      </c>
      <c r="I56" s="407">
        <f t="shared" si="1"/>
        <v>0.21314624999999998</v>
      </c>
      <c r="J56" s="408">
        <f t="shared" si="2"/>
        <v>1.8146234797297291</v>
      </c>
      <c r="K56" s="408">
        <f t="shared" si="31"/>
        <v>2.3173117398648646</v>
      </c>
      <c r="L56" s="408">
        <f t="shared" si="32"/>
        <v>0.50268826013513535</v>
      </c>
      <c r="M56" s="63">
        <f t="shared" si="3"/>
        <v>0</v>
      </c>
      <c r="N56" s="407">
        <f t="shared" si="46"/>
        <v>1.5041625126402407</v>
      </c>
      <c r="O56" s="407">
        <f t="shared" si="5"/>
        <v>1.1322771452356935E-2</v>
      </c>
      <c r="P56">
        <f t="shared" si="6"/>
        <v>0.2</v>
      </c>
      <c r="Q56" s="407">
        <f t="shared" si="34"/>
        <v>0.21132277145235695</v>
      </c>
      <c r="R56" s="9">
        <f t="shared" si="39"/>
        <v>0.52383667724988725</v>
      </c>
      <c r="S56" s="9">
        <f t="shared" si="7"/>
        <v>2.7440486443220252E-3</v>
      </c>
      <c r="T56" s="9">
        <f t="shared" si="40"/>
        <v>2.7440486443220252E-3</v>
      </c>
      <c r="U56" s="407">
        <f t="shared" si="47"/>
        <v>0.69443820996578387</v>
      </c>
      <c r="V56" s="409">
        <f t="shared" si="9"/>
        <v>9.6448885492096432E-4</v>
      </c>
      <c r="W56" s="407">
        <f t="shared" si="41"/>
        <v>9.6448885492096432E-4</v>
      </c>
      <c r="X56" s="407">
        <f t="shared" si="48"/>
        <v>0.69443820996578387</v>
      </c>
      <c r="Y56" s="407">
        <f t="shared" si="11"/>
        <v>2.8934665647628926E-3</v>
      </c>
      <c r="Z56" s="407">
        <f t="shared" si="12"/>
        <v>0.10367711630836519</v>
      </c>
      <c r="AA56" s="407">
        <f t="shared" si="13"/>
        <v>0.14400000000000002</v>
      </c>
      <c r="AB56" s="407">
        <f t="shared" si="14"/>
        <v>0</v>
      </c>
      <c r="AC56" s="407">
        <f t="shared" si="49"/>
        <v>0.25071567035501496</v>
      </c>
      <c r="AD56" s="407">
        <f t="shared" si="50"/>
        <v>1.3342640057243993</v>
      </c>
      <c r="AE56" s="407">
        <f t="shared" si="17"/>
        <v>1.068156262183032E-2</v>
      </c>
      <c r="AF56" s="407">
        <f t="shared" si="18"/>
        <v>2.0303999999999999E-2</v>
      </c>
      <c r="AG56" s="407">
        <f t="shared" si="51"/>
        <v>3.1051899182960228E-2</v>
      </c>
      <c r="AH56" s="407">
        <f t="shared" si="52"/>
        <v>0</v>
      </c>
      <c r="AI56">
        <f t="shared" si="21"/>
        <v>0</v>
      </c>
      <c r="AJ56" s="408">
        <f t="shared" si="22"/>
        <v>0.45344010600000001</v>
      </c>
      <c r="AK56">
        <f t="shared" si="23"/>
        <v>4.8000000000000001E-2</v>
      </c>
      <c r="AL56" s="408">
        <f t="shared" si="24"/>
        <v>0.1215</v>
      </c>
      <c r="AM56" s="408">
        <f t="shared" si="25"/>
        <v>0.31645971316818772</v>
      </c>
      <c r="AN56" s="408">
        <f t="shared" si="42"/>
        <v>0.16949999999999998</v>
      </c>
      <c r="AO56" s="408">
        <f t="shared" si="53"/>
        <v>1.1197389844895751</v>
      </c>
      <c r="AP56">
        <f t="shared" si="27"/>
        <v>7.1909999999999989</v>
      </c>
      <c r="AQ56" s="10">
        <f t="shared" si="43"/>
        <v>0.86526601466134867</v>
      </c>
      <c r="AR56" s="63">
        <f t="shared" si="54"/>
        <v>12.535783517750748</v>
      </c>
      <c r="AS56" s="63">
        <f t="shared" si="44"/>
        <v>1.5525949591480115</v>
      </c>
      <c r="AT56" s="10"/>
      <c r="AU56">
        <f t="shared" si="45"/>
        <v>86.526601466134863</v>
      </c>
      <c r="BE56" s="28"/>
      <c r="BF56" s="29"/>
    </row>
    <row r="57" spans="1:60" x14ac:dyDescent="0.25">
      <c r="A57" s="34" t="s">
        <v>364</v>
      </c>
      <c r="B57" s="25" t="s">
        <v>201</v>
      </c>
      <c r="C57" s="34" t="s">
        <v>148</v>
      </c>
      <c r="D57" s="477" t="s">
        <v>391</v>
      </c>
      <c r="G57">
        <v>48</v>
      </c>
      <c r="H57">
        <f t="shared" si="0"/>
        <v>1.44</v>
      </c>
      <c r="I57" s="407">
        <f t="shared" si="1"/>
        <v>0.21315999999999999</v>
      </c>
      <c r="J57" s="408">
        <f t="shared" si="2"/>
        <v>1.8147405405405401</v>
      </c>
      <c r="K57" s="408">
        <f t="shared" si="31"/>
        <v>2.3473702702702699</v>
      </c>
      <c r="L57" s="408">
        <f t="shared" si="32"/>
        <v>0.53262972972972988</v>
      </c>
      <c r="M57" s="63">
        <f t="shared" si="3"/>
        <v>0</v>
      </c>
      <c r="N57" s="407">
        <f t="shared" si="46"/>
        <v>1.5323316446263999</v>
      </c>
      <c r="O57" s="407">
        <f t="shared" si="5"/>
        <v>1.1751238297911464E-2</v>
      </c>
      <c r="P57">
        <f t="shared" si="6"/>
        <v>0.2</v>
      </c>
      <c r="Q57" s="407">
        <f t="shared" si="34"/>
        <v>0.21175123829791148</v>
      </c>
      <c r="R57" s="9">
        <f t="shared" si="39"/>
        <v>0.52387046979520391</v>
      </c>
      <c r="S57" s="9">
        <f t="shared" si="7"/>
        <v>2.7444026912344767E-3</v>
      </c>
      <c r="T57" s="9">
        <f t="shared" si="40"/>
        <v>2.7444026912344767E-3</v>
      </c>
      <c r="U57" s="407">
        <f t="shared" si="47"/>
        <v>0.70746608665458588</v>
      </c>
      <c r="V57" s="409">
        <f t="shared" si="9"/>
        <v>1.001016527532708E-3</v>
      </c>
      <c r="W57" s="407">
        <f t="shared" si="41"/>
        <v>1.001016527532708E-3</v>
      </c>
      <c r="X57" s="407">
        <f t="shared" si="48"/>
        <v>0.70746608665458588</v>
      </c>
      <c r="Y57" s="407">
        <f t="shared" si="11"/>
        <v>3.0030495825981245E-3</v>
      </c>
      <c r="Z57" s="407">
        <f t="shared" si="12"/>
        <v>0.10592532220377299</v>
      </c>
      <c r="AA57" s="407">
        <f t="shared" si="13"/>
        <v>0.14400000000000002</v>
      </c>
      <c r="AB57" s="407">
        <f t="shared" si="14"/>
        <v>0</v>
      </c>
      <c r="AC57" s="407">
        <f t="shared" si="49"/>
        <v>0.25308037436889358</v>
      </c>
      <c r="AD57" s="407">
        <f t="shared" si="50"/>
        <v>1.359239495216753</v>
      </c>
      <c r="AE57" s="407">
        <f t="shared" si="17"/>
        <v>1.1085192032142562E-2</v>
      </c>
      <c r="AF57" s="407">
        <f t="shared" si="18"/>
        <v>2.0735999999999997E-2</v>
      </c>
      <c r="AG57" s="407">
        <f t="shared" si="51"/>
        <v>3.1891897593962257E-2</v>
      </c>
      <c r="AH57" s="407">
        <f t="shared" si="52"/>
        <v>0</v>
      </c>
      <c r="AI57">
        <f t="shared" si="21"/>
        <v>0</v>
      </c>
      <c r="AJ57" s="408">
        <f t="shared" si="22"/>
        <v>0.45343670400000002</v>
      </c>
      <c r="AK57">
        <f t="shared" si="23"/>
        <v>4.8000000000000001E-2</v>
      </c>
      <c r="AL57" s="408">
        <f t="shared" si="24"/>
        <v>0.1215</v>
      </c>
      <c r="AM57" s="408">
        <f t="shared" si="25"/>
        <v>0.31645971316818772</v>
      </c>
      <c r="AN57" s="408">
        <f t="shared" si="42"/>
        <v>0.16949999999999998</v>
      </c>
      <c r="AO57" s="408">
        <f t="shared" si="53"/>
        <v>1.1234056334795346</v>
      </c>
      <c r="AP57">
        <f t="shared" si="27"/>
        <v>7.3439999999999994</v>
      </c>
      <c r="AQ57" s="10">
        <f t="shared" si="43"/>
        <v>0.86732587499556346</v>
      </c>
      <c r="AR57" s="63">
        <f t="shared" si="54"/>
        <v>12.654018718444679</v>
      </c>
      <c r="AS57" s="63">
        <f t="shared" si="44"/>
        <v>1.5945948796981129</v>
      </c>
      <c r="AT57" s="10"/>
      <c r="AU57">
        <f t="shared" si="45"/>
        <v>86.732587499556345</v>
      </c>
      <c r="BE57" s="28"/>
      <c r="BF57" s="29"/>
    </row>
    <row r="58" spans="1:60" x14ac:dyDescent="0.25">
      <c r="A58" s="33" t="s">
        <v>365</v>
      </c>
      <c r="B58" s="115">
        <f>VfdSky</f>
        <v>0</v>
      </c>
      <c r="C58" s="417" t="s">
        <v>0</v>
      </c>
      <c r="D58" s="31" t="s">
        <v>368</v>
      </c>
      <c r="G58">
        <v>49</v>
      </c>
      <c r="H58">
        <f t="shared" si="0"/>
        <v>1.47</v>
      </c>
      <c r="I58" s="407">
        <f t="shared" si="1"/>
        <v>0.21317374999999997</v>
      </c>
      <c r="J58" s="408">
        <f t="shared" si="2"/>
        <v>1.8148576013513507</v>
      </c>
      <c r="K58" s="408">
        <f t="shared" si="31"/>
        <v>2.3774288006756752</v>
      </c>
      <c r="L58" s="408">
        <f t="shared" si="32"/>
        <v>0.56257119932432464</v>
      </c>
      <c r="M58" s="63">
        <f t="shared" si="3"/>
        <v>0</v>
      </c>
      <c r="N58" s="407">
        <f t="shared" si="46"/>
        <v>1.5605690231766631</v>
      </c>
      <c r="O58" s="407">
        <f t="shared" si="5"/>
        <v>1.2188752056605084E-2</v>
      </c>
      <c r="P58">
        <f t="shared" si="6"/>
        <v>0.2</v>
      </c>
      <c r="Q58" s="407">
        <f t="shared" si="34"/>
        <v>0.21218875205660509</v>
      </c>
      <c r="R58" s="9">
        <f t="shared" si="39"/>
        <v>0.52390426234052045</v>
      </c>
      <c r="S58" s="9">
        <f t="shared" si="7"/>
        <v>2.7447567609856487E-3</v>
      </c>
      <c r="T58" s="9">
        <f t="shared" si="40"/>
        <v>2.7447567609856487E-3</v>
      </c>
      <c r="U58" s="407">
        <f t="shared" si="47"/>
        <v>0.72052631147843327</v>
      </c>
      <c r="V58" s="409">
        <f t="shared" si="9"/>
        <v>1.0383163310654325E-3</v>
      </c>
      <c r="W58" s="407">
        <f t="shared" si="41"/>
        <v>1.0383163310654325E-3</v>
      </c>
      <c r="X58" s="407">
        <f t="shared" si="48"/>
        <v>0.72052631147843327</v>
      </c>
      <c r="Y58" s="407">
        <f t="shared" si="11"/>
        <v>3.1149489931962975E-3</v>
      </c>
      <c r="Z58" s="407">
        <f t="shared" si="12"/>
        <v>0.10817352809918081</v>
      </c>
      <c r="AA58" s="407">
        <f t="shared" si="13"/>
        <v>0.14400000000000002</v>
      </c>
      <c r="AB58" s="407">
        <f t="shared" si="14"/>
        <v>0</v>
      </c>
      <c r="AC58" s="407">
        <f t="shared" si="49"/>
        <v>0.25544761835269753</v>
      </c>
      <c r="AD58" s="407">
        <f t="shared" si="50"/>
        <v>1.3842750848606098</v>
      </c>
      <c r="AE58" s="407">
        <f t="shared" si="17"/>
        <v>1.1497305063395092E-2</v>
      </c>
      <c r="AF58" s="407">
        <f t="shared" si="18"/>
        <v>2.1167999999999999E-2</v>
      </c>
      <c r="AG58" s="407">
        <f t="shared" si="51"/>
        <v>3.2740590775415239E-2</v>
      </c>
      <c r="AH58" s="407">
        <f t="shared" si="52"/>
        <v>0</v>
      </c>
      <c r="AI58">
        <f t="shared" si="21"/>
        <v>0</v>
      </c>
      <c r="AJ58" s="408">
        <f t="shared" si="22"/>
        <v>0.45343330199999998</v>
      </c>
      <c r="AK58">
        <f t="shared" si="23"/>
        <v>4.8000000000000001E-2</v>
      </c>
      <c r="AL58" s="408">
        <f t="shared" si="24"/>
        <v>0.1215</v>
      </c>
      <c r="AM58" s="408">
        <f t="shared" si="25"/>
        <v>0.31645971316818772</v>
      </c>
      <c r="AN58" s="408">
        <f t="shared" si="42"/>
        <v>0.16949999999999998</v>
      </c>
      <c r="AO58" s="408">
        <f t="shared" si="53"/>
        <v>1.127093336276769</v>
      </c>
      <c r="AP58">
        <f t="shared" si="27"/>
        <v>7.496999999999999</v>
      </c>
      <c r="AQ58" s="10">
        <f t="shared" si="43"/>
        <v>0.86930877341787172</v>
      </c>
      <c r="AR58" s="63">
        <f t="shared" si="54"/>
        <v>12.772380917634877</v>
      </c>
      <c r="AS58" s="63">
        <f t="shared" si="44"/>
        <v>1.6370295387707618</v>
      </c>
      <c r="AT58" s="10"/>
      <c r="AU58">
        <f t="shared" si="45"/>
        <v>86.930877341787166</v>
      </c>
      <c r="BE58" s="28"/>
      <c r="BF58" s="29"/>
    </row>
    <row r="59" spans="1:60" x14ac:dyDescent="0.25">
      <c r="A59" s="33" t="s">
        <v>366</v>
      </c>
      <c r="B59" s="115">
        <f>QrrSky</f>
        <v>0</v>
      </c>
      <c r="C59" s="417" t="s">
        <v>136</v>
      </c>
      <c r="D59" s="31" t="s">
        <v>369</v>
      </c>
      <c r="G59">
        <v>50</v>
      </c>
      <c r="H59">
        <f t="shared" si="0"/>
        <v>1.5</v>
      </c>
      <c r="I59" s="407">
        <f t="shared" si="1"/>
        <v>0.2131875</v>
      </c>
      <c r="J59" s="408">
        <f t="shared" si="2"/>
        <v>1.8149746621621621</v>
      </c>
      <c r="K59" s="408">
        <f t="shared" si="31"/>
        <v>2.4074873310810809</v>
      </c>
      <c r="L59" s="408">
        <f t="shared" si="32"/>
        <v>0.59251266891891896</v>
      </c>
      <c r="M59" s="63">
        <f t="shared" si="3"/>
        <v>0</v>
      </c>
      <c r="N59" s="407">
        <f t="shared" si="46"/>
        <v>1.5888710096661574</v>
      </c>
      <c r="O59" s="407">
        <f t="shared" si="5"/>
        <v>1.2635314623521396E-2</v>
      </c>
      <c r="P59">
        <f t="shared" si="6"/>
        <v>0.2</v>
      </c>
      <c r="Q59" s="407">
        <f t="shared" si="34"/>
        <v>0.21263531462352142</v>
      </c>
      <c r="R59" s="9">
        <f t="shared" si="39"/>
        <v>0.52393805488583722</v>
      </c>
      <c r="S59" s="9">
        <f t="shared" si="7"/>
        <v>2.745110853575546E-3</v>
      </c>
      <c r="T59" s="9">
        <f t="shared" si="40"/>
        <v>2.745110853575546E-3</v>
      </c>
      <c r="U59" s="407">
        <f t="shared" si="47"/>
        <v>0.73361720741110181</v>
      </c>
      <c r="V59" s="409">
        <f t="shared" si="9"/>
        <v>1.0763884140193272E-3</v>
      </c>
      <c r="W59" s="407">
        <f t="shared" si="41"/>
        <v>1.0763884140193272E-3</v>
      </c>
      <c r="X59" s="407">
        <f t="shared" si="48"/>
        <v>0.73361720741110181</v>
      </c>
      <c r="Y59" s="407">
        <f t="shared" si="11"/>
        <v>3.2291652420579817E-3</v>
      </c>
      <c r="Z59" s="407">
        <f t="shared" si="12"/>
        <v>0.1104217339945886</v>
      </c>
      <c r="AA59" s="407">
        <f t="shared" si="13"/>
        <v>0.14400000000000002</v>
      </c>
      <c r="AB59" s="407">
        <f t="shared" si="14"/>
        <v>0</v>
      </c>
      <c r="AC59" s="407">
        <f t="shared" si="49"/>
        <v>0.25781740623805088</v>
      </c>
      <c r="AD59" s="407">
        <f t="shared" si="50"/>
        <v>1.4093675455139056</v>
      </c>
      <c r="AE59" s="407">
        <f t="shared" si="17"/>
        <v>1.1917901270087345E-2</v>
      </c>
      <c r="AF59" s="407">
        <f t="shared" si="18"/>
        <v>2.1600000000000001E-2</v>
      </c>
      <c r="AG59" s="407">
        <f t="shared" si="51"/>
        <v>3.3597984763143553E-2</v>
      </c>
      <c r="AH59" s="407">
        <f t="shared" si="52"/>
        <v>0</v>
      </c>
      <c r="AI59">
        <f t="shared" si="21"/>
        <v>0</v>
      </c>
      <c r="AJ59" s="408">
        <f t="shared" si="22"/>
        <v>0.4534299</v>
      </c>
      <c r="AK59">
        <f t="shared" si="23"/>
        <v>4.8000000000000001E-2</v>
      </c>
      <c r="AL59" s="408">
        <f t="shared" si="24"/>
        <v>0.1215</v>
      </c>
      <c r="AM59" s="408">
        <f t="shared" si="25"/>
        <v>0.31645971316818772</v>
      </c>
      <c r="AN59" s="408">
        <f t="shared" si="42"/>
        <v>0.16949999999999998</v>
      </c>
      <c r="AO59" s="408">
        <f t="shared" si="53"/>
        <v>1.1308021048923107</v>
      </c>
      <c r="AP59">
        <f t="shared" si="27"/>
        <v>7.6499999999999995</v>
      </c>
      <c r="AQ59" s="10">
        <f t="shared" si="43"/>
        <v>0.87121881447911542</v>
      </c>
      <c r="AR59" s="63">
        <f t="shared" si="54"/>
        <v>12.890870311902544</v>
      </c>
      <c r="AS59" s="63">
        <f t="shared" si="44"/>
        <v>1.6798992381571776</v>
      </c>
      <c r="AT59" s="10"/>
      <c r="AU59">
        <f t="shared" si="45"/>
        <v>87.121881447911548</v>
      </c>
      <c r="BE59" s="28"/>
      <c r="BF59" s="29"/>
    </row>
    <row r="60" spans="1:60" x14ac:dyDescent="0.25">
      <c r="A60" s="33" t="s">
        <v>367</v>
      </c>
      <c r="B60" s="115">
        <f>Ireverse</f>
        <v>0</v>
      </c>
      <c r="C60" s="417" t="s">
        <v>135</v>
      </c>
      <c r="D60" s="31" t="s">
        <v>370</v>
      </c>
      <c r="E60" s="2"/>
      <c r="G60">
        <v>51</v>
      </c>
      <c r="H60">
        <f t="shared" si="0"/>
        <v>1.53</v>
      </c>
      <c r="I60" s="407">
        <f t="shared" si="1"/>
        <v>0.21320124999999998</v>
      </c>
      <c r="J60" s="408">
        <f t="shared" si="2"/>
        <v>1.8150917229729726</v>
      </c>
      <c r="K60" s="408">
        <f t="shared" si="31"/>
        <v>2.4375458614864862</v>
      </c>
      <c r="L60" s="408">
        <f t="shared" si="32"/>
        <v>0.62245413851351372</v>
      </c>
      <c r="M60" s="63">
        <f t="shared" si="3"/>
        <v>0</v>
      </c>
      <c r="N60" s="407">
        <f t="shared" si="46"/>
        <v>1.6172342121351553</v>
      </c>
      <c r="O60" s="407">
        <f t="shared" si="5"/>
        <v>1.309092793314365E-2</v>
      </c>
      <c r="P60">
        <f t="shared" si="6"/>
        <v>0.2</v>
      </c>
      <c r="Q60" s="407">
        <f t="shared" si="34"/>
        <v>0.21309092793314366</v>
      </c>
      <c r="R60" s="9">
        <f t="shared" si="39"/>
        <v>0.52397184743115377</v>
      </c>
      <c r="S60" s="9">
        <f t="shared" si="7"/>
        <v>2.7454649690041629E-3</v>
      </c>
      <c r="T60" s="9">
        <f t="shared" si="40"/>
        <v>2.7454649690041629E-3</v>
      </c>
      <c r="U60" s="407">
        <f t="shared" si="47"/>
        <v>0.74673721110393976</v>
      </c>
      <c r="V60" s="409">
        <f t="shared" si="9"/>
        <v>1.1152329248945798E-3</v>
      </c>
      <c r="W60" s="407">
        <f t="shared" si="41"/>
        <v>1.1152329248945798E-3</v>
      </c>
      <c r="X60" s="407">
        <f t="shared" si="48"/>
        <v>0.74673721110393976</v>
      </c>
      <c r="Y60" s="407">
        <f t="shared" si="11"/>
        <v>3.3456987746837397E-3</v>
      </c>
      <c r="Z60" s="407">
        <f t="shared" si="12"/>
        <v>0.11266993988999642</v>
      </c>
      <c r="AA60" s="407">
        <f t="shared" si="13"/>
        <v>0.14400000000000002</v>
      </c>
      <c r="AB60" s="407">
        <f t="shared" si="14"/>
        <v>0</v>
      </c>
      <c r="AC60" s="407">
        <f t="shared" si="49"/>
        <v>0.26018974196485556</v>
      </c>
      <c r="AD60" s="407">
        <f t="shared" si="50"/>
        <v>1.4345138669434767</v>
      </c>
      <c r="AE60" s="407">
        <f t="shared" si="17"/>
        <v>1.2346980206718761E-2</v>
      </c>
      <c r="AF60" s="407">
        <f t="shared" si="18"/>
        <v>2.2032E-2</v>
      </c>
      <c r="AG60" s="407">
        <f t="shared" si="51"/>
        <v>3.4464085683474061E-2</v>
      </c>
      <c r="AH60" s="407">
        <f t="shared" si="52"/>
        <v>0</v>
      </c>
      <c r="AI60">
        <f t="shared" si="21"/>
        <v>0</v>
      </c>
      <c r="AJ60" s="408">
        <f t="shared" si="22"/>
        <v>0.45342649800000001</v>
      </c>
      <c r="AK60">
        <f t="shared" si="23"/>
        <v>4.8000000000000001E-2</v>
      </c>
      <c r="AL60" s="408">
        <f t="shared" si="24"/>
        <v>0.1215</v>
      </c>
      <c r="AM60" s="408">
        <f t="shared" si="25"/>
        <v>0.31645971316818772</v>
      </c>
      <c r="AN60" s="408">
        <f t="shared" si="42"/>
        <v>0.16949999999999998</v>
      </c>
      <c r="AO60" s="408">
        <f t="shared" si="53"/>
        <v>1.134531951475372</v>
      </c>
      <c r="AP60">
        <f t="shared" si="27"/>
        <v>7.8029999999999999</v>
      </c>
      <c r="AQ60" s="10">
        <f t="shared" si="43"/>
        <v>0.87305981588260639</v>
      </c>
      <c r="AR60" s="63">
        <f t="shared" si="54"/>
        <v>13.009487098242777</v>
      </c>
      <c r="AS60" s="63">
        <f t="shared" si="44"/>
        <v>1.723204284173703</v>
      </c>
      <c r="AT60" s="10"/>
      <c r="AU60">
        <f t="shared" si="45"/>
        <v>87.305981588260636</v>
      </c>
      <c r="BE60" s="28"/>
      <c r="BF60" s="29"/>
    </row>
    <row r="61" spans="1:60" x14ac:dyDescent="0.25">
      <c r="A61" s="34" t="s">
        <v>209</v>
      </c>
      <c r="B61" s="25" t="s">
        <v>201</v>
      </c>
      <c r="C61" s="34" t="s">
        <v>148</v>
      </c>
      <c r="D61" s="477" t="s">
        <v>391</v>
      </c>
      <c r="G61">
        <v>52</v>
      </c>
      <c r="H61">
        <f t="shared" si="0"/>
        <v>1.56</v>
      </c>
      <c r="I61" s="407">
        <f t="shared" si="1"/>
        <v>0.21321499999999996</v>
      </c>
      <c r="J61" s="408">
        <f t="shared" si="2"/>
        <v>1.8152087837837831</v>
      </c>
      <c r="K61" s="408">
        <f t="shared" si="31"/>
        <v>2.4676043918918915</v>
      </c>
      <c r="L61" s="408">
        <f t="shared" si="32"/>
        <v>0.65239560810810848</v>
      </c>
      <c r="M61" s="63">
        <f t="shared" si="3"/>
        <v>0</v>
      </c>
      <c r="N61" s="407">
        <f t="shared" si="46"/>
        <v>1.6456554653775954</v>
      </c>
      <c r="O61" s="407">
        <f t="shared" si="5"/>
        <v>1.3555593959375729E-2</v>
      </c>
      <c r="P61">
        <f t="shared" si="6"/>
        <v>0.2</v>
      </c>
      <c r="Q61" s="407">
        <f t="shared" si="34"/>
        <v>0.21355559395937573</v>
      </c>
      <c r="R61" s="9">
        <f t="shared" si="39"/>
        <v>0.52400563997647021</v>
      </c>
      <c r="S61" s="9">
        <f t="shared" si="7"/>
        <v>2.7458191072715012E-3</v>
      </c>
      <c r="T61" s="9">
        <f t="shared" si="40"/>
        <v>2.7458191072715012E-3</v>
      </c>
      <c r="U61" s="407">
        <f t="shared" si="47"/>
        <v>0.75988486371008157</v>
      </c>
      <c r="V61" s="409">
        <f t="shared" si="9"/>
        <v>1.1548500121913786E-3</v>
      </c>
      <c r="W61" s="407">
        <f t="shared" si="41"/>
        <v>1.1548500121913786E-3</v>
      </c>
      <c r="X61" s="407">
        <f t="shared" si="48"/>
        <v>0.75988486371008157</v>
      </c>
      <c r="Y61" s="407">
        <f t="shared" si="11"/>
        <v>3.4645500365741355E-3</v>
      </c>
      <c r="Z61" s="407">
        <f t="shared" si="12"/>
        <v>0.11491814578540421</v>
      </c>
      <c r="AA61" s="407">
        <f t="shared" si="13"/>
        <v>0.14400000000000002</v>
      </c>
      <c r="AB61" s="407">
        <f t="shared" si="14"/>
        <v>0</v>
      </c>
      <c r="AC61" s="407">
        <f t="shared" si="49"/>
        <v>0.26256462948131287</v>
      </c>
      <c r="AD61" s="407">
        <f t="shared" si="50"/>
        <v>1.4597112401538399</v>
      </c>
      <c r="AE61" s="407">
        <f t="shared" si="17"/>
        <v>1.2784541427788768E-2</v>
      </c>
      <c r="AF61" s="407">
        <f t="shared" si="18"/>
        <v>2.2464000000000001E-2</v>
      </c>
      <c r="AG61" s="407">
        <f t="shared" si="51"/>
        <v>3.5338899753370658E-2</v>
      </c>
      <c r="AH61" s="407">
        <f t="shared" si="52"/>
        <v>0</v>
      </c>
      <c r="AI61">
        <f t="shared" si="21"/>
        <v>0</v>
      </c>
      <c r="AJ61" s="408">
        <f t="shared" si="22"/>
        <v>0.45342309599999997</v>
      </c>
      <c r="AK61">
        <f t="shared" si="23"/>
        <v>4.8000000000000001E-2</v>
      </c>
      <c r="AL61" s="408">
        <f t="shared" si="24"/>
        <v>0.1215</v>
      </c>
      <c r="AM61" s="408">
        <f t="shared" si="25"/>
        <v>0.31645971316818772</v>
      </c>
      <c r="AN61" s="408">
        <f t="shared" si="42"/>
        <v>0.16949999999999998</v>
      </c>
      <c r="AO61" s="408">
        <f t="shared" si="53"/>
        <v>1.1382828883135221</v>
      </c>
      <c r="AP61">
        <f t="shared" si="27"/>
        <v>7.9559999999999995</v>
      </c>
      <c r="AQ61" s="10">
        <f t="shared" si="43"/>
        <v>0.87483533311062311</v>
      </c>
      <c r="AR61" s="63">
        <f t="shared" si="54"/>
        <v>13.128231474065643</v>
      </c>
      <c r="AS61" s="63">
        <f t="shared" si="44"/>
        <v>1.7669449876685328</v>
      </c>
      <c r="AT61" s="10"/>
      <c r="AU61">
        <f t="shared" si="45"/>
        <v>87.483533311062317</v>
      </c>
      <c r="BE61" s="28"/>
      <c r="BF61" s="29"/>
    </row>
    <row r="62" spans="1:60" x14ac:dyDescent="0.25">
      <c r="A62" s="33" t="s">
        <v>210</v>
      </c>
      <c r="B62" s="116">
        <v>20</v>
      </c>
      <c r="C62" s="417" t="s">
        <v>381</v>
      </c>
      <c r="D62" s="31" t="s">
        <v>184</v>
      </c>
      <c r="G62">
        <v>53</v>
      </c>
      <c r="H62">
        <f t="shared" si="0"/>
        <v>1.59</v>
      </c>
      <c r="I62" s="407">
        <f t="shared" si="1"/>
        <v>0.21322874999999999</v>
      </c>
      <c r="J62" s="408">
        <f t="shared" si="2"/>
        <v>1.8153258445945943</v>
      </c>
      <c r="K62" s="408">
        <f t="shared" si="31"/>
        <v>2.4976629222972972</v>
      </c>
      <c r="L62" s="408">
        <f t="shared" si="32"/>
        <v>0.68233707770270291</v>
      </c>
      <c r="M62" s="63">
        <f t="shared" si="3"/>
        <v>0</v>
      </c>
      <c r="N62" s="407">
        <f t="shared" si="46"/>
        <v>1.6741318128623435</v>
      </c>
      <c r="O62" s="407">
        <f t="shared" si="5"/>
        <v>1.4029314715563573E-2</v>
      </c>
      <c r="P62">
        <f t="shared" si="6"/>
        <v>0.2</v>
      </c>
      <c r="Q62" s="407">
        <f t="shared" si="34"/>
        <v>0.21402931471556358</v>
      </c>
      <c r="R62" s="9">
        <f t="shared" si="39"/>
        <v>0.52403943252178697</v>
      </c>
      <c r="S62" s="9">
        <f t="shared" si="7"/>
        <v>2.7461732683775652E-3</v>
      </c>
      <c r="T62" s="9">
        <f t="shared" si="40"/>
        <v>2.7461732683775652E-3</v>
      </c>
      <c r="U62" s="407">
        <f t="shared" si="47"/>
        <v>0.77305880255317982</v>
      </c>
      <c r="V62" s="409">
        <f t="shared" si="9"/>
        <v>1.1952398244099126E-3</v>
      </c>
      <c r="W62" s="407">
        <f t="shared" si="41"/>
        <v>1.1952398244099126E-3</v>
      </c>
      <c r="X62" s="407">
        <f t="shared" si="48"/>
        <v>0.77305880255317982</v>
      </c>
      <c r="Y62" s="407">
        <f t="shared" si="11"/>
        <v>3.5857194732297377E-3</v>
      </c>
      <c r="Z62" s="407">
        <f t="shared" si="12"/>
        <v>0.11716635168081203</v>
      </c>
      <c r="AA62" s="407">
        <f t="shared" si="13"/>
        <v>0.14400000000000002</v>
      </c>
      <c r="AB62" s="407">
        <f t="shared" si="14"/>
        <v>0</v>
      </c>
      <c r="AC62" s="407">
        <f t="shared" si="49"/>
        <v>0.26494207274394493</v>
      </c>
      <c r="AD62" s="407">
        <f t="shared" si="50"/>
        <v>1.4849570413425435</v>
      </c>
      <c r="AE62" s="407">
        <f t="shared" si="17"/>
        <v>1.3230584487796803E-2</v>
      </c>
      <c r="AF62" s="407">
        <f t="shared" si="18"/>
        <v>2.2896E-2</v>
      </c>
      <c r="AG62" s="407">
        <f t="shared" si="51"/>
        <v>3.6222433280571238E-2</v>
      </c>
      <c r="AH62" s="407">
        <f t="shared" si="52"/>
        <v>0</v>
      </c>
      <c r="AI62">
        <f t="shared" si="21"/>
        <v>0</v>
      </c>
      <c r="AJ62" s="408">
        <f t="shared" si="22"/>
        <v>0.45341969399999998</v>
      </c>
      <c r="AK62">
        <f t="shared" si="23"/>
        <v>4.8000000000000001E-2</v>
      </c>
      <c r="AL62" s="408">
        <f t="shared" si="24"/>
        <v>0.1215</v>
      </c>
      <c r="AM62" s="408">
        <f t="shared" si="25"/>
        <v>0.31645971316818772</v>
      </c>
      <c r="AN62" s="408">
        <f t="shared" si="42"/>
        <v>0.16949999999999998</v>
      </c>
      <c r="AO62" s="408">
        <f t="shared" si="53"/>
        <v>1.1420549278328673</v>
      </c>
      <c r="AP62">
        <f t="shared" si="27"/>
        <v>8.109</v>
      </c>
      <c r="AQ62" s="10">
        <f t="shared" si="43"/>
        <v>0.87654868155664456</v>
      </c>
      <c r="AR62" s="63">
        <f t="shared" si="54"/>
        <v>13.247103637197247</v>
      </c>
      <c r="AS62" s="63">
        <f t="shared" si="44"/>
        <v>1.8111216640285619</v>
      </c>
      <c r="AT62" s="10"/>
      <c r="AU62">
        <f t="shared" si="45"/>
        <v>87.65486815566446</v>
      </c>
      <c r="BE62" s="28"/>
      <c r="BF62" s="29"/>
    </row>
    <row r="63" spans="1:60" x14ac:dyDescent="0.25">
      <c r="A63" s="33" t="s">
        <v>210</v>
      </c>
      <c r="B63" s="116">
        <v>2</v>
      </c>
      <c r="C63" s="417" t="s">
        <v>278</v>
      </c>
      <c r="D63" s="31" t="s">
        <v>184</v>
      </c>
      <c r="G63">
        <v>54</v>
      </c>
      <c r="H63">
        <f t="shared" si="0"/>
        <v>1.62</v>
      </c>
      <c r="I63" s="407">
        <f t="shared" si="1"/>
        <v>0.21324249999999997</v>
      </c>
      <c r="J63" s="408">
        <f t="shared" si="2"/>
        <v>1.8154429054054049</v>
      </c>
      <c r="K63" s="408">
        <f t="shared" si="31"/>
        <v>2.5277214527027025</v>
      </c>
      <c r="L63" s="408">
        <f t="shared" si="32"/>
        <v>0.71227854729729767</v>
      </c>
      <c r="M63" s="63">
        <f t="shared" si="3"/>
        <v>0</v>
      </c>
      <c r="N63" s="407">
        <f t="shared" si="46"/>
        <v>1.7026604903010569</v>
      </c>
      <c r="O63" s="407">
        <f t="shared" si="5"/>
        <v>1.4512092254516988E-2</v>
      </c>
      <c r="P63">
        <f t="shared" si="6"/>
        <v>0.2</v>
      </c>
      <c r="Q63" s="407">
        <f t="shared" si="34"/>
        <v>0.21451209225451701</v>
      </c>
      <c r="R63" s="9">
        <f t="shared" si="39"/>
        <v>0.52407322506710341</v>
      </c>
      <c r="S63" s="9">
        <f t="shared" si="7"/>
        <v>2.7465274523223483E-3</v>
      </c>
      <c r="T63" s="9">
        <f t="shared" si="40"/>
        <v>2.7465274523223483E-3</v>
      </c>
      <c r="U63" s="407">
        <f t="shared" si="47"/>
        <v>0.7862577535548918</v>
      </c>
      <c r="V63" s="409">
        <f t="shared" si="9"/>
        <v>1.2364025100503699E-3</v>
      </c>
      <c r="W63" s="407">
        <f t="shared" si="41"/>
        <v>1.2364025100503699E-3</v>
      </c>
      <c r="X63" s="407">
        <f t="shared" si="48"/>
        <v>0.7862577535548918</v>
      </c>
      <c r="Y63" s="407">
        <f t="shared" si="11"/>
        <v>3.70920753015111E-3</v>
      </c>
      <c r="Z63" s="407">
        <f t="shared" si="12"/>
        <v>0.11941455757621984</v>
      </c>
      <c r="AA63" s="407">
        <f t="shared" si="13"/>
        <v>0.14400000000000002</v>
      </c>
      <c r="AB63" s="407">
        <f t="shared" si="14"/>
        <v>0</v>
      </c>
      <c r="AC63" s="407">
        <f t="shared" si="49"/>
        <v>0.26732207571761646</v>
      </c>
      <c r="AD63" s="407">
        <f t="shared" si="50"/>
        <v>1.5102488173168853</v>
      </c>
      <c r="AE63" s="407">
        <f t="shared" si="17"/>
        <v>1.3685108941242304E-2</v>
      </c>
      <c r="AF63" s="407">
        <f t="shared" si="18"/>
        <v>2.3328000000000002E-2</v>
      </c>
      <c r="AG63" s="407">
        <f t="shared" si="51"/>
        <v>3.7114692663727071E-2</v>
      </c>
      <c r="AH63" s="407">
        <f t="shared" si="52"/>
        <v>0</v>
      </c>
      <c r="AI63">
        <f t="shared" si="21"/>
        <v>0</v>
      </c>
      <c r="AJ63" s="408">
        <f t="shared" si="22"/>
        <v>0.453416292</v>
      </c>
      <c r="AK63">
        <f t="shared" si="23"/>
        <v>4.8000000000000001E-2</v>
      </c>
      <c r="AL63" s="408">
        <f t="shared" si="24"/>
        <v>0.1215</v>
      </c>
      <c r="AM63" s="408">
        <f t="shared" si="25"/>
        <v>0.31645971316818772</v>
      </c>
      <c r="AN63" s="408">
        <f t="shared" si="42"/>
        <v>0.16949999999999998</v>
      </c>
      <c r="AO63" s="408">
        <f t="shared" si="53"/>
        <v>1.1458480825982331</v>
      </c>
      <c r="AP63">
        <f t="shared" si="27"/>
        <v>8.2620000000000005</v>
      </c>
      <c r="AQ63" s="10">
        <f t="shared" si="43"/>
        <v>0.87820295645316415</v>
      </c>
      <c r="AR63" s="63">
        <f t="shared" si="54"/>
        <v>13.366103785880822</v>
      </c>
      <c r="AS63" s="63">
        <f t="shared" si="44"/>
        <v>1.8557346331863536</v>
      </c>
      <c r="AT63" s="10"/>
      <c r="AU63">
        <f t="shared" si="45"/>
        <v>87.820295645316421</v>
      </c>
      <c r="BE63" s="28"/>
      <c r="BF63" s="29"/>
    </row>
    <row r="64" spans="1:60" x14ac:dyDescent="0.25">
      <c r="A64" s="117"/>
      <c r="B64" s="40"/>
      <c r="G64">
        <v>55</v>
      </c>
      <c r="H64">
        <f t="shared" si="0"/>
        <v>1.6500000000000001</v>
      </c>
      <c r="I64" s="407">
        <f t="shared" si="1"/>
        <v>0.21325625000000001</v>
      </c>
      <c r="J64" s="408">
        <f t="shared" si="2"/>
        <v>1.8155599662162158</v>
      </c>
      <c r="K64" s="408">
        <f t="shared" si="31"/>
        <v>2.5577799831081078</v>
      </c>
      <c r="L64" s="408">
        <f t="shared" si="32"/>
        <v>0.74222001689189221</v>
      </c>
      <c r="M64" s="63">
        <f t="shared" si="3"/>
        <v>0</v>
      </c>
      <c r="N64" s="407">
        <f t="shared" si="46"/>
        <v>1.7312389106967836</v>
      </c>
      <c r="O64" s="407">
        <f t="shared" si="5"/>
        <v>1.5003928668531926E-2</v>
      </c>
      <c r="P64">
        <f t="shared" si="6"/>
        <v>0.2</v>
      </c>
      <c r="Q64" s="407">
        <f t="shared" si="34"/>
        <v>0.21500392866853194</v>
      </c>
      <c r="R64" s="9">
        <f t="shared" si="39"/>
        <v>0.52410701761242007</v>
      </c>
      <c r="S64" s="9">
        <f t="shared" si="7"/>
        <v>2.7468816591058559E-3</v>
      </c>
      <c r="T64" s="9">
        <f t="shared" si="40"/>
        <v>2.7468816591058559E-3</v>
      </c>
      <c r="U64" s="407">
        <f t="shared" si="47"/>
        <v>0.79948052434469552</v>
      </c>
      <c r="V64" s="409">
        <f t="shared" si="9"/>
        <v>1.2783382176129385E-3</v>
      </c>
      <c r="W64" s="407">
        <f t="shared" si="41"/>
        <v>1.2783382176129385E-3</v>
      </c>
      <c r="X64" s="407">
        <f t="shared" si="48"/>
        <v>0.79948052434469552</v>
      </c>
      <c r="Y64" s="407">
        <f t="shared" si="11"/>
        <v>3.8350146528388159E-3</v>
      </c>
      <c r="Z64" s="407">
        <f t="shared" si="12"/>
        <v>0.12166276347162766</v>
      </c>
      <c r="AA64" s="407">
        <f t="shared" si="13"/>
        <v>0.14400000000000002</v>
      </c>
      <c r="AB64" s="407">
        <f t="shared" si="14"/>
        <v>0</v>
      </c>
      <c r="AC64" s="407">
        <f t="shared" si="49"/>
        <v>0.26970464237555625</v>
      </c>
      <c r="AD64" s="407">
        <f t="shared" si="50"/>
        <v>1.535584272224783</v>
      </c>
      <c r="AE64" s="407">
        <f t="shared" si="17"/>
        <v>1.4148114342624699E-2</v>
      </c>
      <c r="AF64" s="407">
        <f t="shared" si="18"/>
        <v>2.3759999999999996E-2</v>
      </c>
      <c r="AG64" s="407">
        <f t="shared" si="51"/>
        <v>3.801568439254447E-2</v>
      </c>
      <c r="AH64" s="407">
        <f t="shared" si="52"/>
        <v>0</v>
      </c>
      <c r="AI64">
        <f t="shared" si="21"/>
        <v>0</v>
      </c>
      <c r="AJ64" s="408">
        <f t="shared" si="22"/>
        <v>0.45341289000000001</v>
      </c>
      <c r="AK64">
        <f t="shared" si="23"/>
        <v>4.8000000000000001E-2</v>
      </c>
      <c r="AL64" s="408">
        <f t="shared" si="24"/>
        <v>0.1215</v>
      </c>
      <c r="AM64" s="408">
        <f t="shared" si="25"/>
        <v>0.31645971316818772</v>
      </c>
      <c r="AN64" s="408">
        <f t="shared" si="42"/>
        <v>0.16949999999999998</v>
      </c>
      <c r="AO64" s="408">
        <f t="shared" si="53"/>
        <v>1.1496623653133513</v>
      </c>
      <c r="AP64">
        <f t="shared" si="27"/>
        <v>8.4150000000000009</v>
      </c>
      <c r="AQ64" s="10">
        <f t="shared" si="43"/>
        <v>0.87980105084705862</v>
      </c>
      <c r="AR64" s="63">
        <f t="shared" si="54"/>
        <v>13.485232118777812</v>
      </c>
      <c r="AS64" s="63">
        <f t="shared" si="44"/>
        <v>1.9007842196272235</v>
      </c>
      <c r="AT64" s="10"/>
      <c r="AU64">
        <f t="shared" si="45"/>
        <v>87.980105084705855</v>
      </c>
      <c r="BE64" s="28"/>
      <c r="BF64" s="29"/>
    </row>
    <row r="65" spans="1:58" x14ac:dyDescent="0.25">
      <c r="G65">
        <v>56</v>
      </c>
      <c r="H65">
        <f t="shared" si="0"/>
        <v>1.6800000000000002</v>
      </c>
      <c r="I65" s="407">
        <f t="shared" si="1"/>
        <v>0.21326999999999999</v>
      </c>
      <c r="J65" s="408">
        <f t="shared" si="2"/>
        <v>1.8156770270270268</v>
      </c>
      <c r="K65" s="408">
        <f t="shared" si="31"/>
        <v>2.5878385135135136</v>
      </c>
      <c r="L65" s="408">
        <f t="shared" si="32"/>
        <v>0.77216148648648675</v>
      </c>
      <c r="M65" s="63">
        <f t="shared" si="3"/>
        <v>0</v>
      </c>
      <c r="N65" s="407">
        <f t="shared" si="46"/>
        <v>1.7598646507253928</v>
      </c>
      <c r="O65" s="407">
        <f t="shared" si="5"/>
        <v>1.55048260894132E-2</v>
      </c>
      <c r="P65">
        <f t="shared" si="6"/>
        <v>0.2</v>
      </c>
      <c r="Q65" s="407">
        <f t="shared" si="34"/>
        <v>0.21550482608941321</v>
      </c>
      <c r="R65" s="9">
        <f t="shared" si="39"/>
        <v>0.52414081015773673</v>
      </c>
      <c r="S65" s="9">
        <f t="shared" si="7"/>
        <v>2.7472358887280861E-3</v>
      </c>
      <c r="T65" s="9">
        <f t="shared" si="40"/>
        <v>2.7472358887280861E-3</v>
      </c>
      <c r="U65" s="407">
        <f t="shared" si="47"/>
        <v>0.81272599798388623</v>
      </c>
      <c r="V65" s="409">
        <f t="shared" si="9"/>
        <v>1.3210470955978078E-3</v>
      </c>
      <c r="W65" s="407">
        <f t="shared" si="41"/>
        <v>1.3210470955978078E-3</v>
      </c>
      <c r="X65" s="407">
        <f t="shared" si="48"/>
        <v>0.81272599798388623</v>
      </c>
      <c r="Y65" s="407">
        <f t="shared" si="11"/>
        <v>3.9631412867934231E-3</v>
      </c>
      <c r="Z65" s="407">
        <f t="shared" si="12"/>
        <v>0.12391096936703545</v>
      </c>
      <c r="AA65" s="407">
        <f t="shared" si="13"/>
        <v>0.14400000000000002</v>
      </c>
      <c r="AB65" s="407">
        <f t="shared" si="14"/>
        <v>0</v>
      </c>
      <c r="AC65" s="407">
        <f t="shared" si="49"/>
        <v>0.27208977669937923</v>
      </c>
      <c r="AD65" s="407">
        <f t="shared" si="50"/>
        <v>1.560961255468535</v>
      </c>
      <c r="AE65" s="407">
        <f t="shared" si="17"/>
        <v>1.461960024644343E-2</v>
      </c>
      <c r="AF65" s="407">
        <f t="shared" si="18"/>
        <v>2.4192000000000002E-2</v>
      </c>
      <c r="AG65" s="407">
        <f t="shared" si="51"/>
        <v>3.892541504792895E-2</v>
      </c>
      <c r="AH65" s="407">
        <f t="shared" si="52"/>
        <v>0</v>
      </c>
      <c r="AI65">
        <f t="shared" si="21"/>
        <v>0</v>
      </c>
      <c r="AJ65" s="408">
        <f t="shared" si="22"/>
        <v>0.45340948800000003</v>
      </c>
      <c r="AK65">
        <f t="shared" si="23"/>
        <v>4.8000000000000001E-2</v>
      </c>
      <c r="AL65" s="408">
        <f t="shared" si="24"/>
        <v>0.1215</v>
      </c>
      <c r="AM65" s="408">
        <f t="shared" si="25"/>
        <v>0.31645971316818772</v>
      </c>
      <c r="AN65" s="408">
        <f t="shared" si="42"/>
        <v>0.16949999999999998</v>
      </c>
      <c r="AO65" s="408">
        <f t="shared" si="53"/>
        <v>1.1534977888210474</v>
      </c>
      <c r="AP65">
        <f t="shared" si="27"/>
        <v>8.5679999999999996</v>
      </c>
      <c r="AQ65" s="10">
        <f t="shared" si="43"/>
        <v>0.88134567184210255</v>
      </c>
      <c r="AR65" s="63">
        <f t="shared" si="54"/>
        <v>13.604488834968961</v>
      </c>
      <c r="AS65" s="63">
        <f t="shared" si="44"/>
        <v>1.9462707523964475</v>
      </c>
      <c r="AT65" s="10"/>
      <c r="AU65">
        <f t="shared" si="45"/>
        <v>88.134567184210255</v>
      </c>
      <c r="BE65" s="28"/>
      <c r="BF65" s="29"/>
    </row>
    <row r="66" spans="1:58" x14ac:dyDescent="0.25">
      <c r="A66" s="12" t="s">
        <v>149</v>
      </c>
      <c r="B66" s="41"/>
      <c r="C66" s="41"/>
      <c r="G66">
        <v>57</v>
      </c>
      <c r="H66">
        <f t="shared" si="0"/>
        <v>1.71</v>
      </c>
      <c r="I66" s="407">
        <f t="shared" si="1"/>
        <v>0.21328374999999997</v>
      </c>
      <c r="J66" s="408">
        <f t="shared" si="2"/>
        <v>1.8157940878378374</v>
      </c>
      <c r="K66" s="408">
        <f t="shared" si="31"/>
        <v>2.6178970439189184</v>
      </c>
      <c r="L66" s="408">
        <f t="shared" si="32"/>
        <v>0.80210295608108129</v>
      </c>
      <c r="M66" s="63">
        <f t="shared" si="3"/>
        <v>0</v>
      </c>
      <c r="N66" s="407">
        <f t="shared" si="46"/>
        <v>1.7885354383178722</v>
      </c>
      <c r="O66" s="407">
        <f t="shared" si="5"/>
        <v>1.6014786688497592E-2</v>
      </c>
      <c r="P66">
        <f t="shared" si="6"/>
        <v>0.2</v>
      </c>
      <c r="Q66" s="407">
        <f t="shared" si="34"/>
        <v>0.21601478668849761</v>
      </c>
      <c r="R66" s="9">
        <f t="shared" si="39"/>
        <v>0.52417460270305316</v>
      </c>
      <c r="S66" s="9">
        <f t="shared" si="7"/>
        <v>2.7475901411890364E-3</v>
      </c>
      <c r="T66" s="9">
        <f t="shared" si="40"/>
        <v>2.7475901411890364E-3</v>
      </c>
      <c r="U66" s="407">
        <f t="shared" si="47"/>
        <v>0.82599312724294649</v>
      </c>
      <c r="V66" s="409">
        <f t="shared" si="9"/>
        <v>1.3645292925051648E-3</v>
      </c>
      <c r="W66" s="407">
        <f t="shared" si="41"/>
        <v>1.3645292925051648E-3</v>
      </c>
      <c r="X66" s="407">
        <f t="shared" si="48"/>
        <v>0.82599312724294649</v>
      </c>
      <c r="Y66" s="407">
        <f t="shared" si="11"/>
        <v>4.0935878775154944E-3</v>
      </c>
      <c r="Z66" s="407">
        <f t="shared" si="12"/>
        <v>0.12615917526244325</v>
      </c>
      <c r="AA66" s="407">
        <f t="shared" si="13"/>
        <v>0.14400000000000002</v>
      </c>
      <c r="AB66" s="407">
        <f t="shared" si="14"/>
        <v>0</v>
      </c>
      <c r="AC66" s="407">
        <f t="shared" si="49"/>
        <v>0.27447748267910799</v>
      </c>
      <c r="AD66" s="407">
        <f t="shared" si="50"/>
        <v>1.5863777506843446</v>
      </c>
      <c r="AE66" s="407">
        <f t="shared" si="17"/>
        <v>1.5099566207197924E-2</v>
      </c>
      <c r="AF66" s="407">
        <f t="shared" si="18"/>
        <v>2.4624E-2</v>
      </c>
      <c r="AG66" s="407">
        <f t="shared" si="51"/>
        <v>3.9843891302131715E-2</v>
      </c>
      <c r="AH66" s="407">
        <f t="shared" si="52"/>
        <v>0</v>
      </c>
      <c r="AI66">
        <f t="shared" si="21"/>
        <v>0</v>
      </c>
      <c r="AJ66" s="408">
        <f t="shared" si="22"/>
        <v>0.45340608600000004</v>
      </c>
      <c r="AK66">
        <f t="shared" si="23"/>
        <v>4.8000000000000001E-2</v>
      </c>
      <c r="AL66" s="408">
        <f t="shared" si="24"/>
        <v>0.1215</v>
      </c>
      <c r="AM66" s="408">
        <f t="shared" si="25"/>
        <v>0.31645971316818772</v>
      </c>
      <c r="AN66" s="408">
        <f t="shared" si="42"/>
        <v>0.16949999999999998</v>
      </c>
      <c r="AO66" s="408">
        <f t="shared" si="53"/>
        <v>1.1573543661034316</v>
      </c>
      <c r="AP66">
        <f t="shared" si="27"/>
        <v>8.7210000000000001</v>
      </c>
      <c r="AQ66" s="10">
        <f t="shared" si="43"/>
        <v>0.88283935530043589</v>
      </c>
      <c r="AR66" s="63">
        <f t="shared" si="54"/>
        <v>13.7238741339554</v>
      </c>
      <c r="AS66" s="63">
        <f t="shared" si="44"/>
        <v>1.9921945651065858</v>
      </c>
      <c r="AT66" s="10"/>
      <c r="AU66">
        <f t="shared" si="45"/>
        <v>88.283935530043593</v>
      </c>
      <c r="BE66" s="28"/>
      <c r="BF66" s="29"/>
    </row>
    <row r="67" spans="1:58" x14ac:dyDescent="0.25">
      <c r="A67" s="24" t="s">
        <v>125</v>
      </c>
      <c r="B67" s="25" t="s">
        <v>8</v>
      </c>
      <c r="C67" s="25" t="s">
        <v>148</v>
      </c>
      <c r="G67">
        <v>58</v>
      </c>
      <c r="H67">
        <f t="shared" si="0"/>
        <v>1.7399999999999998</v>
      </c>
      <c r="I67" s="407">
        <f t="shared" si="1"/>
        <v>0.2132975</v>
      </c>
      <c r="J67" s="408">
        <f t="shared" si="2"/>
        <v>1.8159111486486481</v>
      </c>
      <c r="K67" s="408">
        <f t="shared" si="31"/>
        <v>2.6479555743243237</v>
      </c>
      <c r="L67" s="408">
        <f t="shared" si="32"/>
        <v>0.83204442567567571</v>
      </c>
      <c r="M67" s="63">
        <f t="shared" si="3"/>
        <v>0</v>
      </c>
      <c r="N67" s="407">
        <f t="shared" si="46"/>
        <v>1.817249141325666</v>
      </c>
      <c r="O67" s="407">
        <f t="shared" si="5"/>
        <v>1.6533812676677442E-2</v>
      </c>
      <c r="P67">
        <f t="shared" si="6"/>
        <v>0.2</v>
      </c>
      <c r="Q67" s="407">
        <f t="shared" si="34"/>
        <v>0.21653381267667746</v>
      </c>
      <c r="R67" s="9">
        <f t="shared" si="39"/>
        <v>0.52420839524836982</v>
      </c>
      <c r="S67" s="9">
        <f t="shared" si="7"/>
        <v>2.7479444164887111E-3</v>
      </c>
      <c r="T67" s="9">
        <f t="shared" si="40"/>
        <v>2.7479444164887111E-3</v>
      </c>
      <c r="U67" s="407">
        <f t="shared" si="47"/>
        <v>0.83928092937800025</v>
      </c>
      <c r="V67" s="409">
        <f t="shared" si="9"/>
        <v>1.4087849568351998E-3</v>
      </c>
      <c r="W67" s="407">
        <f t="shared" si="41"/>
        <v>1.4087849568351998E-3</v>
      </c>
      <c r="X67" s="407">
        <f t="shared" si="48"/>
        <v>0.83928092937800025</v>
      </c>
      <c r="Y67" s="407">
        <f t="shared" si="11"/>
        <v>4.2263548705055998E-3</v>
      </c>
      <c r="Z67" s="407">
        <f t="shared" si="12"/>
        <v>0.12840738115785102</v>
      </c>
      <c r="AA67" s="407">
        <f t="shared" si="13"/>
        <v>0.14400000000000002</v>
      </c>
      <c r="AB67" s="407">
        <f t="shared" si="14"/>
        <v>0</v>
      </c>
      <c r="AC67" s="407">
        <f t="shared" si="49"/>
        <v>0.27686776431319482</v>
      </c>
      <c r="AD67" s="407">
        <f t="shared" si="50"/>
        <v>1.6118318656830402</v>
      </c>
      <c r="AE67" s="407">
        <f t="shared" si="17"/>
        <v>1.5588011779387619E-2</v>
      </c>
      <c r="AF67" s="407">
        <f t="shared" si="18"/>
        <v>2.5055999999999995E-2</v>
      </c>
      <c r="AG67" s="407">
        <f t="shared" si="51"/>
        <v>4.0771119918898542E-2</v>
      </c>
      <c r="AH67" s="407">
        <f t="shared" si="52"/>
        <v>0</v>
      </c>
      <c r="AI67">
        <f t="shared" si="21"/>
        <v>0</v>
      </c>
      <c r="AJ67" s="408">
        <f t="shared" si="22"/>
        <v>0.453402684</v>
      </c>
      <c r="AK67">
        <f t="shared" si="23"/>
        <v>4.8000000000000001E-2</v>
      </c>
      <c r="AL67" s="408">
        <f t="shared" si="24"/>
        <v>0.1215</v>
      </c>
      <c r="AM67" s="408">
        <f t="shared" si="25"/>
        <v>0.31645971316818772</v>
      </c>
      <c r="AN67" s="408">
        <f t="shared" si="42"/>
        <v>0.16949999999999998</v>
      </c>
      <c r="AO67" s="408">
        <f t="shared" si="53"/>
        <v>1.1612321102820946</v>
      </c>
      <c r="AP67">
        <f t="shared" si="27"/>
        <v>8.8739999999999988</v>
      </c>
      <c r="AQ67" s="10">
        <f t="shared" si="43"/>
        <v>0.88428447917091058</v>
      </c>
      <c r="AR67" s="63">
        <f t="shared" si="54"/>
        <v>13.843388215659742</v>
      </c>
      <c r="AS67" s="63">
        <f t="shared" si="44"/>
        <v>2.0385559959449271</v>
      </c>
      <c r="AT67" s="10"/>
      <c r="AU67">
        <f t="shared" si="45"/>
        <v>88.428447917091063</v>
      </c>
      <c r="BE67" s="28"/>
      <c r="BF67" s="29"/>
    </row>
    <row r="68" spans="1:58" x14ac:dyDescent="0.25">
      <c r="A68" s="42" t="s">
        <v>386</v>
      </c>
      <c r="B68" s="410">
        <f>I109</f>
        <v>0.21387499999999995</v>
      </c>
      <c r="C68" s="31" t="s">
        <v>23</v>
      </c>
      <c r="G68">
        <v>59</v>
      </c>
      <c r="H68">
        <f t="shared" si="0"/>
        <v>1.77</v>
      </c>
      <c r="I68" s="407">
        <f t="shared" si="1"/>
        <v>0.21331124999999998</v>
      </c>
      <c r="J68" s="408">
        <f t="shared" si="2"/>
        <v>1.8160282094594591</v>
      </c>
      <c r="K68" s="408">
        <f t="shared" si="31"/>
        <v>2.6780141047297294</v>
      </c>
      <c r="L68" s="408">
        <f t="shared" si="32"/>
        <v>0.86198589527027047</v>
      </c>
      <c r="M68" s="63">
        <f t="shared" si="3"/>
        <v>0</v>
      </c>
      <c r="N68" s="407">
        <f t="shared" si="46"/>
        <v>1.846003757163758</v>
      </c>
      <c r="O68" s="407">
        <f t="shared" si="5"/>
        <v>1.7061906304424626E-2</v>
      </c>
      <c r="P68">
        <f t="shared" si="6"/>
        <v>0.2</v>
      </c>
      <c r="Q68" s="407">
        <f t="shared" si="34"/>
        <v>0.21706190630442462</v>
      </c>
      <c r="R68" s="9">
        <f t="shared" si="39"/>
        <v>0.52424218779368648</v>
      </c>
      <c r="S68" s="9">
        <f t="shared" si="7"/>
        <v>2.7482987146271081E-3</v>
      </c>
      <c r="T68" s="9">
        <f t="shared" si="40"/>
        <v>2.7482987146271081E-3</v>
      </c>
      <c r="U68" s="407">
        <f t="shared" si="47"/>
        <v>0.85258848135782961</v>
      </c>
      <c r="V68" s="409">
        <f t="shared" si="9"/>
        <v>1.4538142370881006E-3</v>
      </c>
      <c r="W68" s="407">
        <f t="shared" si="41"/>
        <v>1.4538142370881006E-3</v>
      </c>
      <c r="X68" s="407">
        <f t="shared" si="48"/>
        <v>0.85258848135782961</v>
      </c>
      <c r="Y68" s="407">
        <f t="shared" si="11"/>
        <v>4.361442711264301E-3</v>
      </c>
      <c r="Z68" s="407">
        <f t="shared" si="12"/>
        <v>0.13065558705325886</v>
      </c>
      <c r="AA68" s="407">
        <f t="shared" si="13"/>
        <v>0.14400000000000002</v>
      </c>
      <c r="AB68" s="407">
        <f t="shared" si="14"/>
        <v>0</v>
      </c>
      <c r="AC68" s="407">
        <f t="shared" si="49"/>
        <v>0.27926062560854387</v>
      </c>
      <c r="AD68" s="407">
        <f t="shared" si="50"/>
        <v>1.6373218232585371</v>
      </c>
      <c r="AE68" s="407">
        <f t="shared" si="17"/>
        <v>1.6084936517511961E-2</v>
      </c>
      <c r="AF68" s="407">
        <f t="shared" si="18"/>
        <v>2.5488E-2</v>
      </c>
      <c r="AG68" s="407">
        <f t="shared" si="51"/>
        <v>4.1707107753621166E-2</v>
      </c>
      <c r="AH68" s="407">
        <f t="shared" si="52"/>
        <v>0</v>
      </c>
      <c r="AI68">
        <f t="shared" si="21"/>
        <v>0</v>
      </c>
      <c r="AJ68" s="408">
        <f t="shared" si="22"/>
        <v>0.45339928200000001</v>
      </c>
      <c r="AK68">
        <f t="shared" si="23"/>
        <v>4.8000000000000001E-2</v>
      </c>
      <c r="AL68" s="408">
        <f t="shared" si="24"/>
        <v>0.1215</v>
      </c>
      <c r="AM68" s="408">
        <f t="shared" si="25"/>
        <v>0.31645971316818772</v>
      </c>
      <c r="AN68" s="408">
        <f t="shared" si="42"/>
        <v>0.16949999999999998</v>
      </c>
      <c r="AO68" s="408">
        <f t="shared" si="53"/>
        <v>1.1651310346183048</v>
      </c>
      <c r="AP68">
        <f t="shared" si="27"/>
        <v>9.0269999999999992</v>
      </c>
      <c r="AQ68" s="10">
        <f t="shared" si="43"/>
        <v>0.88568327559164473</v>
      </c>
      <c r="AR68" s="63">
        <f t="shared" si="54"/>
        <v>13.963031280427193</v>
      </c>
      <c r="AS68" s="63">
        <f t="shared" si="44"/>
        <v>2.0853553876810582</v>
      </c>
      <c r="AT68" s="10"/>
      <c r="AU68">
        <f t="shared" si="45"/>
        <v>88.568327559164473</v>
      </c>
      <c r="BE68" s="28"/>
      <c r="BF68" s="29"/>
    </row>
    <row r="69" spans="1:58" x14ac:dyDescent="0.25">
      <c r="A69" s="33" t="s">
        <v>151</v>
      </c>
      <c r="B69" s="410">
        <f>1-B68</f>
        <v>0.78612500000000007</v>
      </c>
      <c r="C69" s="31" t="s">
        <v>23</v>
      </c>
      <c r="G69">
        <v>60</v>
      </c>
      <c r="H69">
        <f t="shared" si="0"/>
        <v>1.7999999999999998</v>
      </c>
      <c r="I69" s="407">
        <f t="shared" si="1"/>
        <v>0.21332499999999999</v>
      </c>
      <c r="J69" s="408">
        <f t="shared" si="2"/>
        <v>1.8161452702702701</v>
      </c>
      <c r="K69" s="408">
        <f t="shared" si="31"/>
        <v>2.7080726351351347</v>
      </c>
      <c r="L69" s="408">
        <f t="shared" si="32"/>
        <v>0.89192736486486479</v>
      </c>
      <c r="M69" s="63">
        <f t="shared" si="3"/>
        <v>0</v>
      </c>
      <c r="N69" s="407">
        <f t="shared" si="46"/>
        <v>1.8747974033373371</v>
      </c>
      <c r="O69" s="407">
        <f t="shared" si="5"/>
        <v>1.7599069861815003E-2</v>
      </c>
      <c r="P69">
        <f t="shared" si="6"/>
        <v>0.2</v>
      </c>
      <c r="Q69" s="407">
        <f t="shared" si="34"/>
        <v>0.21759906986181501</v>
      </c>
      <c r="R69" s="9">
        <f t="shared" si="39"/>
        <v>0.52427598033900302</v>
      </c>
      <c r="S69" s="9">
        <f t="shared" si="7"/>
        <v>2.7486530356042268E-3</v>
      </c>
      <c r="T69" s="9">
        <f t="shared" si="40"/>
        <v>2.7486530356042268E-3</v>
      </c>
      <c r="U69" s="407">
        <f t="shared" si="47"/>
        <v>0.86591491549806843</v>
      </c>
      <c r="V69" s="409">
        <f t="shared" si="9"/>
        <v>1.4996172817640541E-3</v>
      </c>
      <c r="W69" s="407">
        <f t="shared" si="41"/>
        <v>1.4996172817640541E-3</v>
      </c>
      <c r="X69" s="407">
        <f t="shared" si="48"/>
        <v>0.86591491549806843</v>
      </c>
      <c r="Y69" s="407">
        <f t="shared" si="11"/>
        <v>4.4988518452921625E-3</v>
      </c>
      <c r="Z69" s="407">
        <f t="shared" si="12"/>
        <v>0.13290379294866667</v>
      </c>
      <c r="AA69" s="407">
        <f t="shared" si="13"/>
        <v>0.14400000000000002</v>
      </c>
      <c r="AB69" s="407">
        <f t="shared" si="14"/>
        <v>0</v>
      </c>
      <c r="AC69" s="407">
        <f t="shared" si="49"/>
        <v>0.2816560705805326</v>
      </c>
      <c r="AD69" s="407">
        <f t="shared" si="50"/>
        <v>1.6628459527804718</v>
      </c>
      <c r="AE69" s="407">
        <f t="shared" si="17"/>
        <v>1.6590339976070369E-2</v>
      </c>
      <c r="AF69" s="407">
        <f t="shared" si="18"/>
        <v>2.5919999999999995E-2</v>
      </c>
      <c r="AG69" s="407">
        <f t="shared" si="51"/>
        <v>4.2651861753490915E-2</v>
      </c>
      <c r="AH69" s="407">
        <f t="shared" si="52"/>
        <v>0</v>
      </c>
      <c r="AI69">
        <f t="shared" si="21"/>
        <v>0</v>
      </c>
      <c r="AJ69" s="408">
        <f t="shared" si="22"/>
        <v>0.45339588000000003</v>
      </c>
      <c r="AK69">
        <f t="shared" si="23"/>
        <v>4.8000000000000001E-2</v>
      </c>
      <c r="AL69" s="408">
        <f t="shared" si="24"/>
        <v>0.1215</v>
      </c>
      <c r="AM69" s="408">
        <f t="shared" si="25"/>
        <v>0.31645971316818772</v>
      </c>
      <c r="AN69" s="408">
        <f t="shared" si="42"/>
        <v>0.16949999999999998</v>
      </c>
      <c r="AO69" s="408">
        <f t="shared" si="53"/>
        <v>1.169051152513207</v>
      </c>
      <c r="AP69">
        <f t="shared" si="27"/>
        <v>9.1799999999999979</v>
      </c>
      <c r="AQ69" s="10">
        <f t="shared" si="43"/>
        <v>0.88703784189632595</v>
      </c>
      <c r="AR69" s="63">
        <f t="shared" si="54"/>
        <v>14.082803529026631</v>
      </c>
      <c r="AS69" s="63">
        <f t="shared" si="44"/>
        <v>2.1325930876745458</v>
      </c>
      <c r="AT69" s="10"/>
      <c r="AU69">
        <f t="shared" si="45"/>
        <v>88.7037841896326</v>
      </c>
      <c r="BE69" s="28"/>
      <c r="BF69" s="29"/>
    </row>
    <row r="70" spans="1:58" x14ac:dyDescent="0.25">
      <c r="A70" s="43" t="s">
        <v>387</v>
      </c>
      <c r="B70" s="410">
        <f>Ipp</f>
        <v>0.78612500000000007</v>
      </c>
      <c r="C70" s="31" t="s">
        <v>2</v>
      </c>
      <c r="G70">
        <v>61</v>
      </c>
      <c r="H70">
        <f t="shared" si="0"/>
        <v>1.83</v>
      </c>
      <c r="I70" s="407">
        <f t="shared" si="1"/>
        <v>0.21333874999999999</v>
      </c>
      <c r="J70" s="408">
        <f t="shared" si="2"/>
        <v>1.816262331081081</v>
      </c>
      <c r="K70" s="408">
        <f t="shared" si="31"/>
        <v>2.7381311655405405</v>
      </c>
      <c r="L70" s="408">
        <f t="shared" si="32"/>
        <v>0.92186883445945955</v>
      </c>
      <c r="M70" s="63">
        <f t="shared" si="3"/>
        <v>0</v>
      </c>
      <c r="N70" s="407">
        <f t="shared" si="46"/>
        <v>1.9036283087677612</v>
      </c>
      <c r="O70" s="407">
        <f t="shared" si="5"/>
        <v>1.8145305678553283E-2</v>
      </c>
      <c r="P70">
        <f t="shared" si="6"/>
        <v>0.2</v>
      </c>
      <c r="Q70" s="407">
        <f t="shared" si="34"/>
        <v>0.21814530567855328</v>
      </c>
      <c r="R70" s="9">
        <f t="shared" si="39"/>
        <v>0.52430977288431968</v>
      </c>
      <c r="S70" s="9">
        <f t="shared" si="7"/>
        <v>2.7490073794200686E-3</v>
      </c>
      <c r="T70" s="9">
        <f t="shared" si="40"/>
        <v>2.7490073794200686E-3</v>
      </c>
      <c r="U70" s="407">
        <f t="shared" si="47"/>
        <v>0.87925941546373299</v>
      </c>
      <c r="V70" s="409">
        <f t="shared" si="9"/>
        <v>1.5461942393632509E-3</v>
      </c>
      <c r="W70" s="407">
        <f t="shared" si="41"/>
        <v>1.5461942393632509E-3</v>
      </c>
      <c r="X70" s="407">
        <f t="shared" si="48"/>
        <v>0.87925941546373299</v>
      </c>
      <c r="Y70" s="407">
        <f t="shared" si="11"/>
        <v>4.6385827180897531E-3</v>
      </c>
      <c r="Z70" s="407">
        <f t="shared" si="12"/>
        <v>0.13515199884407447</v>
      </c>
      <c r="AA70" s="407">
        <f t="shared" si="13"/>
        <v>0.14400000000000002</v>
      </c>
      <c r="AB70" s="407">
        <f t="shared" si="14"/>
        <v>0</v>
      </c>
      <c r="AC70" s="407">
        <f t="shared" si="49"/>
        <v>0.28405410325303465</v>
      </c>
      <c r="AD70" s="407">
        <f t="shared" si="50"/>
        <v>1.6884026824962053</v>
      </c>
      <c r="AE70" s="407">
        <f t="shared" si="17"/>
        <v>1.710422170956229E-2</v>
      </c>
      <c r="AF70" s="407">
        <f t="shared" si="18"/>
        <v>2.6352E-2</v>
      </c>
      <c r="AG70" s="407">
        <f t="shared" si="51"/>
        <v>4.3605388957654971E-2</v>
      </c>
      <c r="AH70" s="407">
        <f t="shared" si="52"/>
        <v>0</v>
      </c>
      <c r="AI70">
        <f t="shared" si="21"/>
        <v>0</v>
      </c>
      <c r="AJ70" s="408">
        <f t="shared" si="22"/>
        <v>0.45339247799999999</v>
      </c>
      <c r="AK70">
        <f t="shared" si="23"/>
        <v>4.8000000000000001E-2</v>
      </c>
      <c r="AL70" s="408">
        <f t="shared" si="24"/>
        <v>0.1215</v>
      </c>
      <c r="AM70" s="408">
        <f t="shared" si="25"/>
        <v>0.31645971316818772</v>
      </c>
      <c r="AN70" s="408">
        <f t="shared" si="42"/>
        <v>0.16949999999999998</v>
      </c>
      <c r="AO70" s="408">
        <f t="shared" si="53"/>
        <v>1.172992477508026</v>
      </c>
      <c r="AP70">
        <f t="shared" si="27"/>
        <v>9.3330000000000002</v>
      </c>
      <c r="AQ70" s="10">
        <f t="shared" si="43"/>
        <v>0.88835015063838552</v>
      </c>
      <c r="AR70" s="63">
        <f t="shared" si="54"/>
        <v>14.202705162651732</v>
      </c>
      <c r="AS70" s="63">
        <f t="shared" si="44"/>
        <v>2.1802694478827487</v>
      </c>
      <c r="AT70" s="10"/>
      <c r="AU70">
        <f t="shared" si="45"/>
        <v>88.835015063838554</v>
      </c>
      <c r="BE70" s="28"/>
      <c r="BF70" s="29"/>
    </row>
    <row r="71" spans="1:58" x14ac:dyDescent="0.25">
      <c r="A71" s="24" t="s">
        <v>129</v>
      </c>
      <c r="B71" s="25" t="s">
        <v>8</v>
      </c>
      <c r="C71" s="27" t="s">
        <v>148</v>
      </c>
      <c r="G71">
        <v>62</v>
      </c>
      <c r="H71">
        <f t="shared" si="0"/>
        <v>1.8599999999999999</v>
      </c>
      <c r="I71" s="407">
        <f t="shared" si="1"/>
        <v>0.21335249999999997</v>
      </c>
      <c r="J71" s="408">
        <f t="shared" si="2"/>
        <v>1.8163793918918913</v>
      </c>
      <c r="K71" s="408">
        <f t="shared" si="31"/>
        <v>2.7681896959459458</v>
      </c>
      <c r="L71" s="408">
        <f t="shared" si="32"/>
        <v>0.9518103040540542</v>
      </c>
      <c r="M71" s="63">
        <f t="shared" si="3"/>
        <v>0</v>
      </c>
      <c r="N71" s="407">
        <f t="shared" si="46"/>
        <v>1.9324948058422984</v>
      </c>
      <c r="O71" s="407">
        <f t="shared" si="5"/>
        <v>1.8700616123998322E-2</v>
      </c>
      <c r="P71">
        <f t="shared" si="6"/>
        <v>0.2</v>
      </c>
      <c r="Q71" s="407">
        <f t="shared" si="34"/>
        <v>0.21870061612399833</v>
      </c>
      <c r="R71" s="9">
        <f t="shared" si="39"/>
        <v>0.52434356542963612</v>
      </c>
      <c r="S71" s="9">
        <f t="shared" si="7"/>
        <v>2.749361746074631E-3</v>
      </c>
      <c r="T71" s="9">
        <f t="shared" si="40"/>
        <v>2.749361746074631E-3</v>
      </c>
      <c r="U71" s="407">
        <f t="shared" si="47"/>
        <v>0.89262121260529015</v>
      </c>
      <c r="V71" s="409">
        <f t="shared" si="9"/>
        <v>1.5935452583858772E-3</v>
      </c>
      <c r="W71" s="407">
        <f t="shared" si="41"/>
        <v>1.5935452583858772E-3</v>
      </c>
      <c r="X71" s="407">
        <f t="shared" si="48"/>
        <v>0.89262121260529015</v>
      </c>
      <c r="Y71" s="407">
        <f t="shared" si="11"/>
        <v>4.7806357751576318E-3</v>
      </c>
      <c r="Z71" s="407">
        <f t="shared" si="12"/>
        <v>0.13740020473948228</v>
      </c>
      <c r="AA71" s="407">
        <f t="shared" si="13"/>
        <v>0.14400000000000002</v>
      </c>
      <c r="AB71" s="407">
        <f t="shared" si="14"/>
        <v>0</v>
      </c>
      <c r="AC71" s="407">
        <f t="shared" si="49"/>
        <v>0.28645472765844132</v>
      </c>
      <c r="AD71" s="407">
        <f t="shared" si="50"/>
        <v>1.7139905324751723</v>
      </c>
      <c r="AE71" s="407">
        <f t="shared" si="17"/>
        <v>1.7626581272487146E-2</v>
      </c>
      <c r="AF71" s="407">
        <f t="shared" si="18"/>
        <v>2.6783999999999999E-2</v>
      </c>
      <c r="AG71" s="407">
        <f t="shared" si="51"/>
        <v>4.4567696497374854E-2</v>
      </c>
      <c r="AH71" s="407">
        <f t="shared" si="52"/>
        <v>0</v>
      </c>
      <c r="AI71">
        <f t="shared" si="21"/>
        <v>0</v>
      </c>
      <c r="AJ71" s="408">
        <f t="shared" si="22"/>
        <v>0.453389076</v>
      </c>
      <c r="AK71">
        <f t="shared" si="23"/>
        <v>4.8000000000000001E-2</v>
      </c>
      <c r="AL71" s="408">
        <f t="shared" si="24"/>
        <v>0.1215</v>
      </c>
      <c r="AM71" s="408">
        <f t="shared" si="25"/>
        <v>0.31645971316818772</v>
      </c>
      <c r="AN71" s="408">
        <f t="shared" si="42"/>
        <v>0.16949999999999998</v>
      </c>
      <c r="AO71" s="408">
        <f t="shared" si="53"/>
        <v>1.1769550232842749</v>
      </c>
      <c r="AP71">
        <f t="shared" si="27"/>
        <v>9.4859999999999989</v>
      </c>
      <c r="AQ71" s="10">
        <f t="shared" si="43"/>
        <v>0.8896220587337933</v>
      </c>
      <c r="AR71" s="63">
        <f t="shared" si="54"/>
        <v>14.322736382922066</v>
      </c>
      <c r="AS71" s="63">
        <f t="shared" si="44"/>
        <v>2.2283848248687428</v>
      </c>
      <c r="AT71" s="10"/>
      <c r="AU71">
        <f t="shared" si="45"/>
        <v>88.962205873379332</v>
      </c>
      <c r="BE71" s="28"/>
      <c r="BF71" s="29"/>
    </row>
    <row r="72" spans="1:58" x14ac:dyDescent="0.25">
      <c r="A72" s="42" t="s">
        <v>166</v>
      </c>
      <c r="B72" s="410">
        <f>(QgdTop+QgsTop/2)*(RdsonDRT+RGateTop)/(Vdd-VspTop)*1000000000</f>
        <v>10.714285714285715</v>
      </c>
      <c r="C72" s="31" t="s">
        <v>147</v>
      </c>
      <c r="G72">
        <v>63</v>
      </c>
      <c r="H72">
        <f t="shared" si="0"/>
        <v>1.8900000000000001</v>
      </c>
      <c r="I72" s="407">
        <f t="shared" si="1"/>
        <v>0.21336624999999998</v>
      </c>
      <c r="J72" s="408">
        <f t="shared" si="2"/>
        <v>1.8164964527027023</v>
      </c>
      <c r="K72" s="408">
        <f t="shared" si="31"/>
        <v>2.7982482263513511</v>
      </c>
      <c r="L72" s="408">
        <f t="shared" si="32"/>
        <v>0.98175177364864896</v>
      </c>
      <c r="M72" s="63">
        <f t="shared" si="3"/>
        <v>0</v>
      </c>
      <c r="N72" s="407">
        <f t="shared" si="46"/>
        <v>1.9613953231199446</v>
      </c>
      <c r="O72" s="407">
        <f t="shared" si="5"/>
        <v>1.9265003607188875E-2</v>
      </c>
      <c r="P72">
        <f t="shared" si="6"/>
        <v>0.2</v>
      </c>
      <c r="Q72" s="407">
        <f t="shared" si="34"/>
        <v>0.2192650036071889</v>
      </c>
      <c r="R72" s="9">
        <f t="shared" si="39"/>
        <v>0.52437735797495277</v>
      </c>
      <c r="S72" s="9">
        <f t="shared" si="7"/>
        <v>2.7497161355679177E-3</v>
      </c>
      <c r="T72" s="9">
        <f t="shared" si="40"/>
        <v>2.7497161355679177E-3</v>
      </c>
      <c r="U72" s="407">
        <f t="shared" si="47"/>
        <v>0.90599958259706814</v>
      </c>
      <c r="V72" s="409">
        <f t="shared" si="9"/>
        <v>1.6416704873321235E-3</v>
      </c>
      <c r="W72" s="407">
        <f t="shared" si="41"/>
        <v>1.6416704873321235E-3</v>
      </c>
      <c r="X72" s="407">
        <f t="shared" si="48"/>
        <v>0.90599958259706814</v>
      </c>
      <c r="Y72" s="407">
        <f t="shared" si="11"/>
        <v>4.9250114619963708E-3</v>
      </c>
      <c r="Z72" s="407">
        <f t="shared" si="12"/>
        <v>0.13964841063489009</v>
      </c>
      <c r="AA72" s="407">
        <f t="shared" si="13"/>
        <v>0.14400000000000002</v>
      </c>
      <c r="AB72" s="407">
        <f t="shared" si="14"/>
        <v>0</v>
      </c>
      <c r="AC72" s="407">
        <f t="shared" si="49"/>
        <v>0.28885794783768431</v>
      </c>
      <c r="AD72" s="407">
        <f t="shared" si="50"/>
        <v>1.7396081081354875</v>
      </c>
      <c r="AE72" s="407">
        <f t="shared" si="17"/>
        <v>1.8157418219344381E-2</v>
      </c>
      <c r="AF72" s="407">
        <f t="shared" si="18"/>
        <v>2.7216000000000001E-2</v>
      </c>
      <c r="AG72" s="407">
        <f t="shared" si="51"/>
        <v>4.553879159618749E-2</v>
      </c>
      <c r="AH72" s="407">
        <f t="shared" si="52"/>
        <v>0</v>
      </c>
      <c r="AI72">
        <f t="shared" si="21"/>
        <v>0</v>
      </c>
      <c r="AJ72" s="408">
        <f t="shared" si="22"/>
        <v>0.45338567400000002</v>
      </c>
      <c r="AK72">
        <f t="shared" si="23"/>
        <v>4.8000000000000001E-2</v>
      </c>
      <c r="AL72" s="408">
        <f t="shared" si="24"/>
        <v>0.1215</v>
      </c>
      <c r="AM72" s="408">
        <f t="shared" si="25"/>
        <v>0.31645971316818772</v>
      </c>
      <c r="AN72" s="408">
        <f t="shared" si="42"/>
        <v>0.16949999999999998</v>
      </c>
      <c r="AO72" s="408">
        <f t="shared" si="53"/>
        <v>1.1809388036639608</v>
      </c>
      <c r="AP72">
        <f t="shared" si="27"/>
        <v>9.6389999999999993</v>
      </c>
      <c r="AQ72" s="10">
        <f t="shared" si="43"/>
        <v>0.89085531581157751</v>
      </c>
      <c r="AR72" s="63">
        <f t="shared" si="54"/>
        <v>14.442897391884216</v>
      </c>
      <c r="AS72" s="63">
        <f t="shared" si="44"/>
        <v>2.2769395798093743</v>
      </c>
      <c r="AT72" s="10"/>
      <c r="AU72">
        <f t="shared" si="45"/>
        <v>89.085531581157753</v>
      </c>
      <c r="BE72" s="28"/>
      <c r="BF72" s="29"/>
    </row>
    <row r="73" spans="1:58" x14ac:dyDescent="0.25">
      <c r="A73" s="43" t="s">
        <v>167</v>
      </c>
      <c r="B73" s="410">
        <f>(QgdTop+QgsTop/2)*(RdsonDRT+RGateTop)/(VspTop)*1000000000</f>
        <v>10.103626943005183</v>
      </c>
      <c r="C73" s="31" t="s">
        <v>147</v>
      </c>
      <c r="G73">
        <v>64</v>
      </c>
      <c r="H73">
        <f t="shared" ref="H73:H136" si="55">Iout*(G73/200)</f>
        <v>1.92</v>
      </c>
      <c r="I73" s="407">
        <f t="shared" si="1"/>
        <v>0.21337999999999999</v>
      </c>
      <c r="J73" s="408">
        <f t="shared" ref="J73:J136" si="56">(Vin-Vout)*I73/(Fsw*Lout2)</f>
        <v>1.8166135135135133</v>
      </c>
      <c r="K73" s="408">
        <f t="shared" si="31"/>
        <v>2.8283067567567564</v>
      </c>
      <c r="L73" s="408">
        <f t="shared" si="32"/>
        <v>1.0116932432432433</v>
      </c>
      <c r="M73" s="63">
        <f t="shared" ref="M73:M136" si="57">IF(MIN(Vin, -L73/(CossTop+CossBot)*0.00000002)&lt;0, 0, MIN(Vin, -L73/(CossTop+CossBot)*0.00000002))</f>
        <v>0</v>
      </c>
      <c r="N73" s="407">
        <f t="shared" ref="N73:N109" si="58">SQRT(H73^2+(J73^2)/12)</f>
        <v>1.9903283786325292</v>
      </c>
      <c r="O73" s="407">
        <f t="shared" si="5"/>
        <v>1.9838470576869747E-2</v>
      </c>
      <c r="P73">
        <f t="shared" ref="P73:P136" si="59">Core_Loss</f>
        <v>0.2</v>
      </c>
      <c r="Q73" s="407">
        <f t="shared" si="34"/>
        <v>0.21983847057686975</v>
      </c>
      <c r="R73" s="9">
        <f t="shared" si="39"/>
        <v>0.52441115052026943</v>
      </c>
      <c r="S73" s="9">
        <f t="shared" si="7"/>
        <v>2.7500705478999267E-3</v>
      </c>
      <c r="T73" s="9">
        <f t="shared" si="40"/>
        <v>2.7500705478999267E-3</v>
      </c>
      <c r="U73" s="407">
        <f t="shared" ref="U73:U109" si="60">SQRT(I73)*SQRT(H73^2+(J73^2)/12)</f>
        <v>0.91939384234999555</v>
      </c>
      <c r="V73" s="409">
        <f t="shared" si="9"/>
        <v>1.6905700747021771E-3</v>
      </c>
      <c r="W73" s="407">
        <f t="shared" si="41"/>
        <v>1.6905700747021771E-3</v>
      </c>
      <c r="X73" s="407">
        <f t="shared" ref="X73:X109" si="61">SQRT(I73)*SQRT(H73^2+(J73^2)/12)</f>
        <v>0.91939384234999555</v>
      </c>
      <c r="Y73" s="407">
        <f t="shared" si="11"/>
        <v>5.0717102241065312E-3</v>
      </c>
      <c r="Z73" s="407">
        <f t="shared" ref="Z73:Z136" si="62">IF(L73&lt;0, (Vin*K73*Tf/2)*Fsw, (Vin*L73*Tr/2+Vin*K73*Tf/2)*Fsw)</f>
        <v>0.14189661653029789</v>
      </c>
      <c r="AA73" s="407">
        <f t="shared" ref="AA73:AA136" si="63">(0.5*CossTop*(Vin-M73)^2-0.5*CossBot*(Vin-M73)^2+(QossBot*(Vin-M73)/Vin)*Vin)*Fsw</f>
        <v>0.14400000000000002</v>
      </c>
      <c r="AB73" s="407">
        <f t="shared" ref="AB73:AB136" si="64">IF(L73&gt;0,0,-L73*VsdTop*Deadtime*Fsw)</f>
        <v>0</v>
      </c>
      <c r="AC73" s="407">
        <f t="shared" ref="AC73:AC104" si="65">(AB73+AA73+Z73+Y73*(1+RdsonTopTc*Ta-RdsonTopTc*25))/(1-Y73*RdsonTopTc*ThetaJaTop)</f>
        <v>0.29126376784025787</v>
      </c>
      <c r="AD73" s="407">
        <f t="shared" ref="AD73:AD109" si="66">SQRT(1-I73)*SQRT(H73^2+(J73^2)/12)</f>
        <v>1.7652540942988644</v>
      </c>
      <c r="AE73" s="407">
        <f t="shared" si="17"/>
        <v>1.8696732104633424E-2</v>
      </c>
      <c r="AF73" s="407">
        <f t="shared" ref="AF73:AF136" si="67">IF(L73&lt;0, Deadtime*Fsw*IF(VfdSky&gt;0,0,VsdBot)*K73, Deadtime*Fsw*IF(VfdSky&gt;0,0,VsdBot)*(K73+L73))</f>
        <v>2.7647999999999999E-2</v>
      </c>
      <c r="AG73" s="407">
        <f t="shared" ref="AG73:AG104" si="68">(AF73+AE73*(1+RdsonBotTc*Ta-RdsonBotTc*25))/(1-AE73*RdsonBotTc*ThetaJaBot)</f>
        <v>4.6518681570068693E-2</v>
      </c>
      <c r="AH73" s="407">
        <f t="shared" ref="AH73:AH109" si="69">IF(RDSON_sense=1, 0, AD73^2*Rshunt)</f>
        <v>0</v>
      </c>
      <c r="AI73">
        <f t="shared" ref="AI73:AI136" si="70">2*Deadtime*Fsw*IF(VfdSky&gt;0,VfdSky,0)*H73</f>
        <v>0</v>
      </c>
      <c r="AJ73" s="408">
        <f t="shared" ref="AJ73:AJ136" si="71">IF(QrrSky&gt;0,QrrSky,QrrBot)*Fsw*(Vin-H73*RdsonTop)</f>
        <v>0.45338227199999998</v>
      </c>
      <c r="AK73">
        <f t="shared" si="23"/>
        <v>4.8000000000000001E-2</v>
      </c>
      <c r="AL73" s="408">
        <f t="shared" ref="AL73:AL136" si="72">IF(Ext_VCC=1, Vdd*(QgTop+QgBot)*Fsw, Vin*(QgTop+QgBot)*Fsw)</f>
        <v>0.1215</v>
      </c>
      <c r="AM73" s="408">
        <f t="shared" si="25"/>
        <v>0.31645971316818772</v>
      </c>
      <c r="AN73" s="408">
        <f t="shared" si="42"/>
        <v>0.16949999999999998</v>
      </c>
      <c r="AO73" s="408">
        <f t="shared" ref="AO73:AO104" si="73">SUM(Q73,T73,W73,AC73,AJ73,AI73,AG73,AN73, AH73)</f>
        <v>1.1849438326097983</v>
      </c>
      <c r="AP73">
        <f t="shared" ref="AP73:AP136" si="74">Vout*H73</f>
        <v>9.7919999999999998</v>
      </c>
      <c r="AQ73" s="10">
        <f t="shared" si="43"/>
        <v>0.89205157185102635</v>
      </c>
      <c r="AR73" s="63">
        <f t="shared" ref="AR73:AR109" si="75">ThetaJaTop*AC73</f>
        <v>14.563188392012894</v>
      </c>
      <c r="AS73" s="63">
        <f t="shared" si="44"/>
        <v>2.3259340785034346</v>
      </c>
      <c r="AT73" s="10"/>
      <c r="AU73">
        <f t="shared" si="45"/>
        <v>89.205157185102635</v>
      </c>
      <c r="BE73" s="28"/>
      <c r="BF73" s="29"/>
    </row>
    <row r="74" spans="1:58" x14ac:dyDescent="0.25">
      <c r="A74" s="24" t="s">
        <v>206</v>
      </c>
      <c r="B74" s="25" t="s">
        <v>8</v>
      </c>
      <c r="C74" s="27" t="s">
        <v>148</v>
      </c>
      <c r="G74">
        <v>65</v>
      </c>
      <c r="H74">
        <f t="shared" si="55"/>
        <v>1.9500000000000002</v>
      </c>
      <c r="I74" s="407">
        <f t="shared" ref="I74:I109" si="76">(Vout+Rdcr*H74+RdsonBot*H74)/(Vin-RdsonTop*H74+RdsonBot*H74)</f>
        <v>0.21339375000000002</v>
      </c>
      <c r="J74" s="408">
        <f t="shared" si="56"/>
        <v>1.8167305743243243</v>
      </c>
      <c r="K74" s="408">
        <f t="shared" ref="K74:K137" si="77">H74+J74/2</f>
        <v>2.8583652871621625</v>
      </c>
      <c r="L74" s="408">
        <f t="shared" ref="L74:L109" si="78">H74-J74/2</f>
        <v>1.041634712837838</v>
      </c>
      <c r="M74" s="63">
        <f t="shared" si="57"/>
        <v>0</v>
      </c>
      <c r="N74" s="407">
        <f t="shared" si="58"/>
        <v>2.0192925737265184</v>
      </c>
      <c r="O74" s="407">
        <f t="shared" ref="O74:O109" si="79">(N74^2*Rdcr*(1+Ltc*Ta-Ltc*25))/(1-N74^2*Rdcr*Ltc*ThetaCa)</f>
        <v>2.0421019521518435E-2</v>
      </c>
      <c r="P74">
        <f t="shared" si="59"/>
        <v>0.2</v>
      </c>
      <c r="Q74" s="407">
        <f t="shared" ref="Q74:Q137" si="80">O74+P74</f>
        <v>0.22042101952151844</v>
      </c>
      <c r="R74" s="9">
        <f t="shared" si="39"/>
        <v>0.52444494306558609</v>
      </c>
      <c r="S74" s="9">
        <f t="shared" ref="S74:S109" si="81">RCoutEsr*R74^2</f>
        <v>2.7504249830706583E-3</v>
      </c>
      <c r="T74" s="9">
        <f t="shared" si="40"/>
        <v>2.7504249830706583E-3</v>
      </c>
      <c r="U74" s="407">
        <f t="shared" si="60"/>
        <v>0.93280334717351532</v>
      </c>
      <c r="V74" s="409">
        <f t="shared" ref="V74:V109" si="82">RCinEsr*U74^2</f>
        <v>1.7402441689962276E-3</v>
      </c>
      <c r="W74" s="407">
        <f t="shared" si="41"/>
        <v>1.7402441689962276E-3</v>
      </c>
      <c r="X74" s="407">
        <f t="shared" si="61"/>
        <v>0.93280334717351532</v>
      </c>
      <c r="Y74" s="407">
        <f t="shared" ref="Y74:Y109" si="83">RdsonTop*X74^2</f>
        <v>5.2207325069886824E-3</v>
      </c>
      <c r="Z74" s="407">
        <f t="shared" si="62"/>
        <v>0.14414482242570573</v>
      </c>
      <c r="AA74" s="407">
        <f t="shared" si="63"/>
        <v>0.14400000000000002</v>
      </c>
      <c r="AB74" s="407">
        <f t="shared" si="64"/>
        <v>0</v>
      </c>
      <c r="AC74" s="407">
        <f t="shared" si="65"/>
        <v>0.29367219172424108</v>
      </c>
      <c r="AD74" s="407">
        <f t="shared" si="66"/>
        <v>1.790927249725391</v>
      </c>
      <c r="AE74" s="407">
        <f t="shared" ref="AE74:AE109" si="84">RdsonBot*AD74^2</f>
        <v>1.9244522482853719E-2</v>
      </c>
      <c r="AF74" s="407">
        <f t="shared" si="67"/>
        <v>2.8080000000000001E-2</v>
      </c>
      <c r="AG74" s="407">
        <f t="shared" si="68"/>
        <v>4.7507373827599036E-2</v>
      </c>
      <c r="AH74" s="407">
        <f t="shared" si="69"/>
        <v>0</v>
      </c>
      <c r="AI74">
        <f t="shared" si="70"/>
        <v>0</v>
      </c>
      <c r="AJ74" s="408">
        <f t="shared" si="71"/>
        <v>0.45337886999999999</v>
      </c>
      <c r="AK74">
        <f t="shared" ref="AK74:AK137" si="85">Iq*Vin</f>
        <v>4.8000000000000001E-2</v>
      </c>
      <c r="AL74" s="408">
        <f t="shared" si="72"/>
        <v>0.1215</v>
      </c>
      <c r="AM74" s="408">
        <f t="shared" ref="AM74:AM137" si="86">(Vin-Vdd)*Fsw*(QgTop+QgBot)+(RdsonDRT+RdsonDRT2)*Fsw*QgTop*Vdd/(RdsonDRT+2*RGateTop+RdsonDRT2)+(RdsonDRB+RdsonDRB2)*Fsw*QgBot*Vdd/(RdsonDRB+2*RGateBot+RdsonDRB2)</f>
        <v>0.31645971316818772</v>
      </c>
      <c r="AN74" s="408">
        <f t="shared" si="42"/>
        <v>0.16949999999999998</v>
      </c>
      <c r="AO74" s="408">
        <f t="shared" si="73"/>
        <v>1.1889701242254254</v>
      </c>
      <c r="AP74">
        <f t="shared" si="74"/>
        <v>9.9450000000000003</v>
      </c>
      <c r="AQ74" s="10">
        <f t="shared" si="43"/>
        <v>0.8932123841756634</v>
      </c>
      <c r="AR74" s="63">
        <f t="shared" si="75"/>
        <v>14.683609586212054</v>
      </c>
      <c r="AS74" s="63">
        <f t="shared" si="44"/>
        <v>2.3753686913799519</v>
      </c>
      <c r="AT74" s="10"/>
      <c r="AU74">
        <f t="shared" si="45"/>
        <v>89.321238417566335</v>
      </c>
      <c r="BE74" s="28"/>
      <c r="BF74" s="29"/>
    </row>
    <row r="75" spans="1:58" x14ac:dyDescent="0.25">
      <c r="A75" s="44" t="s">
        <v>207</v>
      </c>
      <c r="B75" s="121">
        <f>AN9</f>
        <v>0.16949999999999998</v>
      </c>
      <c r="C75" s="122" t="s">
        <v>208</v>
      </c>
      <c r="G75">
        <v>66</v>
      </c>
      <c r="H75">
        <f t="shared" si="55"/>
        <v>1.98</v>
      </c>
      <c r="I75" s="407">
        <f t="shared" si="76"/>
        <v>0.21340749999999997</v>
      </c>
      <c r="J75" s="408">
        <f t="shared" si="56"/>
        <v>1.8168476351351348</v>
      </c>
      <c r="K75" s="408">
        <f t="shared" si="77"/>
        <v>2.8884238175675674</v>
      </c>
      <c r="L75" s="408">
        <f t="shared" si="78"/>
        <v>1.0715761824324326</v>
      </c>
      <c r="M75" s="63">
        <f t="shared" si="57"/>
        <v>0</v>
      </c>
      <c r="N75" s="407">
        <f t="shared" si="58"/>
        <v>2.0482865873964049</v>
      </c>
      <c r="O75" s="407">
        <f t="shared" si="79"/>
        <v>2.1012652969372131E-2</v>
      </c>
      <c r="P75">
        <f t="shared" si="59"/>
        <v>0.2</v>
      </c>
      <c r="Q75" s="407">
        <f t="shared" si="80"/>
        <v>0.22101265296937214</v>
      </c>
      <c r="R75" s="9">
        <f t="shared" ref="R75:R109" si="87">J75/(2*SQRT(3))</f>
        <v>0.52447873561090252</v>
      </c>
      <c r="S75" s="9">
        <f t="shared" si="81"/>
        <v>2.75077944108011E-3</v>
      </c>
      <c r="T75" s="9">
        <f t="shared" ref="T75:T109" si="88">S75</f>
        <v>2.75077944108011E-3</v>
      </c>
      <c r="U75" s="407">
        <f t="shared" si="60"/>
        <v>0.9462274881640409</v>
      </c>
      <c r="V75" s="409">
        <f t="shared" si="82"/>
        <v>1.7906929187144602E-3</v>
      </c>
      <c r="W75" s="407">
        <f t="shared" ref="W75:W109" si="89">V75</f>
        <v>1.7906929187144602E-3</v>
      </c>
      <c r="X75" s="407">
        <f t="shared" si="61"/>
        <v>0.9462274881640409</v>
      </c>
      <c r="Y75" s="407">
        <f t="shared" si="83"/>
        <v>5.3720787561433812E-3</v>
      </c>
      <c r="Z75" s="407">
        <f t="shared" si="62"/>
        <v>0.14639302832111351</v>
      </c>
      <c r="AA75" s="407">
        <f t="shared" si="63"/>
        <v>0.14400000000000002</v>
      </c>
      <c r="AB75" s="407">
        <f t="shared" si="64"/>
        <v>0</v>
      </c>
      <c r="AC75" s="407">
        <f t="shared" si="65"/>
        <v>0.29608322355632039</v>
      </c>
      <c r="AD75" s="407">
        <f t="shared" si="66"/>
        <v>1.8166264020845837</v>
      </c>
      <c r="AE75" s="407">
        <f t="shared" si="84"/>
        <v>1.9800788908504677E-2</v>
      </c>
      <c r="AF75" s="407">
        <f t="shared" si="67"/>
        <v>2.8511999999999999E-2</v>
      </c>
      <c r="AG75" s="407">
        <f t="shared" si="68"/>
        <v>4.8504875870132219E-2</v>
      </c>
      <c r="AH75" s="407">
        <f t="shared" si="69"/>
        <v>0</v>
      </c>
      <c r="AI75">
        <f t="shared" si="70"/>
        <v>0</v>
      </c>
      <c r="AJ75" s="408">
        <f t="shared" si="71"/>
        <v>0.45337546799999995</v>
      </c>
      <c r="AK75">
        <f t="shared" si="85"/>
        <v>4.8000000000000001E-2</v>
      </c>
      <c r="AL75" s="408">
        <f t="shared" si="72"/>
        <v>0.1215</v>
      </c>
      <c r="AM75" s="408">
        <f t="shared" si="86"/>
        <v>0.31645971316818772</v>
      </c>
      <c r="AN75" s="408">
        <f t="shared" ref="AN75:AN109" si="90">SUM(AK75:AL75)</f>
        <v>0.16949999999999998</v>
      </c>
      <c r="AO75" s="408">
        <f t="shared" si="73"/>
        <v>1.1930176927556193</v>
      </c>
      <c r="AP75">
        <f t="shared" si="74"/>
        <v>10.097999999999999</v>
      </c>
      <c r="AQ75" s="10">
        <f t="shared" ref="AQ75:AQ109" si="91">AP75/(AP75+AO75)</f>
        <v>0.89433922386632458</v>
      </c>
      <c r="AR75" s="63">
        <f t="shared" si="75"/>
        <v>14.804161177816018</v>
      </c>
      <c r="AS75" s="63">
        <f t="shared" ref="AS75:AS109" si="92">AG75*ThetaJaBot</f>
        <v>2.4252437935066111</v>
      </c>
      <c r="AT75" s="10"/>
      <c r="AU75">
        <f t="shared" ref="AU75:AU109" si="93">AQ75*100</f>
        <v>89.43392238663246</v>
      </c>
      <c r="BE75" s="28"/>
      <c r="BF75" s="29"/>
    </row>
    <row r="76" spans="1:58" x14ac:dyDescent="0.25">
      <c r="A76" s="44" t="s">
        <v>211</v>
      </c>
      <c r="B76" s="120">
        <f>B75*B62</f>
        <v>3.3899999999999997</v>
      </c>
      <c r="C76" s="417" t="s">
        <v>442</v>
      </c>
      <c r="G76">
        <v>67</v>
      </c>
      <c r="H76">
        <f t="shared" si="55"/>
        <v>2.0100000000000002</v>
      </c>
      <c r="I76" s="407">
        <f t="shared" si="76"/>
        <v>0.21342124999999998</v>
      </c>
      <c r="J76" s="408">
        <f t="shared" si="56"/>
        <v>1.8169646959459456</v>
      </c>
      <c r="K76" s="408">
        <f t="shared" si="77"/>
        <v>2.9184823479729731</v>
      </c>
      <c r="L76" s="408">
        <f t="shared" si="78"/>
        <v>1.1015176520270273</v>
      </c>
      <c r="M76" s="63">
        <f t="shared" si="57"/>
        <v>0</v>
      </c>
      <c r="N76" s="407">
        <f t="shared" si="58"/>
        <v>2.0773091710654987</v>
      </c>
      <c r="O76" s="407">
        <f t="shared" si="79"/>
        <v>2.1613373488455285E-2</v>
      </c>
      <c r="P76">
        <f t="shared" si="59"/>
        <v>0.2</v>
      </c>
      <c r="Q76" s="407">
        <f t="shared" si="80"/>
        <v>0.22161337348845531</v>
      </c>
      <c r="R76" s="9">
        <f t="shared" si="87"/>
        <v>0.52451252815621918</v>
      </c>
      <c r="S76" s="9">
        <f t="shared" si="81"/>
        <v>2.7511339219282861E-3</v>
      </c>
      <c r="T76" s="9">
        <f t="shared" si="88"/>
        <v>2.7511339219282861E-3</v>
      </c>
      <c r="U76" s="407">
        <f t="shared" si="60"/>
        <v>0.95966568979959566</v>
      </c>
      <c r="V76" s="409">
        <f t="shared" si="82"/>
        <v>1.8419164723570676E-3</v>
      </c>
      <c r="W76" s="407">
        <f t="shared" si="89"/>
        <v>1.8419164723570676E-3</v>
      </c>
      <c r="X76" s="407">
        <f t="shared" si="61"/>
        <v>0.95966568979959566</v>
      </c>
      <c r="Y76" s="407">
        <f t="shared" si="83"/>
        <v>5.525749417071203E-3</v>
      </c>
      <c r="Z76" s="407">
        <f t="shared" si="62"/>
        <v>0.14864123421652134</v>
      </c>
      <c r="AA76" s="407">
        <f t="shared" si="63"/>
        <v>0.14400000000000002</v>
      </c>
      <c r="AB76" s="407">
        <f t="shared" si="64"/>
        <v>0</v>
      </c>
      <c r="AC76" s="407">
        <f t="shared" si="65"/>
        <v>0.29849686741181219</v>
      </c>
      <c r="AD76" s="407">
        <f t="shared" si="66"/>
        <v>1.8423504433234996</v>
      </c>
      <c r="AE76" s="407">
        <f t="shared" si="84"/>
        <v>2.0365530936085775E-2</v>
      </c>
      <c r="AF76" s="407">
        <f t="shared" si="67"/>
        <v>2.8944000000000001E-2</v>
      </c>
      <c r="AG76" s="407">
        <f t="shared" si="68"/>
        <v>4.9511195291966001E-2</v>
      </c>
      <c r="AH76" s="407">
        <f t="shared" si="69"/>
        <v>0</v>
      </c>
      <c r="AI76">
        <f t="shared" si="70"/>
        <v>0</v>
      </c>
      <c r="AJ76" s="408">
        <f t="shared" si="71"/>
        <v>0.45337206599999996</v>
      </c>
      <c r="AK76">
        <f t="shared" si="85"/>
        <v>4.8000000000000001E-2</v>
      </c>
      <c r="AL76" s="408">
        <f t="shared" si="72"/>
        <v>0.1215</v>
      </c>
      <c r="AM76" s="408">
        <f t="shared" si="86"/>
        <v>0.31645971316818772</v>
      </c>
      <c r="AN76" s="408">
        <f t="shared" si="90"/>
        <v>0.16949999999999998</v>
      </c>
      <c r="AO76" s="408">
        <f t="shared" si="73"/>
        <v>1.1970865525865189</v>
      </c>
      <c r="AP76">
        <f t="shared" si="74"/>
        <v>10.251000000000001</v>
      </c>
      <c r="AQ76" s="10">
        <f t="shared" si="91"/>
        <v>0.89543348164885639</v>
      </c>
      <c r="AR76" s="63">
        <f t="shared" si="75"/>
        <v>14.92484337059061</v>
      </c>
      <c r="AS76" s="63">
        <f t="shared" si="92"/>
        <v>2.4755597645982999</v>
      </c>
      <c r="AT76" s="10"/>
      <c r="AU76">
        <f t="shared" si="93"/>
        <v>89.543348164885643</v>
      </c>
      <c r="BE76" s="28"/>
      <c r="BF76" s="29"/>
    </row>
    <row r="77" spans="1:58" x14ac:dyDescent="0.25">
      <c r="A77" s="44" t="s">
        <v>388</v>
      </c>
      <c r="B77" s="120">
        <f>(QgBot+QgTop)*Fsw+Iq</f>
        <v>1.8200000000000001E-2</v>
      </c>
      <c r="C77" s="31" t="s">
        <v>2</v>
      </c>
      <c r="G77">
        <v>68</v>
      </c>
      <c r="H77">
        <f t="shared" si="55"/>
        <v>2.04</v>
      </c>
      <c r="I77" s="407">
        <f t="shared" si="76"/>
        <v>0.21343500000000001</v>
      </c>
      <c r="J77" s="408">
        <f t="shared" si="56"/>
        <v>1.8170817567567565</v>
      </c>
      <c r="K77" s="408">
        <f t="shared" si="77"/>
        <v>2.9485408783783784</v>
      </c>
      <c r="L77" s="408">
        <f t="shared" si="78"/>
        <v>1.1314591216216217</v>
      </c>
      <c r="M77" s="63">
        <f t="shared" si="57"/>
        <v>0</v>
      </c>
      <c r="N77" s="407">
        <f t="shared" si="58"/>
        <v>2.1063591437742799</v>
      </c>
      <c r="O77" s="407">
        <f t="shared" si="79"/>
        <v>2.2223183686607421E-2</v>
      </c>
      <c r="P77">
        <f t="shared" si="59"/>
        <v>0.2</v>
      </c>
      <c r="Q77" s="407">
        <f t="shared" si="80"/>
        <v>0.22222318368660743</v>
      </c>
      <c r="R77" s="9">
        <f t="shared" si="87"/>
        <v>0.52454632070153573</v>
      </c>
      <c r="S77" s="9">
        <f t="shared" si="81"/>
        <v>2.751488425615184E-3</v>
      </c>
      <c r="T77" s="9">
        <f t="shared" si="88"/>
        <v>2.751488425615184E-3</v>
      </c>
      <c r="U77" s="407">
        <f t="shared" si="60"/>
        <v>0.97311740772227351</v>
      </c>
      <c r="V77" s="409">
        <f t="shared" si="82"/>
        <v>1.8939149784242351E-3</v>
      </c>
      <c r="W77" s="407">
        <f t="shared" si="89"/>
        <v>1.8939149784242351E-3</v>
      </c>
      <c r="X77" s="407">
        <f t="shared" si="61"/>
        <v>0.97311740772227351</v>
      </c>
      <c r="Y77" s="407">
        <f t="shared" si="83"/>
        <v>5.6817449352727055E-3</v>
      </c>
      <c r="Z77" s="407">
        <f t="shared" si="62"/>
        <v>0.15088944011192915</v>
      </c>
      <c r="AA77" s="407">
        <f t="shared" si="63"/>
        <v>0.14400000000000002</v>
      </c>
      <c r="AB77" s="407">
        <f t="shared" si="64"/>
        <v>0</v>
      </c>
      <c r="AC77" s="407">
        <f t="shared" si="65"/>
        <v>0.30091312737468551</v>
      </c>
      <c r="AD77" s="407">
        <f t="shared" si="66"/>
        <v>1.8680983253965515</v>
      </c>
      <c r="AE77" s="407">
        <f t="shared" si="84"/>
        <v>2.0938748120096402E-2</v>
      </c>
      <c r="AF77" s="407">
        <f t="shared" si="67"/>
        <v>2.9375999999999999E-2</v>
      </c>
      <c r="AG77" s="407">
        <f t="shared" si="68"/>
        <v>5.0526339780515322E-2</v>
      </c>
      <c r="AH77" s="407">
        <f t="shared" si="69"/>
        <v>0</v>
      </c>
      <c r="AI77">
        <f t="shared" si="70"/>
        <v>0</v>
      </c>
      <c r="AJ77" s="408">
        <f t="shared" si="71"/>
        <v>0.45336866400000003</v>
      </c>
      <c r="AK77">
        <f t="shared" si="85"/>
        <v>4.8000000000000001E-2</v>
      </c>
      <c r="AL77" s="408">
        <f t="shared" si="72"/>
        <v>0.1215</v>
      </c>
      <c r="AM77" s="408">
        <f t="shared" si="86"/>
        <v>0.31645971316818772</v>
      </c>
      <c r="AN77" s="408">
        <f t="shared" si="90"/>
        <v>0.16949999999999998</v>
      </c>
      <c r="AO77" s="408">
        <f t="shared" si="73"/>
        <v>1.2011767182458477</v>
      </c>
      <c r="AP77">
        <f t="shared" si="74"/>
        <v>10.404</v>
      </c>
      <c r="AQ77" s="10">
        <f t="shared" si="91"/>
        <v>0.89649647330597404</v>
      </c>
      <c r="AR77" s="63">
        <f t="shared" si="75"/>
        <v>15.045656368734276</v>
      </c>
      <c r="AS77" s="63">
        <f t="shared" si="92"/>
        <v>2.5263169890257662</v>
      </c>
      <c r="AT77" s="10"/>
      <c r="AU77">
        <f t="shared" si="93"/>
        <v>89.649647330597404</v>
      </c>
      <c r="BE77" s="28"/>
      <c r="BF77" s="29"/>
    </row>
    <row r="78" spans="1:58" x14ac:dyDescent="0.25">
      <c r="A78" s="44" t="s">
        <v>389</v>
      </c>
      <c r="B78" s="119">
        <f>QrrBot*Fsw</f>
        <v>1.89E-2</v>
      </c>
      <c r="C78" s="31" t="s">
        <v>2</v>
      </c>
      <c r="G78">
        <v>69</v>
      </c>
      <c r="H78">
        <f t="shared" si="55"/>
        <v>2.0699999999999998</v>
      </c>
      <c r="I78" s="407">
        <f t="shared" si="76"/>
        <v>0.21344874999999996</v>
      </c>
      <c r="J78" s="408">
        <f t="shared" si="56"/>
        <v>1.8171988175675671</v>
      </c>
      <c r="K78" s="408">
        <f t="shared" si="77"/>
        <v>2.9785994087837833</v>
      </c>
      <c r="L78" s="408">
        <f t="shared" si="78"/>
        <v>1.1614005912162164</v>
      </c>
      <c r="M78" s="63">
        <f t="shared" si="57"/>
        <v>0</v>
      </c>
      <c r="N78" s="407">
        <f t="shared" si="58"/>
        <v>2.1354353877404204</v>
      </c>
      <c r="O78" s="407">
        <f t="shared" si="79"/>
        <v>2.2842086211511615E-2</v>
      </c>
      <c r="P78">
        <f t="shared" si="59"/>
        <v>0.2</v>
      </c>
      <c r="Q78" s="407">
        <f t="shared" si="80"/>
        <v>0.22284208621151164</v>
      </c>
      <c r="R78" s="9">
        <f t="shared" si="87"/>
        <v>0.52458011324685228</v>
      </c>
      <c r="S78" s="9">
        <f t="shared" si="81"/>
        <v>2.7518429521408033E-3</v>
      </c>
      <c r="T78" s="9">
        <f t="shared" si="88"/>
        <v>2.7518429521408033E-3</v>
      </c>
      <c r="U78" s="407">
        <f t="shared" si="60"/>
        <v>0.98658212669198309</v>
      </c>
      <c r="V78" s="409">
        <f t="shared" si="82"/>
        <v>1.9466885854161524E-3</v>
      </c>
      <c r="W78" s="407">
        <f t="shared" si="89"/>
        <v>1.9466885854161524E-3</v>
      </c>
      <c r="X78" s="407">
        <f t="shared" si="61"/>
        <v>0.98658212669198309</v>
      </c>
      <c r="Y78" s="407">
        <f t="shared" si="83"/>
        <v>5.8400657562484573E-3</v>
      </c>
      <c r="Z78" s="407">
        <f t="shared" si="62"/>
        <v>0.15313764600733693</v>
      </c>
      <c r="AA78" s="407">
        <f t="shared" si="63"/>
        <v>0.14400000000000002</v>
      </c>
      <c r="AB78" s="407">
        <f t="shared" si="64"/>
        <v>0</v>
      </c>
      <c r="AC78" s="407">
        <f t="shared" si="65"/>
        <v>0.30333200753758427</v>
      </c>
      <c r="AD78" s="407">
        <f t="shared" si="66"/>
        <v>1.8938690563251737</v>
      </c>
      <c r="AE78" s="407">
        <f t="shared" si="84"/>
        <v>2.1520440015036023E-2</v>
      </c>
      <c r="AF78" s="407">
        <f t="shared" si="67"/>
        <v>2.9807999999999998E-2</v>
      </c>
      <c r="AG78" s="407">
        <f t="shared" si="68"/>
        <v>5.155031711648831E-2</v>
      </c>
      <c r="AH78" s="407">
        <f t="shared" si="69"/>
        <v>0</v>
      </c>
      <c r="AI78">
        <f t="shared" si="70"/>
        <v>0</v>
      </c>
      <c r="AJ78" s="408">
        <f t="shared" si="71"/>
        <v>0.45336526200000005</v>
      </c>
      <c r="AK78">
        <f t="shared" si="85"/>
        <v>4.8000000000000001E-2</v>
      </c>
      <c r="AL78" s="408">
        <f t="shared" si="72"/>
        <v>0.1215</v>
      </c>
      <c r="AM78" s="408">
        <f t="shared" si="86"/>
        <v>0.31645971316818772</v>
      </c>
      <c r="AN78" s="408">
        <f t="shared" si="90"/>
        <v>0.16949999999999998</v>
      </c>
      <c r="AO78" s="408">
        <f t="shared" si="73"/>
        <v>1.2052882044031412</v>
      </c>
      <c r="AP78">
        <f t="shared" si="74"/>
        <v>10.556999999999999</v>
      </c>
      <c r="AQ78" s="10">
        <f t="shared" si="91"/>
        <v>0.8975294446575498</v>
      </c>
      <c r="AR78" s="63">
        <f t="shared" si="75"/>
        <v>15.166600376879213</v>
      </c>
      <c r="AS78" s="63">
        <f t="shared" si="92"/>
        <v>2.5775158558244153</v>
      </c>
      <c r="AT78" s="10"/>
      <c r="AU78">
        <f t="shared" si="93"/>
        <v>89.752944465754979</v>
      </c>
      <c r="BE78" s="28"/>
      <c r="BF78" s="29"/>
    </row>
    <row r="79" spans="1:58" x14ac:dyDescent="0.25">
      <c r="A79" s="44" t="s">
        <v>390</v>
      </c>
      <c r="B79" s="476">
        <f>C79/Vin</f>
        <v>2.3583750000000001E-4</v>
      </c>
      <c r="C79" s="475">
        <f>Deadtime*Fsw*(Ipp/2)*(VsdTop+VsdBot)</f>
        <v>5.6601000000000004E-3</v>
      </c>
      <c r="G79">
        <v>70</v>
      </c>
      <c r="H79">
        <f t="shared" si="55"/>
        <v>2.0999999999999996</v>
      </c>
      <c r="I79" s="407">
        <f t="shared" si="76"/>
        <v>0.2134625</v>
      </c>
      <c r="J79" s="408">
        <f t="shared" si="56"/>
        <v>1.817315878378378</v>
      </c>
      <c r="K79" s="408">
        <f t="shared" si="77"/>
        <v>3.0086579391891886</v>
      </c>
      <c r="L79" s="408">
        <f t="shared" si="78"/>
        <v>1.1913420608108107</v>
      </c>
      <c r="M79" s="63">
        <f t="shared" si="57"/>
        <v>0</v>
      </c>
      <c r="N79" s="407">
        <f t="shared" si="58"/>
        <v>2.1645368442580306</v>
      </c>
      <c r="O79" s="407">
        <f t="shared" si="79"/>
        <v>2.3470083750723198E-2</v>
      </c>
      <c r="P79">
        <f t="shared" si="59"/>
        <v>0.2</v>
      </c>
      <c r="Q79" s="407">
        <f t="shared" si="80"/>
        <v>0.22347008375072322</v>
      </c>
      <c r="R79" s="9">
        <f t="shared" si="87"/>
        <v>0.52461390579216893</v>
      </c>
      <c r="S79" s="9">
        <f t="shared" si="81"/>
        <v>2.7521975015051469E-3</v>
      </c>
      <c r="T79" s="9">
        <f t="shared" si="88"/>
        <v>2.7521975015051469E-3</v>
      </c>
      <c r="U79" s="407">
        <f t="shared" si="60"/>
        <v>1.0000593586965247</v>
      </c>
      <c r="V79" s="409">
        <f t="shared" si="82"/>
        <v>2.0002374418330087E-3</v>
      </c>
      <c r="W79" s="407">
        <f t="shared" si="89"/>
        <v>2.0002374418330087E-3</v>
      </c>
      <c r="X79" s="407">
        <f t="shared" si="61"/>
        <v>1.0000593586965247</v>
      </c>
      <c r="Y79" s="407">
        <f t="shared" si="83"/>
        <v>6.0007123254990262E-3</v>
      </c>
      <c r="Z79" s="407">
        <f t="shared" si="62"/>
        <v>0.1553858519027447</v>
      </c>
      <c r="AA79" s="407">
        <f t="shared" si="63"/>
        <v>0.14400000000000002</v>
      </c>
      <c r="AB79" s="407">
        <f t="shared" si="64"/>
        <v>0</v>
      </c>
      <c r="AC79" s="407">
        <f t="shared" si="65"/>
        <v>0.30575351200185058</v>
      </c>
      <c r="AD79" s="407">
        <f t="shared" si="66"/>
        <v>1.9196616965585396</v>
      </c>
      <c r="AE79" s="407">
        <f t="shared" si="84"/>
        <v>2.2110606175404061E-2</v>
      </c>
      <c r="AF79" s="407">
        <f t="shared" si="67"/>
        <v>3.0239999999999993E-2</v>
      </c>
      <c r="AG79" s="407">
        <f t="shared" si="68"/>
        <v>5.2583135174064405E-2</v>
      </c>
      <c r="AH79" s="407">
        <f t="shared" si="69"/>
        <v>0</v>
      </c>
      <c r="AI79">
        <f t="shared" si="70"/>
        <v>0</v>
      </c>
      <c r="AJ79" s="408">
        <f t="shared" si="71"/>
        <v>0.45336186000000001</v>
      </c>
      <c r="AK79">
        <f t="shared" si="85"/>
        <v>4.8000000000000001E-2</v>
      </c>
      <c r="AL79" s="408">
        <f t="shared" si="72"/>
        <v>0.1215</v>
      </c>
      <c r="AM79" s="408">
        <f t="shared" si="86"/>
        <v>0.31645971316818772</v>
      </c>
      <c r="AN79" s="408">
        <f t="shared" si="90"/>
        <v>0.16949999999999998</v>
      </c>
      <c r="AO79" s="408">
        <f t="shared" si="73"/>
        <v>1.2094210258699762</v>
      </c>
      <c r="AP79">
        <f t="shared" si="74"/>
        <v>10.709999999999997</v>
      </c>
      <c r="AQ79" s="10">
        <f t="shared" si="91"/>
        <v>0.89853357614895546</v>
      </c>
      <c r="AR79" s="63">
        <f t="shared" si="75"/>
        <v>15.287675600092529</v>
      </c>
      <c r="AS79" s="63">
        <f t="shared" si="92"/>
        <v>2.6291567587032203</v>
      </c>
      <c r="AT79" s="10"/>
      <c r="AU79">
        <f t="shared" si="93"/>
        <v>89.853357614895543</v>
      </c>
      <c r="BE79" s="28"/>
      <c r="BF79" s="29"/>
    </row>
    <row r="80" spans="1:58" x14ac:dyDescent="0.25">
      <c r="A80" s="44" t="s">
        <v>92</v>
      </c>
      <c r="B80" s="476">
        <f>SUM(B77:B79)</f>
        <v>3.7335837500000003E-2</v>
      </c>
      <c r="C80" s="31" t="s">
        <v>2</v>
      </c>
      <c r="G80">
        <v>71</v>
      </c>
      <c r="H80">
        <f t="shared" si="55"/>
        <v>2.13</v>
      </c>
      <c r="I80" s="407">
        <f t="shared" si="76"/>
        <v>0.21347625000000001</v>
      </c>
      <c r="J80" s="408">
        <f t="shared" si="56"/>
        <v>1.817432939189189</v>
      </c>
      <c r="K80" s="408">
        <f t="shared" si="77"/>
        <v>3.0387164695945943</v>
      </c>
      <c r="L80" s="408">
        <f t="shared" si="78"/>
        <v>1.2212835304054055</v>
      </c>
      <c r="M80" s="63">
        <f t="shared" si="57"/>
        <v>0</v>
      </c>
      <c r="N80" s="407">
        <f t="shared" si="58"/>
        <v>2.1936625099068499</v>
      </c>
      <c r="O80" s="407">
        <f t="shared" si="79"/>
        <v>2.4107179031699063E-2</v>
      </c>
      <c r="P80">
        <f t="shared" si="59"/>
        <v>0.2</v>
      </c>
      <c r="Q80" s="407">
        <f t="shared" si="80"/>
        <v>0.22410717903169908</v>
      </c>
      <c r="R80" s="9">
        <f t="shared" si="87"/>
        <v>0.52464769833748559</v>
      </c>
      <c r="S80" s="9">
        <f t="shared" si="81"/>
        <v>2.7525520737082128E-3</v>
      </c>
      <c r="T80" s="9">
        <f t="shared" si="88"/>
        <v>2.7525520737082128E-3</v>
      </c>
      <c r="U80" s="407">
        <f t="shared" si="60"/>
        <v>1.0135486412045034</v>
      </c>
      <c r="V80" s="409">
        <f t="shared" si="82"/>
        <v>2.0545616961749904E-3</v>
      </c>
      <c r="W80" s="407">
        <f t="shared" si="89"/>
        <v>2.0545616961749904E-3</v>
      </c>
      <c r="X80" s="407">
        <f t="shared" si="61"/>
        <v>1.0135486412045034</v>
      </c>
      <c r="Y80" s="407">
        <f t="shared" si="83"/>
        <v>6.1636850885249707E-3</v>
      </c>
      <c r="Z80" s="407">
        <f t="shared" si="62"/>
        <v>0.15763405779815257</v>
      </c>
      <c r="AA80" s="407">
        <f t="shared" si="63"/>
        <v>0.14400000000000002</v>
      </c>
      <c r="AB80" s="407">
        <f t="shared" si="64"/>
        <v>0</v>
      </c>
      <c r="AC80" s="407">
        <f t="shared" si="65"/>
        <v>0.30817764487754723</v>
      </c>
      <c r="AD80" s="407">
        <f t="shared" si="66"/>
        <v>1.9454753556093496</v>
      </c>
      <c r="AE80" s="407">
        <f t="shared" si="84"/>
        <v>2.2709246155699952E-2</v>
      </c>
      <c r="AF80" s="407">
        <f t="shared" si="67"/>
        <v>3.0671999999999998E-2</v>
      </c>
      <c r="AG80" s="407">
        <f t="shared" si="68"/>
        <v>5.3624801921075216E-2</v>
      </c>
      <c r="AH80" s="407">
        <f t="shared" si="69"/>
        <v>0</v>
      </c>
      <c r="AI80">
        <f t="shared" si="70"/>
        <v>0</v>
      </c>
      <c r="AJ80" s="408">
        <f t="shared" si="71"/>
        <v>0.45335845800000002</v>
      </c>
      <c r="AK80">
        <f t="shared" si="85"/>
        <v>4.8000000000000001E-2</v>
      </c>
      <c r="AL80" s="408">
        <f t="shared" si="72"/>
        <v>0.1215</v>
      </c>
      <c r="AM80" s="408">
        <f t="shared" si="86"/>
        <v>0.31645971316818772</v>
      </c>
      <c r="AN80" s="408">
        <f t="shared" si="90"/>
        <v>0.16949999999999998</v>
      </c>
      <c r="AO80" s="408">
        <f t="shared" si="73"/>
        <v>1.2135751976002047</v>
      </c>
      <c r="AP80">
        <f t="shared" si="74"/>
        <v>10.863</v>
      </c>
      <c r="AQ80" s="10">
        <f t="shared" si="91"/>
        <v>0.89950998708298024</v>
      </c>
      <c r="AR80" s="63">
        <f t="shared" si="75"/>
        <v>15.408882243877361</v>
      </c>
      <c r="AS80" s="63">
        <f t="shared" si="92"/>
        <v>2.6812400960537608</v>
      </c>
      <c r="AT80" s="10"/>
      <c r="AU80">
        <f t="shared" si="93"/>
        <v>89.95099870829803</v>
      </c>
      <c r="BE80" s="28"/>
      <c r="BF80" s="29"/>
    </row>
    <row r="81" spans="1:58" x14ac:dyDescent="0.25">
      <c r="A81" s="2"/>
      <c r="G81">
        <v>72</v>
      </c>
      <c r="H81">
        <f t="shared" si="55"/>
        <v>2.16</v>
      </c>
      <c r="I81" s="407">
        <f t="shared" si="76"/>
        <v>0.21348999999999996</v>
      </c>
      <c r="J81" s="408">
        <f t="shared" si="56"/>
        <v>1.8175499999999996</v>
      </c>
      <c r="K81" s="408">
        <f t="shared" si="77"/>
        <v>3.068775</v>
      </c>
      <c r="L81" s="408">
        <f t="shared" si="78"/>
        <v>1.2512250000000003</v>
      </c>
      <c r="M81" s="63">
        <f t="shared" si="57"/>
        <v>0</v>
      </c>
      <c r="N81" s="407">
        <f t="shared" si="58"/>
        <v>2.2228114330448725</v>
      </c>
      <c r="O81" s="407">
        <f t="shared" si="79"/>
        <v>2.475337482182733E-2</v>
      </c>
      <c r="P81">
        <f t="shared" si="59"/>
        <v>0.2</v>
      </c>
      <c r="Q81" s="407">
        <f t="shared" si="80"/>
        <v>0.22475337482182733</v>
      </c>
      <c r="R81" s="9">
        <f t="shared" si="87"/>
        <v>0.52468149088280203</v>
      </c>
      <c r="S81" s="9">
        <f t="shared" si="81"/>
        <v>2.7529066687499988E-3</v>
      </c>
      <c r="T81" s="9">
        <f t="shared" si="88"/>
        <v>2.7529066687499988E-3</v>
      </c>
      <c r="U81" s="407">
        <f t="shared" si="60"/>
        <v>1.0270495355488671</v>
      </c>
      <c r="V81" s="409">
        <f t="shared" si="82"/>
        <v>2.1096614969422873E-3</v>
      </c>
      <c r="W81" s="407">
        <f t="shared" si="89"/>
        <v>2.1096614969422873E-3</v>
      </c>
      <c r="X81" s="407">
        <f t="shared" si="61"/>
        <v>1.0270495355488671</v>
      </c>
      <c r="Y81" s="407">
        <f t="shared" si="83"/>
        <v>6.328984490826862E-3</v>
      </c>
      <c r="Z81" s="407">
        <f t="shared" si="62"/>
        <v>0.15988226369356037</v>
      </c>
      <c r="AA81" s="407">
        <f t="shared" si="63"/>
        <v>0.14400000000000002</v>
      </c>
      <c r="AB81" s="407">
        <f t="shared" si="64"/>
        <v>0</v>
      </c>
      <c r="AC81" s="407">
        <f t="shared" si="65"/>
        <v>0.31060441028348063</v>
      </c>
      <c r="AD81" s="407">
        <f t="shared" si="66"/>
        <v>1.9713091889411607</v>
      </c>
      <c r="AE81" s="407">
        <f t="shared" si="84"/>
        <v>2.3316359510423143E-2</v>
      </c>
      <c r="AF81" s="407">
        <f t="shared" si="67"/>
        <v>3.1104E-2</v>
      </c>
      <c r="AG81" s="407">
        <f t="shared" si="68"/>
        <v>5.4675325419187772E-2</v>
      </c>
      <c r="AH81" s="407">
        <f t="shared" si="69"/>
        <v>0</v>
      </c>
      <c r="AI81">
        <f t="shared" si="70"/>
        <v>0</v>
      </c>
      <c r="AJ81" s="408">
        <f t="shared" si="71"/>
        <v>0.45335505600000003</v>
      </c>
      <c r="AK81">
        <f t="shared" si="85"/>
        <v>4.8000000000000001E-2</v>
      </c>
      <c r="AL81" s="408">
        <f t="shared" si="72"/>
        <v>0.1215</v>
      </c>
      <c r="AM81" s="408">
        <f t="shared" si="86"/>
        <v>0.31645971316818772</v>
      </c>
      <c r="AN81" s="408">
        <f t="shared" si="90"/>
        <v>0.16949999999999998</v>
      </c>
      <c r="AO81" s="408">
        <f t="shared" si="73"/>
        <v>1.2177507346901881</v>
      </c>
      <c r="AP81">
        <f t="shared" si="74"/>
        <v>11.016</v>
      </c>
      <c r="AQ81" s="10">
        <f t="shared" si="91"/>
        <v>0.90045973952721481</v>
      </c>
      <c r="AR81" s="63">
        <f t="shared" si="75"/>
        <v>15.530220514174031</v>
      </c>
      <c r="AS81" s="63">
        <f t="shared" si="92"/>
        <v>2.7337662709593884</v>
      </c>
      <c r="AT81" s="10"/>
      <c r="AU81">
        <f t="shared" si="93"/>
        <v>90.045973952721482</v>
      </c>
      <c r="BE81" s="28"/>
      <c r="BF81" s="29"/>
    </row>
    <row r="82" spans="1:58" x14ac:dyDescent="0.25">
      <c r="A82" s="2"/>
      <c r="G82">
        <v>73</v>
      </c>
      <c r="H82">
        <f t="shared" si="55"/>
        <v>2.19</v>
      </c>
      <c r="I82" s="407">
        <f t="shared" si="76"/>
        <v>0.21350374999999999</v>
      </c>
      <c r="J82" s="408">
        <f t="shared" si="56"/>
        <v>1.8176670608108103</v>
      </c>
      <c r="K82" s="408">
        <f t="shared" si="77"/>
        <v>3.0988335304054049</v>
      </c>
      <c r="L82" s="408">
        <f t="shared" si="78"/>
        <v>1.2811664695945948</v>
      </c>
      <c r="M82" s="63">
        <f t="shared" si="57"/>
        <v>0</v>
      </c>
      <c r="N82" s="407">
        <f t="shared" si="58"/>
        <v>2.2519827105604189</v>
      </c>
      <c r="O82" s="407">
        <f t="shared" si="79"/>
        <v>2.5408673928457439E-2</v>
      </c>
      <c r="P82">
        <f t="shared" si="59"/>
        <v>0.2</v>
      </c>
      <c r="Q82" s="407">
        <f t="shared" si="80"/>
        <v>0.22540867392845745</v>
      </c>
      <c r="R82" s="9">
        <f t="shared" si="87"/>
        <v>0.52471528342811857</v>
      </c>
      <c r="S82" s="9">
        <f t="shared" si="81"/>
        <v>2.7532612866305079E-3</v>
      </c>
      <c r="T82" s="9">
        <f t="shared" si="88"/>
        <v>2.7532612866305079E-3</v>
      </c>
      <c r="U82" s="407">
        <f t="shared" si="60"/>
        <v>1.0405616254300099</v>
      </c>
      <c r="V82" s="409">
        <f t="shared" si="82"/>
        <v>2.1655369926350883E-3</v>
      </c>
      <c r="W82" s="407">
        <f t="shared" si="89"/>
        <v>2.1655369926350883E-3</v>
      </c>
      <c r="X82" s="407">
        <f t="shared" si="61"/>
        <v>1.0405616254300099</v>
      </c>
      <c r="Y82" s="407">
        <f t="shared" si="83"/>
        <v>6.4966109779052653E-3</v>
      </c>
      <c r="Z82" s="407">
        <f t="shared" si="62"/>
        <v>0.16213046958896815</v>
      </c>
      <c r="AA82" s="407">
        <f t="shared" si="63"/>
        <v>0.14400000000000002</v>
      </c>
      <c r="AB82" s="407">
        <f t="shared" si="64"/>
        <v>0</v>
      </c>
      <c r="AC82" s="407">
        <f t="shared" si="65"/>
        <v>0.31303381234722355</v>
      </c>
      <c r="AD82" s="407">
        <f t="shared" si="66"/>
        <v>1.9971623950859647</v>
      </c>
      <c r="AE82" s="407">
        <f t="shared" si="84"/>
        <v>2.3931945794073043E-2</v>
      </c>
      <c r="AF82" s="407">
        <f t="shared" si="67"/>
        <v>3.1536000000000002E-2</v>
      </c>
      <c r="AG82" s="407">
        <f t="shared" si="68"/>
        <v>5.5734713824090308E-2</v>
      </c>
      <c r="AH82" s="407">
        <f t="shared" si="69"/>
        <v>0</v>
      </c>
      <c r="AI82">
        <f t="shared" si="70"/>
        <v>0</v>
      </c>
      <c r="AJ82" s="408">
        <f t="shared" si="71"/>
        <v>0.45335165399999999</v>
      </c>
      <c r="AK82">
        <f t="shared" si="85"/>
        <v>4.8000000000000001E-2</v>
      </c>
      <c r="AL82" s="408">
        <f t="shared" si="72"/>
        <v>0.1215</v>
      </c>
      <c r="AM82" s="408">
        <f t="shared" si="86"/>
        <v>0.31645971316818772</v>
      </c>
      <c r="AN82" s="408">
        <f t="shared" si="90"/>
        <v>0.16949999999999998</v>
      </c>
      <c r="AO82" s="408">
        <f t="shared" si="73"/>
        <v>1.2219476523790369</v>
      </c>
      <c r="AP82">
        <f t="shared" si="74"/>
        <v>11.168999999999999</v>
      </c>
      <c r="AQ82" s="10">
        <f t="shared" si="91"/>
        <v>0.90138384192556698</v>
      </c>
      <c r="AR82" s="63">
        <f t="shared" si="75"/>
        <v>15.651690617361178</v>
      </c>
      <c r="AS82" s="63">
        <f t="shared" si="92"/>
        <v>2.7867356912045156</v>
      </c>
      <c r="AT82" s="10"/>
      <c r="AU82">
        <f t="shared" si="93"/>
        <v>90.1383841925567</v>
      </c>
      <c r="BE82" s="28"/>
      <c r="BF82" s="29"/>
    </row>
    <row r="83" spans="1:58" x14ac:dyDescent="0.25">
      <c r="A83" s="2"/>
      <c r="G83">
        <v>74</v>
      </c>
      <c r="H83">
        <f t="shared" si="55"/>
        <v>2.2199999999999998</v>
      </c>
      <c r="I83" s="407">
        <f t="shared" si="76"/>
        <v>0.2135175</v>
      </c>
      <c r="J83" s="408">
        <f t="shared" si="56"/>
        <v>1.8177841216216213</v>
      </c>
      <c r="K83" s="408">
        <f t="shared" si="77"/>
        <v>3.1288920608108102</v>
      </c>
      <c r="L83" s="408">
        <f t="shared" si="78"/>
        <v>1.3111079391891891</v>
      </c>
      <c r="M83" s="63">
        <f t="shared" si="57"/>
        <v>0</v>
      </c>
      <c r="N83" s="407">
        <f t="shared" si="58"/>
        <v>2.2811754848619108</v>
      </c>
      <c r="O83" s="407">
        <f t="shared" si="79"/>
        <v>2.6073079198930763E-2</v>
      </c>
      <c r="P83">
        <f t="shared" si="59"/>
        <v>0.2</v>
      </c>
      <c r="Q83" s="407">
        <f t="shared" si="80"/>
        <v>0.22607307919893077</v>
      </c>
      <c r="R83" s="9">
        <f t="shared" si="87"/>
        <v>0.52474907597343523</v>
      </c>
      <c r="S83" s="9">
        <f t="shared" si="81"/>
        <v>2.7536159273497413E-3</v>
      </c>
      <c r="T83" s="9">
        <f t="shared" si="88"/>
        <v>2.7536159273497413E-3</v>
      </c>
      <c r="U83" s="407">
        <f t="shared" si="60"/>
        <v>1.0540845155284229</v>
      </c>
      <c r="V83" s="409">
        <f t="shared" si="82"/>
        <v>2.2221883317535798E-3</v>
      </c>
      <c r="W83" s="407">
        <f t="shared" si="89"/>
        <v>2.2221883317535798E-3</v>
      </c>
      <c r="X83" s="407">
        <f t="shared" si="61"/>
        <v>1.0540845155284229</v>
      </c>
      <c r="Y83" s="407">
        <f t="shared" si="83"/>
        <v>6.6665649952607391E-3</v>
      </c>
      <c r="Z83" s="407">
        <f t="shared" si="62"/>
        <v>0.16437867548437596</v>
      </c>
      <c r="AA83" s="407">
        <f t="shared" si="63"/>
        <v>0.14400000000000002</v>
      </c>
      <c r="AB83" s="407">
        <f t="shared" si="64"/>
        <v>0</v>
      </c>
      <c r="AC83" s="407">
        <f t="shared" si="65"/>
        <v>0.31546585520513881</v>
      </c>
      <c r="AD83" s="407">
        <f t="shared" si="66"/>
        <v>2.0230342129727279</v>
      </c>
      <c r="AE83" s="407">
        <f t="shared" si="84"/>
        <v>2.4556004561149109E-2</v>
      </c>
      <c r="AF83" s="407">
        <f t="shared" si="67"/>
        <v>3.1967999999999996E-2</v>
      </c>
      <c r="AG83" s="407">
        <f t="shared" si="68"/>
        <v>5.6802975385680625E-2</v>
      </c>
      <c r="AH83" s="407">
        <f t="shared" si="69"/>
        <v>0</v>
      </c>
      <c r="AI83">
        <f t="shared" si="70"/>
        <v>0</v>
      </c>
      <c r="AJ83" s="408">
        <f t="shared" si="71"/>
        <v>0.45334825200000001</v>
      </c>
      <c r="AK83">
        <f t="shared" si="85"/>
        <v>4.8000000000000001E-2</v>
      </c>
      <c r="AL83" s="408">
        <f t="shared" si="72"/>
        <v>0.1215</v>
      </c>
      <c r="AM83" s="408">
        <f t="shared" si="86"/>
        <v>0.31645971316818772</v>
      </c>
      <c r="AN83" s="408">
        <f t="shared" si="90"/>
        <v>0.16949999999999998</v>
      </c>
      <c r="AO83" s="408">
        <f t="shared" si="73"/>
        <v>1.2261659660488535</v>
      </c>
      <c r="AP83">
        <f t="shared" si="74"/>
        <v>11.321999999999997</v>
      </c>
      <c r="AQ83" s="10">
        <f t="shared" si="91"/>
        <v>0.90228325243972318</v>
      </c>
      <c r="AR83" s="63">
        <f t="shared" si="75"/>
        <v>15.77329276025694</v>
      </c>
      <c r="AS83" s="63">
        <f t="shared" si="92"/>
        <v>2.8401487692840313</v>
      </c>
      <c r="AT83" s="10"/>
      <c r="AU83">
        <f t="shared" si="93"/>
        <v>90.228325243972321</v>
      </c>
      <c r="BE83" s="28"/>
      <c r="BF83" s="29"/>
    </row>
    <row r="84" spans="1:58" x14ac:dyDescent="0.25">
      <c r="G84">
        <v>75</v>
      </c>
      <c r="H84">
        <f t="shared" si="55"/>
        <v>2.25</v>
      </c>
      <c r="I84" s="407">
        <f t="shared" si="76"/>
        <v>0.21353124999999998</v>
      </c>
      <c r="J84" s="408">
        <f t="shared" si="56"/>
        <v>1.8179011824324318</v>
      </c>
      <c r="K84" s="408">
        <f t="shared" si="77"/>
        <v>3.1589505912162159</v>
      </c>
      <c r="L84" s="408">
        <f t="shared" si="78"/>
        <v>1.3410494087837841</v>
      </c>
      <c r="M84" s="63">
        <f t="shared" si="57"/>
        <v>0</v>
      </c>
      <c r="N84" s="407">
        <f t="shared" si="58"/>
        <v>2.3103889410856282</v>
      </c>
      <c r="O84" s="407">
        <f t="shared" si="79"/>
        <v>2.6746593520611602E-2</v>
      </c>
      <c r="P84">
        <f t="shared" si="59"/>
        <v>0.2</v>
      </c>
      <c r="Q84" s="407">
        <f t="shared" si="80"/>
        <v>0.22674659352061161</v>
      </c>
      <c r="R84" s="9">
        <f t="shared" si="87"/>
        <v>0.52478286851875178</v>
      </c>
      <c r="S84" s="9">
        <f t="shared" si="81"/>
        <v>2.7539705909076953E-3</v>
      </c>
      <c r="T84" s="9">
        <f t="shared" si="88"/>
        <v>2.7539705909076953E-3</v>
      </c>
      <c r="U84" s="407">
        <f t="shared" si="60"/>
        <v>1.0676178302178059</v>
      </c>
      <c r="V84" s="409">
        <f t="shared" si="82"/>
        <v>2.2796156627979515E-3</v>
      </c>
      <c r="W84" s="407">
        <f t="shared" si="89"/>
        <v>2.2796156627979515E-3</v>
      </c>
      <c r="X84" s="407">
        <f t="shared" si="61"/>
        <v>1.0676178302178059</v>
      </c>
      <c r="Y84" s="407">
        <f t="shared" si="83"/>
        <v>6.8388469883938546E-3</v>
      </c>
      <c r="Z84" s="407">
        <f t="shared" si="62"/>
        <v>0.16662688137978379</v>
      </c>
      <c r="AA84" s="407">
        <f t="shared" si="63"/>
        <v>0.14400000000000002</v>
      </c>
      <c r="AB84" s="407">
        <f t="shared" si="64"/>
        <v>0</v>
      </c>
      <c r="AC84" s="407">
        <f t="shared" si="65"/>
        <v>0.31790054300240184</v>
      </c>
      <c r="AD84" s="407">
        <f t="shared" si="66"/>
        <v>2.0489239194493765</v>
      </c>
      <c r="AE84" s="407">
        <f t="shared" si="84"/>
        <v>2.5188535366150767E-2</v>
      </c>
      <c r="AF84" s="407">
        <f t="shared" si="67"/>
        <v>3.2399999999999998E-2</v>
      </c>
      <c r="AG84" s="407">
        <f t="shared" si="68"/>
        <v>5.7880118448256947E-2</v>
      </c>
      <c r="AH84" s="407">
        <f t="shared" si="69"/>
        <v>0</v>
      </c>
      <c r="AI84">
        <f t="shared" si="70"/>
        <v>0</v>
      </c>
      <c r="AJ84" s="408">
        <f t="shared" si="71"/>
        <v>0.45334484999999997</v>
      </c>
      <c r="AK84">
        <f t="shared" si="85"/>
        <v>4.8000000000000001E-2</v>
      </c>
      <c r="AL84" s="408">
        <f t="shared" si="72"/>
        <v>0.1215</v>
      </c>
      <c r="AM84" s="408">
        <f t="shared" si="86"/>
        <v>0.31645971316818772</v>
      </c>
      <c r="AN84" s="408">
        <f t="shared" si="90"/>
        <v>0.16949999999999998</v>
      </c>
      <c r="AO84" s="408">
        <f t="shared" si="73"/>
        <v>1.2304056912249759</v>
      </c>
      <c r="AP84">
        <f t="shared" si="74"/>
        <v>11.475</v>
      </c>
      <c r="AQ84" s="10">
        <f t="shared" si="91"/>
        <v>0.903158882043825</v>
      </c>
      <c r="AR84" s="63">
        <f t="shared" si="75"/>
        <v>15.895027150120091</v>
      </c>
      <c r="AS84" s="63">
        <f t="shared" si="92"/>
        <v>2.8940059224128474</v>
      </c>
      <c r="AT84" s="10"/>
      <c r="AU84">
        <f t="shared" si="93"/>
        <v>90.315888204382503</v>
      </c>
      <c r="BE84" s="28"/>
      <c r="BF84" s="29"/>
    </row>
    <row r="85" spans="1:58" x14ac:dyDescent="0.25">
      <c r="G85">
        <v>76</v>
      </c>
      <c r="H85">
        <f t="shared" si="55"/>
        <v>2.2800000000000002</v>
      </c>
      <c r="I85" s="407">
        <f t="shared" si="76"/>
        <v>0.21354499999999998</v>
      </c>
      <c r="J85" s="408">
        <f t="shared" si="56"/>
        <v>1.8180182432432428</v>
      </c>
      <c r="K85" s="408">
        <f t="shared" si="77"/>
        <v>3.1890091216216216</v>
      </c>
      <c r="L85" s="408">
        <f t="shared" si="78"/>
        <v>1.3709908783783789</v>
      </c>
      <c r="M85" s="63">
        <f t="shared" si="57"/>
        <v>0</v>
      </c>
      <c r="N85" s="407">
        <f t="shared" si="58"/>
        <v>2.3396223045035365</v>
      </c>
      <c r="O85" s="407">
        <f t="shared" si="79"/>
        <v>2.7429219820918598E-2</v>
      </c>
      <c r="P85">
        <f t="shared" si="59"/>
        <v>0.2</v>
      </c>
      <c r="Q85" s="407">
        <f t="shared" si="80"/>
        <v>0.2274292198209186</v>
      </c>
      <c r="R85" s="9">
        <f t="shared" si="87"/>
        <v>0.52481666106406843</v>
      </c>
      <c r="S85" s="9">
        <f t="shared" si="81"/>
        <v>2.7543252773043732E-3</v>
      </c>
      <c r="T85" s="9">
        <f t="shared" si="88"/>
        <v>2.7543252773043732E-3</v>
      </c>
      <c r="U85" s="407">
        <f t="shared" si="60"/>
        <v>1.0811612123703831</v>
      </c>
      <c r="V85" s="409">
        <f t="shared" si="82"/>
        <v>2.3378191342683934E-3</v>
      </c>
      <c r="W85" s="407">
        <f t="shared" si="89"/>
        <v>2.3378191342683934E-3</v>
      </c>
      <c r="X85" s="407">
        <f t="shared" si="61"/>
        <v>1.0811612123703831</v>
      </c>
      <c r="Y85" s="407">
        <f t="shared" si="83"/>
        <v>7.0134574028051806E-3</v>
      </c>
      <c r="Z85" s="407">
        <f t="shared" si="62"/>
        <v>0.1688750872751916</v>
      </c>
      <c r="AA85" s="407">
        <f t="shared" si="63"/>
        <v>0.14400000000000002</v>
      </c>
      <c r="AB85" s="407">
        <f t="shared" si="64"/>
        <v>0</v>
      </c>
      <c r="AC85" s="407">
        <f t="shared" si="65"/>
        <v>0.32033787989302376</v>
      </c>
      <c r="AD85" s="407">
        <f t="shared" si="66"/>
        <v>2.0748308269823452</v>
      </c>
      <c r="AE85" s="407">
        <f t="shared" si="84"/>
        <v>2.5829537763577458E-2</v>
      </c>
      <c r="AF85" s="407">
        <f t="shared" si="67"/>
        <v>3.2832E-2</v>
      </c>
      <c r="AG85" s="407">
        <f t="shared" si="68"/>
        <v>5.8966151450711254E-2</v>
      </c>
      <c r="AH85" s="407">
        <f t="shared" si="69"/>
        <v>0</v>
      </c>
      <c r="AI85">
        <f t="shared" si="70"/>
        <v>0</v>
      </c>
      <c r="AJ85" s="408">
        <f t="shared" si="71"/>
        <v>0.45334144799999998</v>
      </c>
      <c r="AK85">
        <f t="shared" si="85"/>
        <v>4.8000000000000001E-2</v>
      </c>
      <c r="AL85" s="408">
        <f t="shared" si="72"/>
        <v>0.1215</v>
      </c>
      <c r="AM85" s="408">
        <f t="shared" si="86"/>
        <v>0.31645971316818772</v>
      </c>
      <c r="AN85" s="408">
        <f t="shared" si="90"/>
        <v>0.16949999999999998</v>
      </c>
      <c r="AO85" s="408">
        <f t="shared" si="73"/>
        <v>1.2346668435762262</v>
      </c>
      <c r="AP85">
        <f t="shared" si="74"/>
        <v>11.628</v>
      </c>
      <c r="AQ85" s="10">
        <f t="shared" si="91"/>
        <v>0.90401159739336368</v>
      </c>
      <c r="AR85" s="63">
        <f t="shared" si="75"/>
        <v>16.016893994651188</v>
      </c>
      <c r="AS85" s="63">
        <f t="shared" si="92"/>
        <v>2.9483075725355627</v>
      </c>
      <c r="AT85" s="10"/>
      <c r="AU85">
        <f t="shared" si="93"/>
        <v>90.401159739336364</v>
      </c>
      <c r="BE85" s="28"/>
      <c r="BF85" s="29"/>
    </row>
    <row r="86" spans="1:58" x14ac:dyDescent="0.25">
      <c r="G86">
        <v>77</v>
      </c>
      <c r="H86">
        <f t="shared" si="55"/>
        <v>2.31</v>
      </c>
      <c r="I86" s="407">
        <f t="shared" si="76"/>
        <v>0.21355874999999999</v>
      </c>
      <c r="J86" s="408">
        <f t="shared" si="56"/>
        <v>1.8181353040540535</v>
      </c>
      <c r="K86" s="408">
        <f t="shared" si="77"/>
        <v>3.2190676520270269</v>
      </c>
      <c r="L86" s="408">
        <f t="shared" si="78"/>
        <v>1.4009323479729732</v>
      </c>
      <c r="M86" s="63">
        <f t="shared" si="57"/>
        <v>0</v>
      </c>
      <c r="N86" s="407">
        <f t="shared" si="58"/>
        <v>2.3688748381149178</v>
      </c>
      <c r="O86" s="407">
        <f t="shared" si="79"/>
        <v>2.8120961067356683E-2</v>
      </c>
      <c r="P86">
        <f t="shared" si="59"/>
        <v>0.2</v>
      </c>
      <c r="Q86" s="407">
        <f t="shared" si="80"/>
        <v>0.22812096106735669</v>
      </c>
      <c r="R86" s="9">
        <f t="shared" si="87"/>
        <v>0.52485045360938498</v>
      </c>
      <c r="S86" s="9">
        <f t="shared" si="81"/>
        <v>2.7546799865397721E-3</v>
      </c>
      <c r="T86" s="9">
        <f t="shared" si="88"/>
        <v>2.7546799865397721E-3</v>
      </c>
      <c r="U86" s="407">
        <f t="shared" si="60"/>
        <v>1.0947143222469253</v>
      </c>
      <c r="V86" s="409">
        <f t="shared" si="82"/>
        <v>2.3967988946650902E-3</v>
      </c>
      <c r="W86" s="407">
        <f t="shared" si="89"/>
        <v>2.3967988946650902E-3</v>
      </c>
      <c r="X86" s="407">
        <f t="shared" si="61"/>
        <v>1.0947143222469253</v>
      </c>
      <c r="Y86" s="407">
        <f t="shared" si="83"/>
        <v>7.1903966839952701E-3</v>
      </c>
      <c r="Z86" s="407">
        <f t="shared" si="62"/>
        <v>0.17112329317059938</v>
      </c>
      <c r="AA86" s="407">
        <f t="shared" si="63"/>
        <v>0.14400000000000002</v>
      </c>
      <c r="AB86" s="407">
        <f t="shared" si="64"/>
        <v>0</v>
      </c>
      <c r="AC86" s="407">
        <f t="shared" si="65"/>
        <v>0.32277787003987507</v>
      </c>
      <c r="AD86" s="407">
        <f t="shared" si="66"/>
        <v>2.1007542815192433</v>
      </c>
      <c r="AE86" s="407">
        <f t="shared" si="84"/>
        <v>2.6479011307928593E-2</v>
      </c>
      <c r="AF86" s="407">
        <f t="shared" si="67"/>
        <v>3.3264000000000002E-2</v>
      </c>
      <c r="AG86" s="407">
        <f t="shared" si="68"/>
        <v>6.006108292672524E-2</v>
      </c>
      <c r="AH86" s="407">
        <f t="shared" si="69"/>
        <v>0</v>
      </c>
      <c r="AI86">
        <f t="shared" si="70"/>
        <v>0</v>
      </c>
      <c r="AJ86" s="408">
        <f t="shared" si="71"/>
        <v>0.45333804599999999</v>
      </c>
      <c r="AK86">
        <f t="shared" si="85"/>
        <v>4.8000000000000001E-2</v>
      </c>
      <c r="AL86" s="408">
        <f t="shared" si="72"/>
        <v>0.1215</v>
      </c>
      <c r="AM86" s="408">
        <f t="shared" si="86"/>
        <v>0.31645971316818772</v>
      </c>
      <c r="AN86" s="408">
        <f t="shared" si="90"/>
        <v>0.16949999999999998</v>
      </c>
      <c r="AO86" s="408">
        <f t="shared" si="73"/>
        <v>1.2389494389151618</v>
      </c>
      <c r="AP86">
        <f t="shared" si="74"/>
        <v>11.780999999999999</v>
      </c>
      <c r="AQ86" s="10">
        <f t="shared" si="91"/>
        <v>0.90484222348728316</v>
      </c>
      <c r="AR86" s="63">
        <f t="shared" si="75"/>
        <v>16.138893501993753</v>
      </c>
      <c r="AS86" s="63">
        <f t="shared" si="92"/>
        <v>3.0030541463362619</v>
      </c>
      <c r="AT86" s="10"/>
      <c r="AU86">
        <f t="shared" si="93"/>
        <v>90.484222348728309</v>
      </c>
      <c r="BE86" s="28"/>
      <c r="BF86" s="29"/>
    </row>
    <row r="87" spans="1:58" x14ac:dyDescent="0.25">
      <c r="G87">
        <v>78</v>
      </c>
      <c r="H87">
        <f t="shared" si="55"/>
        <v>2.34</v>
      </c>
      <c r="I87" s="407">
        <f t="shared" si="76"/>
        <v>0.21357249999999997</v>
      </c>
      <c r="J87" s="408">
        <f t="shared" si="56"/>
        <v>1.8182523648648641</v>
      </c>
      <c r="K87" s="408">
        <f t="shared" si="77"/>
        <v>3.2491261824324318</v>
      </c>
      <c r="L87" s="408">
        <f t="shared" si="78"/>
        <v>1.4308738175675679</v>
      </c>
      <c r="M87" s="63">
        <f t="shared" si="57"/>
        <v>0</v>
      </c>
      <c r="N87" s="407">
        <f t="shared" si="58"/>
        <v>2.3981458404069986</v>
      </c>
      <c r="O87" s="407">
        <f t="shared" si="79"/>
        <v>2.8821820267549376E-2</v>
      </c>
      <c r="P87">
        <f t="shared" si="59"/>
        <v>0.2</v>
      </c>
      <c r="Q87" s="407">
        <f t="shared" si="80"/>
        <v>0.22882182026754938</v>
      </c>
      <c r="R87" s="9">
        <f t="shared" si="87"/>
        <v>0.52488424615470153</v>
      </c>
      <c r="S87" s="9">
        <f t="shared" si="81"/>
        <v>2.7550347186138932E-3</v>
      </c>
      <c r="T87" s="9">
        <f t="shared" si="88"/>
        <v>2.7550347186138932E-3</v>
      </c>
      <c r="U87" s="407">
        <f t="shared" si="60"/>
        <v>1.1082768364646607</v>
      </c>
      <c r="V87" s="409">
        <f t="shared" si="82"/>
        <v>2.4565550924882324E-3</v>
      </c>
      <c r="W87" s="407">
        <f t="shared" si="89"/>
        <v>2.4565550924882324E-3</v>
      </c>
      <c r="X87" s="407">
        <f t="shared" si="61"/>
        <v>1.1082768364646607</v>
      </c>
      <c r="Y87" s="407">
        <f t="shared" si="83"/>
        <v>7.3696652774646971E-3</v>
      </c>
      <c r="Z87" s="407">
        <f t="shared" si="62"/>
        <v>0.17337149906600718</v>
      </c>
      <c r="AA87" s="407">
        <f t="shared" si="63"/>
        <v>0.14400000000000002</v>
      </c>
      <c r="AB87" s="407">
        <f t="shared" si="64"/>
        <v>0</v>
      </c>
      <c r="AC87" s="407">
        <f t="shared" si="65"/>
        <v>0.32522051761470872</v>
      </c>
      <c r="AD87" s="407">
        <f t="shared" si="66"/>
        <v>2.126693660501501</v>
      </c>
      <c r="AE87" s="407">
        <f t="shared" si="84"/>
        <v>2.7136955553703643E-2</v>
      </c>
      <c r="AF87" s="407">
        <f t="shared" si="67"/>
        <v>3.3695999999999997E-2</v>
      </c>
      <c r="AG87" s="407">
        <f t="shared" si="68"/>
        <v>6.1164921504968862E-2</v>
      </c>
      <c r="AH87" s="407">
        <f t="shared" si="69"/>
        <v>0</v>
      </c>
      <c r="AI87">
        <f t="shared" si="70"/>
        <v>0</v>
      </c>
      <c r="AJ87" s="408">
        <f t="shared" si="71"/>
        <v>0.45333464399999995</v>
      </c>
      <c r="AK87">
        <f t="shared" si="85"/>
        <v>4.8000000000000001E-2</v>
      </c>
      <c r="AL87" s="408">
        <f t="shared" si="72"/>
        <v>0.1215</v>
      </c>
      <c r="AM87" s="408">
        <f t="shared" si="86"/>
        <v>0.31645971316818772</v>
      </c>
      <c r="AN87" s="408">
        <f t="shared" si="90"/>
        <v>0.16949999999999998</v>
      </c>
      <c r="AO87" s="408">
        <f t="shared" si="73"/>
        <v>1.243253493198329</v>
      </c>
      <c r="AP87">
        <f t="shared" si="74"/>
        <v>11.933999999999999</v>
      </c>
      <c r="AQ87" s="10">
        <f t="shared" si="91"/>
        <v>0.90565154614047183</v>
      </c>
      <c r="AR87" s="63">
        <f t="shared" si="75"/>
        <v>16.261025880735435</v>
      </c>
      <c r="AS87" s="63">
        <f t="shared" si="92"/>
        <v>3.0582460752484431</v>
      </c>
      <c r="AT87" s="10"/>
      <c r="AU87">
        <f t="shared" si="93"/>
        <v>90.565154614047188</v>
      </c>
      <c r="BE87" s="28"/>
      <c r="BF87" s="29"/>
    </row>
    <row r="88" spans="1:58" x14ac:dyDescent="0.25">
      <c r="G88">
        <v>79</v>
      </c>
      <c r="H88">
        <f t="shared" si="55"/>
        <v>2.37</v>
      </c>
      <c r="I88" s="407">
        <f t="shared" si="76"/>
        <v>0.21358624999999998</v>
      </c>
      <c r="J88" s="408">
        <f t="shared" si="56"/>
        <v>1.8183694256756751</v>
      </c>
      <c r="K88" s="408">
        <f t="shared" si="77"/>
        <v>3.2791847128378375</v>
      </c>
      <c r="L88" s="408">
        <f t="shared" si="78"/>
        <v>1.4608152871621627</v>
      </c>
      <c r="M88" s="63">
        <f t="shared" si="57"/>
        <v>0</v>
      </c>
      <c r="N88" s="407">
        <f t="shared" si="58"/>
        <v>2.4274346432710963</v>
      </c>
      <c r="O88" s="407">
        <f t="shared" si="79"/>
        <v>2.9531800469271605E-2</v>
      </c>
      <c r="P88">
        <f t="shared" si="59"/>
        <v>0.2</v>
      </c>
      <c r="Q88" s="407">
        <f t="shared" si="80"/>
        <v>0.22953180046927163</v>
      </c>
      <c r="R88" s="9">
        <f t="shared" si="87"/>
        <v>0.52491803870001807</v>
      </c>
      <c r="S88" s="9">
        <f t="shared" si="81"/>
        <v>2.7553894735267365E-3</v>
      </c>
      <c r="T88" s="9">
        <f t="shared" si="88"/>
        <v>2.7553894735267365E-3</v>
      </c>
      <c r="U88" s="407">
        <f t="shared" si="60"/>
        <v>1.1218484470368557</v>
      </c>
      <c r="V88" s="409">
        <f t="shared" si="82"/>
        <v>2.51708787623801E-3</v>
      </c>
      <c r="W88" s="407">
        <f t="shared" si="89"/>
        <v>2.51708787623801E-3</v>
      </c>
      <c r="X88" s="407">
        <f t="shared" si="61"/>
        <v>1.1218484470368557</v>
      </c>
      <c r="Y88" s="407">
        <f t="shared" si="83"/>
        <v>7.5512636287140295E-3</v>
      </c>
      <c r="Z88" s="407">
        <f t="shared" si="62"/>
        <v>0.17561970496141499</v>
      </c>
      <c r="AA88" s="407">
        <f t="shared" si="63"/>
        <v>0.14400000000000002</v>
      </c>
      <c r="AB88" s="407">
        <f t="shared" si="64"/>
        <v>0</v>
      </c>
      <c r="AC88" s="407">
        <f t="shared" si="65"/>
        <v>0.32766582679818379</v>
      </c>
      <c r="AD88" s="407">
        <f t="shared" si="66"/>
        <v>2.1526483710150317</v>
      </c>
      <c r="AE88" s="407">
        <f t="shared" si="84"/>
        <v>2.7803370055402017E-2</v>
      </c>
      <c r="AF88" s="407">
        <f t="shared" si="67"/>
        <v>3.4127999999999999E-2</v>
      </c>
      <c r="AG88" s="407">
        <f t="shared" si="68"/>
        <v>6.2277675909301354E-2</v>
      </c>
      <c r="AH88" s="407">
        <f t="shared" si="69"/>
        <v>0</v>
      </c>
      <c r="AI88">
        <f t="shared" si="70"/>
        <v>0</v>
      </c>
      <c r="AJ88" s="408">
        <f t="shared" si="71"/>
        <v>0.45333124199999997</v>
      </c>
      <c r="AK88">
        <f t="shared" si="85"/>
        <v>4.8000000000000001E-2</v>
      </c>
      <c r="AL88" s="408">
        <f t="shared" si="72"/>
        <v>0.1215</v>
      </c>
      <c r="AM88" s="408">
        <f t="shared" si="86"/>
        <v>0.31645971316818772</v>
      </c>
      <c r="AN88" s="408">
        <f t="shared" si="90"/>
        <v>0.16949999999999998</v>
      </c>
      <c r="AO88" s="408">
        <f t="shared" si="73"/>
        <v>1.2475790225265213</v>
      </c>
      <c r="AP88">
        <f t="shared" si="74"/>
        <v>12.087</v>
      </c>
      <c r="AQ88" s="10">
        <f t="shared" si="91"/>
        <v>0.90644031428221716</v>
      </c>
      <c r="AR88" s="63">
        <f t="shared" si="75"/>
        <v>16.383291339909189</v>
      </c>
      <c r="AS88" s="63">
        <f t="shared" si="92"/>
        <v>3.1138837954650675</v>
      </c>
      <c r="AT88" s="10"/>
      <c r="AU88">
        <f t="shared" si="93"/>
        <v>90.644031428221723</v>
      </c>
      <c r="BE88" s="28"/>
      <c r="BF88" s="29"/>
    </row>
    <row r="89" spans="1:58" x14ac:dyDescent="0.25">
      <c r="G89">
        <v>80</v>
      </c>
      <c r="H89">
        <f t="shared" si="55"/>
        <v>2.4000000000000004</v>
      </c>
      <c r="I89" s="407">
        <f t="shared" si="76"/>
        <v>0.21359999999999998</v>
      </c>
      <c r="J89" s="408">
        <f t="shared" si="56"/>
        <v>1.818486486486486</v>
      </c>
      <c r="K89" s="408">
        <f t="shared" si="77"/>
        <v>3.3092432432432433</v>
      </c>
      <c r="L89" s="408">
        <f t="shared" si="78"/>
        <v>1.4907567567567575</v>
      </c>
      <c r="M89" s="63">
        <f t="shared" si="57"/>
        <v>0</v>
      </c>
      <c r="N89" s="407">
        <f t="shared" si="58"/>
        <v>2.4567406100620048</v>
      </c>
      <c r="O89" s="407">
        <f t="shared" si="79"/>
        <v>3.0250904760482901E-2</v>
      </c>
      <c r="P89">
        <f t="shared" si="59"/>
        <v>0.2</v>
      </c>
      <c r="Q89" s="407">
        <f t="shared" si="80"/>
        <v>0.23025090476048291</v>
      </c>
      <c r="R89" s="9">
        <f t="shared" si="87"/>
        <v>0.52495183124533473</v>
      </c>
      <c r="S89" s="9">
        <f t="shared" si="81"/>
        <v>2.7557442512783038E-3</v>
      </c>
      <c r="T89" s="9">
        <f t="shared" si="88"/>
        <v>2.7557442512783038E-3</v>
      </c>
      <c r="U89" s="407">
        <f t="shared" si="60"/>
        <v>1.1354288604784117</v>
      </c>
      <c r="V89" s="409">
        <f t="shared" si="82"/>
        <v>2.5783973944146091E-3</v>
      </c>
      <c r="W89" s="407">
        <f t="shared" si="89"/>
        <v>2.5783973944146091E-3</v>
      </c>
      <c r="X89" s="407">
        <f t="shared" si="61"/>
        <v>1.1354288604784117</v>
      </c>
      <c r="Y89" s="407">
        <f t="shared" si="83"/>
        <v>7.7351921832438282E-3</v>
      </c>
      <c r="Z89" s="407">
        <f t="shared" si="62"/>
        <v>0.17786791085682285</v>
      </c>
      <c r="AA89" s="407">
        <f t="shared" si="63"/>
        <v>0.14400000000000002</v>
      </c>
      <c r="AB89" s="407">
        <f t="shared" si="64"/>
        <v>0</v>
      </c>
      <c r="AC89" s="407">
        <f t="shared" si="65"/>
        <v>0.33011380177988842</v>
      </c>
      <c r="AD89" s="407">
        <f t="shared" si="66"/>
        <v>2.1786178480680189</v>
      </c>
      <c r="AE89" s="407">
        <f t="shared" si="84"/>
        <v>2.8478254367523156E-2</v>
      </c>
      <c r="AF89" s="407">
        <f t="shared" si="67"/>
        <v>3.4560000000000007E-2</v>
      </c>
      <c r="AG89" s="407">
        <f t="shared" si="68"/>
        <v>6.3399354958974877E-2</v>
      </c>
      <c r="AH89" s="407">
        <f t="shared" si="69"/>
        <v>0</v>
      </c>
      <c r="AI89">
        <f t="shared" si="70"/>
        <v>0</v>
      </c>
      <c r="AJ89" s="408">
        <f t="shared" si="71"/>
        <v>0.45332784000000004</v>
      </c>
      <c r="AK89">
        <f t="shared" si="85"/>
        <v>4.8000000000000001E-2</v>
      </c>
      <c r="AL89" s="408">
        <f t="shared" si="72"/>
        <v>0.1215</v>
      </c>
      <c r="AM89" s="408">
        <f t="shared" si="86"/>
        <v>0.31645971316818772</v>
      </c>
      <c r="AN89" s="408">
        <f t="shared" si="90"/>
        <v>0.16949999999999998</v>
      </c>
      <c r="AO89" s="408">
        <f t="shared" si="73"/>
        <v>1.2519260431450392</v>
      </c>
      <c r="AP89">
        <f t="shared" si="74"/>
        <v>12.24</v>
      </c>
      <c r="AQ89" s="10">
        <f t="shared" si="91"/>
        <v>0.90720924209474774</v>
      </c>
      <c r="AR89" s="63">
        <f t="shared" si="75"/>
        <v>16.50569008899442</v>
      </c>
      <c r="AS89" s="63">
        <f t="shared" si="92"/>
        <v>3.169967747948744</v>
      </c>
      <c r="AT89" s="10"/>
      <c r="AU89">
        <f t="shared" si="93"/>
        <v>90.720924209474774</v>
      </c>
      <c r="BE89" s="28"/>
      <c r="BF89" s="29"/>
    </row>
    <row r="90" spans="1:58" x14ac:dyDescent="0.25">
      <c r="G90">
        <v>81</v>
      </c>
      <c r="H90">
        <f t="shared" si="55"/>
        <v>2.4300000000000002</v>
      </c>
      <c r="I90" s="407">
        <f t="shared" si="76"/>
        <v>0.21361374999999996</v>
      </c>
      <c r="J90" s="408">
        <f t="shared" si="56"/>
        <v>1.8186035472972966</v>
      </c>
      <c r="K90" s="408">
        <f t="shared" si="77"/>
        <v>3.3393017736486486</v>
      </c>
      <c r="L90" s="408">
        <f t="shared" si="78"/>
        <v>1.5206982263513518</v>
      </c>
      <c r="M90" s="63">
        <f t="shared" si="57"/>
        <v>0</v>
      </c>
      <c r="N90" s="407">
        <f t="shared" si="58"/>
        <v>2.4860631337894175</v>
      </c>
      <c r="O90" s="407">
        <f t="shared" si="79"/>
        <v>3.0979136269361062E-2</v>
      </c>
      <c r="P90">
        <f t="shared" si="59"/>
        <v>0.2</v>
      </c>
      <c r="Q90" s="407">
        <f t="shared" si="80"/>
        <v>0.23097913626936106</v>
      </c>
      <c r="R90" s="9">
        <f t="shared" si="87"/>
        <v>0.52498562379065128</v>
      </c>
      <c r="S90" s="9">
        <f t="shared" si="81"/>
        <v>2.7560990518685925E-3</v>
      </c>
      <c r="T90" s="9">
        <f t="shared" si="88"/>
        <v>2.7560990518685925E-3</v>
      </c>
      <c r="U90" s="407">
        <f t="shared" si="60"/>
        <v>1.1490177969723137</v>
      </c>
      <c r="V90" s="409">
        <f t="shared" si="82"/>
        <v>2.640483795518218E-3</v>
      </c>
      <c r="W90" s="407">
        <f t="shared" si="89"/>
        <v>2.640483795518218E-3</v>
      </c>
      <c r="X90" s="407">
        <f t="shared" si="61"/>
        <v>1.1490177969723137</v>
      </c>
      <c r="Y90" s="407">
        <f t="shared" si="83"/>
        <v>7.9214513865546541E-3</v>
      </c>
      <c r="Z90" s="407">
        <f t="shared" si="62"/>
        <v>0.18011611675223063</v>
      </c>
      <c r="AA90" s="407">
        <f t="shared" si="63"/>
        <v>0.14400000000000002</v>
      </c>
      <c r="AB90" s="407">
        <f t="shared" si="64"/>
        <v>0</v>
      </c>
      <c r="AC90" s="407">
        <f t="shared" si="65"/>
        <v>0.33256444675836383</v>
      </c>
      <c r="AD90" s="407">
        <f t="shared" si="66"/>
        <v>2.2046015529858791</v>
      </c>
      <c r="AE90" s="407">
        <f t="shared" si="84"/>
        <v>2.9161608044566498E-2</v>
      </c>
      <c r="AF90" s="407">
        <f t="shared" si="67"/>
        <v>3.4992000000000002E-2</v>
      </c>
      <c r="AG90" s="407">
        <f t="shared" si="68"/>
        <v>6.4529967568840732E-2</v>
      </c>
      <c r="AH90" s="407">
        <f t="shared" si="69"/>
        <v>0</v>
      </c>
      <c r="AI90">
        <f t="shared" si="70"/>
        <v>0</v>
      </c>
      <c r="AJ90" s="408">
        <f t="shared" si="71"/>
        <v>0.45332443800000005</v>
      </c>
      <c r="AK90">
        <f t="shared" si="85"/>
        <v>4.8000000000000001E-2</v>
      </c>
      <c r="AL90" s="408">
        <f t="shared" si="72"/>
        <v>0.1215</v>
      </c>
      <c r="AM90" s="408">
        <f t="shared" si="86"/>
        <v>0.31645971316818772</v>
      </c>
      <c r="AN90" s="408">
        <f t="shared" si="90"/>
        <v>0.16949999999999998</v>
      </c>
      <c r="AO90" s="408">
        <f t="shared" si="73"/>
        <v>1.2562945714439524</v>
      </c>
      <c r="AP90">
        <f t="shared" si="74"/>
        <v>12.393000000000001</v>
      </c>
      <c r="AQ90" s="10">
        <f t="shared" si="91"/>
        <v>0.90795901100469478</v>
      </c>
      <c r="AR90" s="63">
        <f t="shared" si="75"/>
        <v>16.628222337918192</v>
      </c>
      <c r="AS90" s="63">
        <f t="shared" si="92"/>
        <v>3.2264983784420367</v>
      </c>
      <c r="AT90" s="10"/>
      <c r="AU90">
        <f t="shared" si="93"/>
        <v>90.795901100469479</v>
      </c>
      <c r="BE90" s="28"/>
      <c r="BF90" s="29"/>
    </row>
    <row r="91" spans="1:58" x14ac:dyDescent="0.25">
      <c r="G91">
        <v>82</v>
      </c>
      <c r="H91">
        <f t="shared" si="55"/>
        <v>2.46</v>
      </c>
      <c r="I91" s="407">
        <f t="shared" si="76"/>
        <v>0.21362749999999997</v>
      </c>
      <c r="J91" s="408">
        <f t="shared" si="56"/>
        <v>1.8187206081081075</v>
      </c>
      <c r="K91" s="408">
        <f t="shared" si="77"/>
        <v>3.3693603040540538</v>
      </c>
      <c r="L91" s="408">
        <f t="shared" si="78"/>
        <v>1.5506396959459461</v>
      </c>
      <c r="M91" s="63">
        <f t="shared" si="57"/>
        <v>0</v>
      </c>
      <c r="N91" s="407">
        <f t="shared" si="58"/>
        <v>2.5154016354311612</v>
      </c>
      <c r="O91" s="407">
        <f t="shared" si="79"/>
        <v>3.171649816433636E-2</v>
      </c>
      <c r="P91">
        <f t="shared" si="59"/>
        <v>0.2</v>
      </c>
      <c r="Q91" s="407">
        <f t="shared" si="80"/>
        <v>0.23171649816433637</v>
      </c>
      <c r="R91" s="9">
        <f t="shared" si="87"/>
        <v>0.52501941633596794</v>
      </c>
      <c r="S91" s="9">
        <f t="shared" si="81"/>
        <v>2.7564538752976042E-3</v>
      </c>
      <c r="T91" s="9">
        <f t="shared" si="88"/>
        <v>2.7564538752976042E-3</v>
      </c>
      <c r="U91" s="407">
        <f t="shared" si="60"/>
        <v>1.1626149895922182</v>
      </c>
      <c r="V91" s="409">
        <f t="shared" si="82"/>
        <v>2.7033472280490272E-3</v>
      </c>
      <c r="W91" s="407">
        <f t="shared" si="89"/>
        <v>2.7033472280490272E-3</v>
      </c>
      <c r="X91" s="407">
        <f t="shared" si="61"/>
        <v>1.1626149895922182</v>
      </c>
      <c r="Y91" s="407">
        <f t="shared" si="83"/>
        <v>8.1100416841470811E-3</v>
      </c>
      <c r="Z91" s="407">
        <f t="shared" si="62"/>
        <v>0.18236432264763841</v>
      </c>
      <c r="AA91" s="407">
        <f t="shared" si="63"/>
        <v>0.14400000000000002</v>
      </c>
      <c r="AB91" s="407">
        <f t="shared" si="64"/>
        <v>0</v>
      </c>
      <c r="AC91" s="407">
        <f t="shared" si="65"/>
        <v>0.33501776594112798</v>
      </c>
      <c r="AD91" s="407">
        <f t="shared" si="66"/>
        <v>2.2305989719143255</v>
      </c>
      <c r="AE91" s="407">
        <f t="shared" si="84"/>
        <v>2.9853430641031478E-2</v>
      </c>
      <c r="AF91" s="407">
        <f t="shared" si="67"/>
        <v>3.5423999999999997E-2</v>
      </c>
      <c r="AG91" s="407">
        <f t="shared" si="68"/>
        <v>6.5669522749558187E-2</v>
      </c>
      <c r="AH91" s="407">
        <f t="shared" si="69"/>
        <v>0</v>
      </c>
      <c r="AI91">
        <f t="shared" si="70"/>
        <v>0</v>
      </c>
      <c r="AJ91" s="408">
        <f t="shared" si="71"/>
        <v>0.45332103600000001</v>
      </c>
      <c r="AK91">
        <f t="shared" si="85"/>
        <v>4.8000000000000001E-2</v>
      </c>
      <c r="AL91" s="408">
        <f t="shared" si="72"/>
        <v>0.1215</v>
      </c>
      <c r="AM91" s="408">
        <f t="shared" si="86"/>
        <v>0.31645971316818772</v>
      </c>
      <c r="AN91" s="408">
        <f t="shared" si="90"/>
        <v>0.16949999999999998</v>
      </c>
      <c r="AO91" s="408">
        <f t="shared" si="73"/>
        <v>1.2606846239583693</v>
      </c>
      <c r="AP91">
        <f t="shared" si="74"/>
        <v>12.545999999999999</v>
      </c>
      <c r="AQ91" s="10">
        <f t="shared" si="91"/>
        <v>0.90869027153914006</v>
      </c>
      <c r="AR91" s="63">
        <f t="shared" si="75"/>
        <v>16.750888297056399</v>
      </c>
      <c r="AS91" s="63">
        <f t="shared" si="92"/>
        <v>3.2834761374779093</v>
      </c>
      <c r="AT91" s="10"/>
      <c r="AU91">
        <f t="shared" si="93"/>
        <v>90.869027153914004</v>
      </c>
      <c r="BE91" s="28"/>
      <c r="BF91" s="29"/>
    </row>
    <row r="92" spans="1:58" x14ac:dyDescent="0.25">
      <c r="G92">
        <v>83</v>
      </c>
      <c r="H92">
        <f t="shared" si="55"/>
        <v>2.4899999999999998</v>
      </c>
      <c r="I92" s="407">
        <f t="shared" si="76"/>
        <v>0.21364125</v>
      </c>
      <c r="J92" s="408">
        <f t="shared" si="56"/>
        <v>1.8188376689189187</v>
      </c>
      <c r="K92" s="408">
        <f t="shared" si="77"/>
        <v>3.3994188344594591</v>
      </c>
      <c r="L92" s="408">
        <f t="shared" si="78"/>
        <v>1.5805811655405404</v>
      </c>
      <c r="M92" s="63">
        <f t="shared" si="57"/>
        <v>0</v>
      </c>
      <c r="N92" s="407">
        <f t="shared" si="58"/>
        <v>2.5447555623588944</v>
      </c>
      <c r="O92" s="407">
        <f t="shared" si="79"/>
        <v>3.2462993654125999E-2</v>
      </c>
      <c r="P92">
        <f t="shared" si="59"/>
        <v>0.2</v>
      </c>
      <c r="Q92" s="407">
        <f t="shared" si="80"/>
        <v>0.23246299365412601</v>
      </c>
      <c r="R92" s="9">
        <f t="shared" si="87"/>
        <v>0.52505320888128459</v>
      </c>
      <c r="S92" s="9">
        <f t="shared" si="81"/>
        <v>2.7568087215653386E-3</v>
      </c>
      <c r="T92" s="9">
        <f t="shared" si="88"/>
        <v>2.7568087215653386E-3</v>
      </c>
      <c r="U92" s="407">
        <f t="shared" si="60"/>
        <v>1.1762201835768726</v>
      </c>
      <c r="V92" s="409">
        <f t="shared" si="82"/>
        <v>2.766987840507224E-3</v>
      </c>
      <c r="W92" s="407">
        <f t="shared" si="89"/>
        <v>2.766987840507224E-3</v>
      </c>
      <c r="X92" s="407">
        <f t="shared" si="61"/>
        <v>1.1762201835768726</v>
      </c>
      <c r="Y92" s="407">
        <f t="shared" si="83"/>
        <v>8.3009635215216728E-3</v>
      </c>
      <c r="Z92" s="407">
        <f t="shared" si="62"/>
        <v>0.18461252854304622</v>
      </c>
      <c r="AA92" s="407">
        <f t="shared" si="63"/>
        <v>0.14400000000000002</v>
      </c>
      <c r="AB92" s="407">
        <f t="shared" si="64"/>
        <v>0</v>
      </c>
      <c r="AC92" s="407">
        <f t="shared" si="65"/>
        <v>0.33747376354469888</v>
      </c>
      <c r="AD92" s="407">
        <f t="shared" si="66"/>
        <v>2.2566096144222465</v>
      </c>
      <c r="AE92" s="407">
        <f t="shared" si="84"/>
        <v>3.0553721711417518E-2</v>
      </c>
      <c r="AF92" s="407">
        <f t="shared" si="67"/>
        <v>3.5855999999999999E-2</v>
      </c>
      <c r="AG92" s="407">
        <f t="shared" si="68"/>
        <v>6.6818029607805945E-2</v>
      </c>
      <c r="AH92" s="407">
        <f t="shared" si="69"/>
        <v>0</v>
      </c>
      <c r="AI92">
        <f t="shared" si="70"/>
        <v>0</v>
      </c>
      <c r="AJ92" s="408">
        <f t="shared" si="71"/>
        <v>0.45331763400000002</v>
      </c>
      <c r="AK92">
        <f t="shared" si="85"/>
        <v>4.8000000000000001E-2</v>
      </c>
      <c r="AL92" s="408">
        <f t="shared" si="72"/>
        <v>0.1215</v>
      </c>
      <c r="AM92" s="408">
        <f t="shared" si="86"/>
        <v>0.31645971316818772</v>
      </c>
      <c r="AN92" s="408">
        <f t="shared" si="90"/>
        <v>0.16949999999999998</v>
      </c>
      <c r="AO92" s="408">
        <f t="shared" si="73"/>
        <v>1.2650962173687035</v>
      </c>
      <c r="AP92">
        <f t="shared" si="74"/>
        <v>12.698999999999998</v>
      </c>
      <c r="AQ92" s="10">
        <f t="shared" si="91"/>
        <v>0.90940364505687354</v>
      </c>
      <c r="AR92" s="63">
        <f t="shared" si="75"/>
        <v>16.873688177234943</v>
      </c>
      <c r="AS92" s="63">
        <f t="shared" si="92"/>
        <v>3.3409014803902974</v>
      </c>
      <c r="AT92" s="10"/>
      <c r="AU92">
        <f t="shared" si="93"/>
        <v>90.940364505687356</v>
      </c>
      <c r="BE92" s="28"/>
      <c r="BF92" s="29"/>
    </row>
    <row r="93" spans="1:58" x14ac:dyDescent="0.25">
      <c r="G93">
        <v>84</v>
      </c>
      <c r="H93">
        <f t="shared" si="55"/>
        <v>2.52</v>
      </c>
      <c r="I93" s="407">
        <f t="shared" si="76"/>
        <v>0.21365499999999996</v>
      </c>
      <c r="J93" s="408">
        <f t="shared" si="56"/>
        <v>1.8189547297297288</v>
      </c>
      <c r="K93" s="408">
        <f t="shared" si="77"/>
        <v>3.4294773648648644</v>
      </c>
      <c r="L93" s="408">
        <f t="shared" si="78"/>
        <v>1.6105226351351356</v>
      </c>
      <c r="M93" s="63">
        <f t="shared" si="57"/>
        <v>0</v>
      </c>
      <c r="N93" s="407">
        <f t="shared" si="58"/>
        <v>2.5741243868677324</v>
      </c>
      <c r="O93" s="407">
        <f t="shared" si="79"/>
        <v>3.3218625987769208E-2</v>
      </c>
      <c r="P93">
        <f t="shared" si="59"/>
        <v>0.2</v>
      </c>
      <c r="Q93" s="407">
        <f t="shared" si="80"/>
        <v>0.23321862598776921</v>
      </c>
      <c r="R93" s="9">
        <f t="shared" si="87"/>
        <v>0.52508700142660103</v>
      </c>
      <c r="S93" s="9">
        <f t="shared" si="81"/>
        <v>2.7571635906717936E-3</v>
      </c>
      <c r="T93" s="9">
        <f t="shared" si="88"/>
        <v>2.7571635906717936E-3</v>
      </c>
      <c r="U93" s="407">
        <f t="shared" si="60"/>
        <v>1.1898331356524317</v>
      </c>
      <c r="V93" s="409">
        <f t="shared" si="82"/>
        <v>2.8314057813929958E-3</v>
      </c>
      <c r="W93" s="407">
        <f t="shared" si="89"/>
        <v>2.8314057813929958E-3</v>
      </c>
      <c r="X93" s="407">
        <f t="shared" si="61"/>
        <v>1.1898331356524317</v>
      </c>
      <c r="Y93" s="407">
        <f t="shared" si="83"/>
        <v>8.4942173441789875E-3</v>
      </c>
      <c r="Z93" s="407">
        <f t="shared" si="62"/>
        <v>0.18686073443845405</v>
      </c>
      <c r="AA93" s="407">
        <f t="shared" si="63"/>
        <v>0.14400000000000002</v>
      </c>
      <c r="AB93" s="407">
        <f t="shared" si="64"/>
        <v>0</v>
      </c>
      <c r="AC93" s="407">
        <f t="shared" si="65"/>
        <v>0.33993244379461895</v>
      </c>
      <c r="AD93" s="407">
        <f t="shared" si="66"/>
        <v>2.2826330121968099</v>
      </c>
      <c r="AE93" s="407">
        <f t="shared" si="84"/>
        <v>3.1262480810224091E-2</v>
      </c>
      <c r="AF93" s="407">
        <f t="shared" si="67"/>
        <v>3.6288000000000001E-2</v>
      </c>
      <c r="AG93" s="407">
        <f t="shared" si="68"/>
        <v>6.7975497346496147E-2</v>
      </c>
      <c r="AH93" s="407">
        <f t="shared" si="69"/>
        <v>0</v>
      </c>
      <c r="AI93">
        <f t="shared" si="70"/>
        <v>0</v>
      </c>
      <c r="AJ93" s="408">
        <f t="shared" si="71"/>
        <v>0.45331423199999998</v>
      </c>
      <c r="AK93">
        <f t="shared" si="85"/>
        <v>4.8000000000000001E-2</v>
      </c>
      <c r="AL93" s="408">
        <f t="shared" si="72"/>
        <v>0.1215</v>
      </c>
      <c r="AM93" s="408">
        <f t="shared" si="86"/>
        <v>0.31645971316818772</v>
      </c>
      <c r="AN93" s="408">
        <f t="shared" si="90"/>
        <v>0.16949999999999998</v>
      </c>
      <c r="AO93" s="408">
        <f t="shared" si="73"/>
        <v>1.269529368500949</v>
      </c>
      <c r="AP93">
        <f t="shared" si="74"/>
        <v>12.851999999999999</v>
      </c>
      <c r="AQ93" s="10">
        <f t="shared" si="91"/>
        <v>0.91009972536453998</v>
      </c>
      <c r="AR93" s="63">
        <f t="shared" si="75"/>
        <v>16.99662218973095</v>
      </c>
      <c r="AS93" s="63">
        <f t="shared" si="92"/>
        <v>3.3987748673248075</v>
      </c>
      <c r="AT93" s="10"/>
      <c r="AU93">
        <f t="shared" si="93"/>
        <v>91.009972536454001</v>
      </c>
      <c r="BE93" s="28"/>
      <c r="BF93" s="29"/>
    </row>
    <row r="94" spans="1:58" x14ac:dyDescent="0.25">
      <c r="G94">
        <v>85</v>
      </c>
      <c r="H94">
        <f t="shared" si="55"/>
        <v>2.5499999999999998</v>
      </c>
      <c r="I94" s="407">
        <f t="shared" si="76"/>
        <v>0.21366874999999996</v>
      </c>
      <c r="J94" s="408">
        <f t="shared" si="56"/>
        <v>1.8190717905405398</v>
      </c>
      <c r="K94" s="408">
        <f t="shared" si="77"/>
        <v>3.4595358952702697</v>
      </c>
      <c r="L94" s="408">
        <f t="shared" si="78"/>
        <v>1.6404641047297299</v>
      </c>
      <c r="M94" s="63">
        <f t="shared" si="57"/>
        <v>0</v>
      </c>
      <c r="N94" s="407">
        <f t="shared" si="58"/>
        <v>2.6035076048019712</v>
      </c>
      <c r="O94" s="407">
        <f t="shared" si="79"/>
        <v>3.3983398454662701E-2</v>
      </c>
      <c r="P94">
        <f t="shared" si="59"/>
        <v>0.2</v>
      </c>
      <c r="Q94" s="407">
        <f t="shared" si="80"/>
        <v>0.23398339845466271</v>
      </c>
      <c r="R94" s="9">
        <f t="shared" si="87"/>
        <v>0.52512079397191758</v>
      </c>
      <c r="S94" s="9">
        <f t="shared" si="81"/>
        <v>2.7575184826169712E-3</v>
      </c>
      <c r="T94" s="9">
        <f t="shared" si="88"/>
        <v>2.7575184826169712E-3</v>
      </c>
      <c r="U94" s="407">
        <f t="shared" si="60"/>
        <v>1.203453613399065</v>
      </c>
      <c r="V94" s="409">
        <f t="shared" si="82"/>
        <v>2.8966011992065323E-3</v>
      </c>
      <c r="W94" s="407">
        <f t="shared" si="89"/>
        <v>2.8966011992065323E-3</v>
      </c>
      <c r="X94" s="407">
        <f t="shared" si="61"/>
        <v>1.203453613399065</v>
      </c>
      <c r="Y94" s="407">
        <f t="shared" si="83"/>
        <v>8.6898035976195973E-3</v>
      </c>
      <c r="Z94" s="407">
        <f t="shared" si="62"/>
        <v>0.18910894033386183</v>
      </c>
      <c r="AA94" s="407">
        <f t="shared" si="63"/>
        <v>0.14400000000000002</v>
      </c>
      <c r="AB94" s="407">
        <f t="shared" si="64"/>
        <v>0</v>
      </c>
      <c r="AC94" s="407">
        <f t="shared" si="65"/>
        <v>0.34239381092547805</v>
      </c>
      <c r="AD94" s="407">
        <f t="shared" si="66"/>
        <v>2.3086687178238523</v>
      </c>
      <c r="AE94" s="407">
        <f t="shared" si="84"/>
        <v>3.1979707491950581E-2</v>
      </c>
      <c r="AF94" s="407">
        <f t="shared" si="67"/>
        <v>3.6719999999999996E-2</v>
      </c>
      <c r="AG94" s="407">
        <f t="shared" si="68"/>
        <v>6.9141935264990934E-2</v>
      </c>
      <c r="AH94" s="407">
        <f t="shared" si="69"/>
        <v>0</v>
      </c>
      <c r="AI94">
        <f t="shared" si="70"/>
        <v>0</v>
      </c>
      <c r="AJ94" s="408">
        <f t="shared" si="71"/>
        <v>0.45331083</v>
      </c>
      <c r="AK94">
        <f t="shared" si="85"/>
        <v>4.8000000000000001E-2</v>
      </c>
      <c r="AL94" s="408">
        <f t="shared" si="72"/>
        <v>0.1215</v>
      </c>
      <c r="AM94" s="408">
        <f t="shared" si="86"/>
        <v>0.31645971316818772</v>
      </c>
      <c r="AN94" s="408">
        <f t="shared" si="90"/>
        <v>0.16949999999999998</v>
      </c>
      <c r="AO94" s="408">
        <f t="shared" si="73"/>
        <v>1.2739840943269551</v>
      </c>
      <c r="AP94">
        <f t="shared" si="74"/>
        <v>13.004999999999999</v>
      </c>
      <c r="AQ94" s="10">
        <f t="shared" si="91"/>
        <v>0.910779080226505</v>
      </c>
      <c r="AR94" s="63">
        <f t="shared" si="75"/>
        <v>17.119690546273901</v>
      </c>
      <c r="AS94" s="63">
        <f t="shared" si="92"/>
        <v>3.4570967632495466</v>
      </c>
      <c r="AT94" s="10"/>
      <c r="AU94">
        <f t="shared" si="93"/>
        <v>91.077908022650504</v>
      </c>
      <c r="BE94" s="28"/>
      <c r="BF94" s="29"/>
    </row>
    <row r="95" spans="1:58" x14ac:dyDescent="0.25">
      <c r="G95">
        <v>86</v>
      </c>
      <c r="H95">
        <f t="shared" si="55"/>
        <v>2.58</v>
      </c>
      <c r="I95" s="407">
        <f t="shared" si="76"/>
        <v>0.2136825</v>
      </c>
      <c r="J95" s="408">
        <f t="shared" si="56"/>
        <v>1.8191888513513512</v>
      </c>
      <c r="K95" s="408">
        <f t="shared" si="77"/>
        <v>3.4895944256756755</v>
      </c>
      <c r="L95" s="408">
        <f t="shared" si="78"/>
        <v>1.6704055743243245</v>
      </c>
      <c r="M95" s="63">
        <f t="shared" si="57"/>
        <v>0</v>
      </c>
      <c r="N95" s="407">
        <f t="shared" si="58"/>
        <v>2.6329047342697547</v>
      </c>
      <c r="O95" s="407">
        <f t="shared" si="79"/>
        <v>3.4757314384596547E-2</v>
      </c>
      <c r="P95">
        <f t="shared" si="59"/>
        <v>0.2</v>
      </c>
      <c r="Q95" s="407">
        <f t="shared" si="80"/>
        <v>0.23475731438459657</v>
      </c>
      <c r="R95" s="9">
        <f t="shared" si="87"/>
        <v>0.52515458651723435</v>
      </c>
      <c r="S95" s="9">
        <f t="shared" si="81"/>
        <v>2.757873397400874E-3</v>
      </c>
      <c r="T95" s="9">
        <f t="shared" si="88"/>
        <v>2.757873397400874E-3</v>
      </c>
      <c r="U95" s="407">
        <f t="shared" si="60"/>
        <v>1.2170813946585541</v>
      </c>
      <c r="V95" s="409">
        <f t="shared" si="82"/>
        <v>2.9625742424480225E-3</v>
      </c>
      <c r="W95" s="407">
        <f t="shared" si="89"/>
        <v>2.9625742424480225E-3</v>
      </c>
      <c r="X95" s="407">
        <f t="shared" si="61"/>
        <v>1.2170813946585541</v>
      </c>
      <c r="Y95" s="407">
        <f t="shared" si="83"/>
        <v>8.8877227273440676E-3</v>
      </c>
      <c r="Z95" s="407">
        <f t="shared" si="62"/>
        <v>0.19135714622926964</v>
      </c>
      <c r="AA95" s="407">
        <f t="shared" si="63"/>
        <v>0.14400000000000002</v>
      </c>
      <c r="AB95" s="407">
        <f t="shared" si="64"/>
        <v>0</v>
      </c>
      <c r="AC95" s="407">
        <f t="shared" si="65"/>
        <v>0.3448578691809383</v>
      </c>
      <c r="AD95" s="407">
        <f t="shared" si="66"/>
        <v>2.3347163036472067</v>
      </c>
      <c r="AE95" s="407">
        <f t="shared" si="84"/>
        <v>3.2705401311096456E-2</v>
      </c>
      <c r="AF95" s="407">
        <f t="shared" si="67"/>
        <v>3.7151999999999998E-2</v>
      </c>
      <c r="AG95" s="407">
        <f t="shared" si="68"/>
        <v>7.0317352759321966E-2</v>
      </c>
      <c r="AH95" s="407">
        <f t="shared" si="69"/>
        <v>0</v>
      </c>
      <c r="AI95">
        <f t="shared" si="70"/>
        <v>0</v>
      </c>
      <c r="AJ95" s="408">
        <f t="shared" si="71"/>
        <v>0.45330742800000001</v>
      </c>
      <c r="AK95">
        <f t="shared" si="85"/>
        <v>4.8000000000000001E-2</v>
      </c>
      <c r="AL95" s="408">
        <f t="shared" si="72"/>
        <v>0.1215</v>
      </c>
      <c r="AM95" s="408">
        <f t="shared" si="86"/>
        <v>0.31645971316818772</v>
      </c>
      <c r="AN95" s="408">
        <f t="shared" si="90"/>
        <v>0.16949999999999998</v>
      </c>
      <c r="AO95" s="408">
        <f t="shared" si="73"/>
        <v>1.2784604119647056</v>
      </c>
      <c r="AP95">
        <f t="shared" si="74"/>
        <v>13.157999999999999</v>
      </c>
      <c r="AQ95" s="10">
        <f t="shared" si="91"/>
        <v>0.91144225277650903</v>
      </c>
      <c r="AR95" s="63">
        <f t="shared" si="75"/>
        <v>17.242893459046915</v>
      </c>
      <c r="AS95" s="63">
        <f t="shared" si="92"/>
        <v>3.5158676379660982</v>
      </c>
      <c r="AT95" s="10"/>
      <c r="AU95">
        <f t="shared" si="93"/>
        <v>91.144225277650904</v>
      </c>
      <c r="BE95" s="28"/>
      <c r="BF95" s="29"/>
    </row>
    <row r="96" spans="1:58" x14ac:dyDescent="0.25">
      <c r="G96">
        <v>87</v>
      </c>
      <c r="H96">
        <f t="shared" si="55"/>
        <v>2.61</v>
      </c>
      <c r="I96" s="407">
        <f t="shared" si="76"/>
        <v>0.21369624999999995</v>
      </c>
      <c r="J96" s="408">
        <f t="shared" si="56"/>
        <v>1.8193059121621613</v>
      </c>
      <c r="K96" s="408">
        <f t="shared" si="77"/>
        <v>3.5196529560810808</v>
      </c>
      <c r="L96" s="408">
        <f t="shared" si="78"/>
        <v>1.7003470439189192</v>
      </c>
      <c r="M96" s="63">
        <f t="shared" si="57"/>
        <v>0</v>
      </c>
      <c r="N96" s="407">
        <f t="shared" si="58"/>
        <v>2.6623153144401113</v>
      </c>
      <c r="O96" s="407">
        <f t="shared" si="79"/>
        <v>3.554037714779059E-2</v>
      </c>
      <c r="P96">
        <f t="shared" si="59"/>
        <v>0.2</v>
      </c>
      <c r="Q96" s="407">
        <f t="shared" si="80"/>
        <v>0.23554037714779061</v>
      </c>
      <c r="R96" s="9">
        <f t="shared" si="87"/>
        <v>0.52518837906255078</v>
      </c>
      <c r="S96" s="9">
        <f t="shared" si="81"/>
        <v>2.7582283350234956E-3</v>
      </c>
      <c r="T96" s="9">
        <f t="shared" si="88"/>
        <v>2.7582283350234956E-3</v>
      </c>
      <c r="U96" s="407">
        <f t="shared" si="60"/>
        <v>1.2307162669798535</v>
      </c>
      <c r="V96" s="409">
        <f t="shared" si="82"/>
        <v>3.0293250596176522E-3</v>
      </c>
      <c r="W96" s="407">
        <f t="shared" si="89"/>
        <v>3.0293250596176522E-3</v>
      </c>
      <c r="X96" s="407">
        <f t="shared" si="61"/>
        <v>1.2307162669798535</v>
      </c>
      <c r="Y96" s="407">
        <f t="shared" si="83"/>
        <v>9.0879751788529566E-3</v>
      </c>
      <c r="Z96" s="407">
        <f t="shared" si="62"/>
        <v>0.19360535212467744</v>
      </c>
      <c r="AA96" s="407">
        <f t="shared" si="63"/>
        <v>0.14400000000000002</v>
      </c>
      <c r="AB96" s="407">
        <f t="shared" si="64"/>
        <v>0</v>
      </c>
      <c r="AC96" s="407">
        <f t="shared" si="65"/>
        <v>0.34732462281375759</v>
      </c>
      <c r="AD96" s="407">
        <f t="shared" si="66"/>
        <v>2.3607753607011239</v>
      </c>
      <c r="AE96" s="407">
        <f t="shared" si="84"/>
        <v>3.3439561822161137E-2</v>
      </c>
      <c r="AF96" s="407">
        <f t="shared" si="67"/>
        <v>3.7583999999999999E-2</v>
      </c>
      <c r="AG96" s="407">
        <f t="shared" si="68"/>
        <v>7.1501759322412151E-2</v>
      </c>
      <c r="AH96" s="407">
        <f t="shared" si="69"/>
        <v>0</v>
      </c>
      <c r="AI96">
        <f t="shared" si="70"/>
        <v>0</v>
      </c>
      <c r="AJ96" s="408">
        <f t="shared" si="71"/>
        <v>0.45330402599999997</v>
      </c>
      <c r="AK96">
        <f t="shared" si="85"/>
        <v>4.8000000000000001E-2</v>
      </c>
      <c r="AL96" s="408">
        <f t="shared" si="72"/>
        <v>0.1215</v>
      </c>
      <c r="AM96" s="408">
        <f t="shared" si="86"/>
        <v>0.31645971316818772</v>
      </c>
      <c r="AN96" s="408">
        <f t="shared" si="90"/>
        <v>0.16949999999999998</v>
      </c>
      <c r="AO96" s="408">
        <f t="shared" si="73"/>
        <v>1.2829583386786012</v>
      </c>
      <c r="AP96">
        <f t="shared" si="74"/>
        <v>13.310999999999998</v>
      </c>
      <c r="AQ96" s="10">
        <f t="shared" si="91"/>
        <v>0.91208976283847842</v>
      </c>
      <c r="AR96" s="63">
        <f t="shared" si="75"/>
        <v>17.36623114068788</v>
      </c>
      <c r="AS96" s="63">
        <f t="shared" si="92"/>
        <v>3.5750879661206074</v>
      </c>
      <c r="AT96" s="10"/>
      <c r="AU96">
        <f t="shared" si="93"/>
        <v>91.208976283847846</v>
      </c>
      <c r="BE96" s="28"/>
      <c r="BF96" s="29"/>
    </row>
    <row r="97" spans="7:58" x14ac:dyDescent="0.25">
      <c r="G97">
        <v>88</v>
      </c>
      <c r="H97">
        <f t="shared" si="55"/>
        <v>2.64</v>
      </c>
      <c r="I97" s="407">
        <f t="shared" si="76"/>
        <v>0.21370999999999998</v>
      </c>
      <c r="J97" s="408">
        <f t="shared" si="56"/>
        <v>1.8194229729729725</v>
      </c>
      <c r="K97" s="408">
        <f t="shared" si="77"/>
        <v>3.5497114864864865</v>
      </c>
      <c r="L97" s="408">
        <f t="shared" si="78"/>
        <v>1.7302885135135138</v>
      </c>
      <c r="M97" s="63">
        <f t="shared" si="57"/>
        <v>0</v>
      </c>
      <c r="N97" s="407">
        <f t="shared" si="58"/>
        <v>2.6917389044163413</v>
      </c>
      <c r="O97" s="407">
        <f t="shared" si="79"/>
        <v>3.6332590154931274E-2</v>
      </c>
      <c r="P97">
        <f t="shared" si="59"/>
        <v>0.2</v>
      </c>
      <c r="Q97" s="407">
        <f t="shared" si="80"/>
        <v>0.2363325901549313</v>
      </c>
      <c r="R97" s="9">
        <f t="shared" si="87"/>
        <v>0.52522217160786744</v>
      </c>
      <c r="S97" s="9">
        <f t="shared" si="81"/>
        <v>2.7585832954848417E-3</v>
      </c>
      <c r="T97" s="9">
        <f t="shared" si="88"/>
        <v>2.7585832954848417E-3</v>
      </c>
      <c r="U97" s="407">
        <f t="shared" si="60"/>
        <v>1.2443580270998402</v>
      </c>
      <c r="V97" s="409">
        <f t="shared" si="82"/>
        <v>3.0968537992156135E-3</v>
      </c>
      <c r="W97" s="407">
        <f t="shared" si="89"/>
        <v>3.0968537992156135E-3</v>
      </c>
      <c r="X97" s="407">
        <f t="shared" si="61"/>
        <v>1.2443580270998402</v>
      </c>
      <c r="Y97" s="407">
        <f t="shared" si="83"/>
        <v>9.2905613976468401E-3</v>
      </c>
      <c r="Z97" s="407">
        <f t="shared" si="62"/>
        <v>0.19585355802008522</v>
      </c>
      <c r="AA97" s="407">
        <f t="shared" si="63"/>
        <v>0.14400000000000002</v>
      </c>
      <c r="AB97" s="407">
        <f t="shared" si="64"/>
        <v>0</v>
      </c>
      <c r="AC97" s="407">
        <f t="shared" si="65"/>
        <v>0.3497940760858137</v>
      </c>
      <c r="AD97" s="407">
        <f t="shared" si="66"/>
        <v>2.386845497710457</v>
      </c>
      <c r="AE97" s="407">
        <f t="shared" si="84"/>
        <v>3.4182188579644071E-2</v>
      </c>
      <c r="AF97" s="407">
        <f t="shared" si="67"/>
        <v>3.8016000000000001E-2</v>
      </c>
      <c r="AG97" s="407">
        <f t="shared" si="68"/>
        <v>7.2695164544300389E-2</v>
      </c>
      <c r="AH97" s="407">
        <f t="shared" si="69"/>
        <v>0</v>
      </c>
      <c r="AI97">
        <f t="shared" si="70"/>
        <v>0</v>
      </c>
      <c r="AJ97" s="408">
        <f t="shared" si="71"/>
        <v>0.45330062399999999</v>
      </c>
      <c r="AK97">
        <f t="shared" si="85"/>
        <v>4.8000000000000001E-2</v>
      </c>
      <c r="AL97" s="408">
        <f t="shared" si="72"/>
        <v>0.1215</v>
      </c>
      <c r="AM97" s="408">
        <f t="shared" si="86"/>
        <v>0.31645971316818772</v>
      </c>
      <c r="AN97" s="408">
        <f t="shared" si="90"/>
        <v>0.16949999999999998</v>
      </c>
      <c r="AO97" s="408">
        <f t="shared" si="73"/>
        <v>1.2874778918797458</v>
      </c>
      <c r="AP97">
        <f t="shared" si="74"/>
        <v>13.464</v>
      </c>
      <c r="AQ97" s="10">
        <f t="shared" si="91"/>
        <v>0.91272210816324617</v>
      </c>
      <c r="AR97" s="63">
        <f t="shared" si="75"/>
        <v>17.489703804290684</v>
      </c>
      <c r="AS97" s="63">
        <f t="shared" si="92"/>
        <v>3.6347582272150194</v>
      </c>
      <c r="AT97" s="10"/>
      <c r="AU97">
        <f t="shared" si="93"/>
        <v>91.272210816324616</v>
      </c>
      <c r="BE97" s="28"/>
      <c r="BF97" s="29"/>
    </row>
    <row r="98" spans="7:58" x14ac:dyDescent="0.25">
      <c r="G98">
        <v>89</v>
      </c>
      <c r="H98">
        <f t="shared" si="55"/>
        <v>2.67</v>
      </c>
      <c r="I98" s="407">
        <f t="shared" si="76"/>
        <v>0.21372374999999999</v>
      </c>
      <c r="J98" s="408">
        <f t="shared" si="56"/>
        <v>1.8195400337837835</v>
      </c>
      <c r="K98" s="408">
        <f t="shared" si="77"/>
        <v>3.5797700168918918</v>
      </c>
      <c r="L98" s="408">
        <f t="shared" si="78"/>
        <v>1.7602299831081081</v>
      </c>
      <c r="M98" s="63">
        <f t="shared" si="57"/>
        <v>0</v>
      </c>
      <c r="N98" s="407">
        <f t="shared" si="58"/>
        <v>2.7211750821802134</v>
      </c>
      <c r="O98" s="407">
        <f t="shared" si="79"/>
        <v>3.7133956857208841E-2</v>
      </c>
      <c r="P98">
        <f t="shared" si="59"/>
        <v>0.2</v>
      </c>
      <c r="Q98" s="407">
        <f t="shared" si="80"/>
        <v>0.23713395685720884</v>
      </c>
      <c r="R98" s="9">
        <f t="shared" si="87"/>
        <v>0.5252559641531841</v>
      </c>
      <c r="S98" s="9">
        <f t="shared" si="81"/>
        <v>2.7589382787849104E-3</v>
      </c>
      <c r="T98" s="9">
        <f t="shared" si="88"/>
        <v>2.7589382787849104E-3</v>
      </c>
      <c r="U98" s="407">
        <f t="shared" si="60"/>
        <v>1.2580064804566968</v>
      </c>
      <c r="V98" s="409">
        <f t="shared" si="82"/>
        <v>3.1651606097420912E-3</v>
      </c>
      <c r="W98" s="407">
        <f t="shared" si="89"/>
        <v>3.1651606097420912E-3</v>
      </c>
      <c r="X98" s="407">
        <f t="shared" si="61"/>
        <v>1.2580064804566968</v>
      </c>
      <c r="Y98" s="407">
        <f t="shared" si="83"/>
        <v>9.4954818292262745E-3</v>
      </c>
      <c r="Z98" s="407">
        <f t="shared" si="62"/>
        <v>0.19810176391549306</v>
      </c>
      <c r="AA98" s="407">
        <f t="shared" si="63"/>
        <v>0.14400000000000002</v>
      </c>
      <c r="AB98" s="407">
        <f t="shared" si="64"/>
        <v>0</v>
      </c>
      <c r="AC98" s="407">
        <f t="shared" si="65"/>
        <v>0.35226623326812884</v>
      </c>
      <c r="AD98" s="407">
        <f t="shared" si="66"/>
        <v>2.4129263401536827</v>
      </c>
      <c r="AE98" s="407">
        <f t="shared" si="84"/>
        <v>3.4933281138044676E-2</v>
      </c>
      <c r="AF98" s="407">
        <f t="shared" si="67"/>
        <v>3.8447999999999996E-2</v>
      </c>
      <c r="AG98" s="407">
        <f t="shared" si="68"/>
        <v>7.3897578112368675E-2</v>
      </c>
      <c r="AH98" s="407">
        <f t="shared" si="69"/>
        <v>0</v>
      </c>
      <c r="AI98">
        <f t="shared" si="70"/>
        <v>0</v>
      </c>
      <c r="AJ98" s="408">
        <f t="shared" si="71"/>
        <v>0.453297222</v>
      </c>
      <c r="AK98">
        <f t="shared" si="85"/>
        <v>4.8000000000000001E-2</v>
      </c>
      <c r="AL98" s="408">
        <f t="shared" si="72"/>
        <v>0.1215</v>
      </c>
      <c r="AM98" s="408">
        <f t="shared" si="86"/>
        <v>0.31645971316818772</v>
      </c>
      <c r="AN98" s="408">
        <f t="shared" si="90"/>
        <v>0.16949999999999998</v>
      </c>
      <c r="AO98" s="408">
        <f t="shared" si="73"/>
        <v>1.2920190891262335</v>
      </c>
      <c r="AP98">
        <f t="shared" si="74"/>
        <v>13.616999999999999</v>
      </c>
      <c r="AQ98" s="10">
        <f t="shared" si="91"/>
        <v>0.91333976558735797</v>
      </c>
      <c r="AR98" s="63">
        <f t="shared" si="75"/>
        <v>17.613311663406442</v>
      </c>
      <c r="AS98" s="63">
        <f t="shared" si="92"/>
        <v>3.6948789056184337</v>
      </c>
      <c r="AT98" s="10"/>
      <c r="AU98">
        <f t="shared" si="93"/>
        <v>91.333976558735799</v>
      </c>
      <c r="BE98" s="28"/>
      <c r="BF98" s="29"/>
    </row>
    <row r="99" spans="7:58" x14ac:dyDescent="0.25">
      <c r="G99">
        <v>90</v>
      </c>
      <c r="H99">
        <f t="shared" si="55"/>
        <v>2.7</v>
      </c>
      <c r="I99" s="407">
        <f t="shared" si="76"/>
        <v>0.2137375</v>
      </c>
      <c r="J99" s="408">
        <f t="shared" si="56"/>
        <v>1.8196570945945945</v>
      </c>
      <c r="K99" s="408">
        <f t="shared" si="77"/>
        <v>3.6098285472972975</v>
      </c>
      <c r="L99" s="408">
        <f t="shared" si="78"/>
        <v>1.7901714527027028</v>
      </c>
      <c r="M99" s="63">
        <f t="shared" si="57"/>
        <v>0</v>
      </c>
      <c r="N99" s="407">
        <f t="shared" si="58"/>
        <v>2.7506234436018993</v>
      </c>
      <c r="O99" s="407">
        <f t="shared" si="79"/>
        <v>3.7944480746355161E-2</v>
      </c>
      <c r="P99">
        <f t="shared" si="59"/>
        <v>0.2</v>
      </c>
      <c r="Q99" s="407">
        <f t="shared" si="80"/>
        <v>0.23794448074635516</v>
      </c>
      <c r="R99" s="9">
        <f t="shared" si="87"/>
        <v>0.52528975669850075</v>
      </c>
      <c r="S99" s="9">
        <f t="shared" si="81"/>
        <v>2.7592932849237013E-3</v>
      </c>
      <c r="T99" s="9">
        <f t="shared" si="88"/>
        <v>2.7592932849237013E-3</v>
      </c>
      <c r="U99" s="407">
        <f t="shared" si="60"/>
        <v>1.2716614407335933</v>
      </c>
      <c r="V99" s="409">
        <f t="shared" si="82"/>
        <v>3.2342456396972767E-3</v>
      </c>
      <c r="W99" s="407">
        <f t="shared" si="89"/>
        <v>3.2342456396972767E-3</v>
      </c>
      <c r="X99" s="407">
        <f t="shared" si="61"/>
        <v>1.2716614407335933</v>
      </c>
      <c r="Y99" s="407">
        <f t="shared" si="83"/>
        <v>9.7027369190918304E-3</v>
      </c>
      <c r="Z99" s="407">
        <f t="shared" si="62"/>
        <v>0.20034996981090089</v>
      </c>
      <c r="AA99" s="407">
        <f t="shared" si="63"/>
        <v>0.14400000000000002</v>
      </c>
      <c r="AB99" s="407">
        <f t="shared" si="64"/>
        <v>0</v>
      </c>
      <c r="AC99" s="407">
        <f t="shared" si="65"/>
        <v>0.3547410986408932</v>
      </c>
      <c r="AD99" s="407">
        <f t="shared" si="66"/>
        <v>2.4390175293842669</v>
      </c>
      <c r="AE99" s="407">
        <f t="shared" si="84"/>
        <v>3.56928390518624E-2</v>
      </c>
      <c r="AF99" s="407">
        <f t="shared" si="67"/>
        <v>3.8880000000000005E-2</v>
      </c>
      <c r="AG99" s="407">
        <f t="shared" si="68"/>
        <v>7.5109009811572244E-2</v>
      </c>
      <c r="AH99" s="407">
        <f t="shared" si="69"/>
        <v>0</v>
      </c>
      <c r="AI99">
        <f t="shared" si="70"/>
        <v>0</v>
      </c>
      <c r="AJ99" s="408">
        <f t="shared" si="71"/>
        <v>0.45329381999999996</v>
      </c>
      <c r="AK99">
        <f t="shared" si="85"/>
        <v>4.8000000000000001E-2</v>
      </c>
      <c r="AL99" s="408">
        <f t="shared" si="72"/>
        <v>0.1215</v>
      </c>
      <c r="AM99" s="408">
        <f t="shared" si="86"/>
        <v>0.31645971316818772</v>
      </c>
      <c r="AN99" s="408">
        <f t="shared" si="90"/>
        <v>0.16949999999999998</v>
      </c>
      <c r="AO99" s="408">
        <f t="shared" si="73"/>
        <v>1.2965819481234415</v>
      </c>
      <c r="AP99">
        <f t="shared" si="74"/>
        <v>13.77</v>
      </c>
      <c r="AQ99" s="10">
        <f t="shared" si="91"/>
        <v>0.9139431921196346</v>
      </c>
      <c r="AR99" s="63">
        <f t="shared" si="75"/>
        <v>17.737054932044661</v>
      </c>
      <c r="AS99" s="63">
        <f t="shared" si="92"/>
        <v>3.7554504905786121</v>
      </c>
      <c r="AT99" s="10"/>
      <c r="AU99">
        <f t="shared" si="93"/>
        <v>91.394319211963463</v>
      </c>
      <c r="BE99" s="28"/>
      <c r="BF99" s="29"/>
    </row>
    <row r="100" spans="7:58" x14ac:dyDescent="0.25">
      <c r="G100">
        <v>91</v>
      </c>
      <c r="H100">
        <f t="shared" si="55"/>
        <v>2.73</v>
      </c>
      <c r="I100" s="407">
        <f t="shared" si="76"/>
        <v>0.21375124999999998</v>
      </c>
      <c r="J100" s="408">
        <f t="shared" si="56"/>
        <v>1.819774155405405</v>
      </c>
      <c r="K100" s="408">
        <f t="shared" si="77"/>
        <v>3.6398870777027024</v>
      </c>
      <c r="L100" s="408">
        <f t="shared" si="78"/>
        <v>1.8201129222972976</v>
      </c>
      <c r="M100" s="63">
        <f t="shared" si="57"/>
        <v>0</v>
      </c>
      <c r="N100" s="407">
        <f t="shared" si="58"/>
        <v>2.7800836015109547</v>
      </c>
      <c r="O100" s="407">
        <f t="shared" si="79"/>
        <v>3.8764165354681801E-2</v>
      </c>
      <c r="P100">
        <f t="shared" si="59"/>
        <v>0.2</v>
      </c>
      <c r="Q100" s="407">
        <f t="shared" si="80"/>
        <v>0.23876416535468181</v>
      </c>
      <c r="R100" s="9">
        <f t="shared" si="87"/>
        <v>0.5253235492438173</v>
      </c>
      <c r="S100" s="9">
        <f t="shared" si="81"/>
        <v>2.7596483139012136E-3</v>
      </c>
      <c r="T100" s="9">
        <f t="shared" si="88"/>
        <v>2.7596483139012136E-3</v>
      </c>
      <c r="U100" s="407">
        <f t="shared" si="60"/>
        <v>1.2853227294305027</v>
      </c>
      <c r="V100" s="409">
        <f t="shared" si="82"/>
        <v>3.3041090375813551E-3</v>
      </c>
      <c r="W100" s="407">
        <f t="shared" si="89"/>
        <v>3.3041090375813551E-3</v>
      </c>
      <c r="X100" s="407">
        <f t="shared" si="61"/>
        <v>1.2853227294305027</v>
      </c>
      <c r="Y100" s="407">
        <f t="shared" si="83"/>
        <v>9.9123271127440644E-3</v>
      </c>
      <c r="Z100" s="407">
        <f t="shared" si="62"/>
        <v>0.20259817570630867</v>
      </c>
      <c r="AA100" s="407">
        <f t="shared" si="63"/>
        <v>0.14400000000000002</v>
      </c>
      <c r="AB100" s="407">
        <f t="shared" si="64"/>
        <v>0</v>
      </c>
      <c r="AC100" s="407">
        <f t="shared" si="65"/>
        <v>0.35721867649348976</v>
      </c>
      <c r="AD100" s="407">
        <f t="shared" si="66"/>
        <v>2.4651187218062018</v>
      </c>
      <c r="AE100" s="407">
        <f t="shared" si="84"/>
        <v>3.6460861875596655E-2</v>
      </c>
      <c r="AF100" s="407">
        <f t="shared" si="67"/>
        <v>3.9312E-2</v>
      </c>
      <c r="AG100" s="407">
        <f t="shared" si="68"/>
        <v>7.632946952467197E-2</v>
      </c>
      <c r="AH100" s="407">
        <f t="shared" si="69"/>
        <v>0</v>
      </c>
      <c r="AI100">
        <f t="shared" si="70"/>
        <v>0</v>
      </c>
      <c r="AJ100" s="408">
        <f t="shared" si="71"/>
        <v>0.45329041799999997</v>
      </c>
      <c r="AK100">
        <f t="shared" si="85"/>
        <v>4.8000000000000001E-2</v>
      </c>
      <c r="AL100" s="408">
        <f t="shared" si="72"/>
        <v>0.1215</v>
      </c>
      <c r="AM100" s="408">
        <f t="shared" si="86"/>
        <v>0.31645971316818772</v>
      </c>
      <c r="AN100" s="408">
        <f t="shared" si="90"/>
        <v>0.16949999999999998</v>
      </c>
      <c r="AO100" s="408">
        <f t="shared" si="73"/>
        <v>1.301166486724326</v>
      </c>
      <c r="AP100">
        <f t="shared" si="74"/>
        <v>13.922999999999998</v>
      </c>
      <c r="AQ100" s="10">
        <f t="shared" si="91"/>
        <v>0.91453282596068819</v>
      </c>
      <c r="AR100" s="63">
        <f t="shared" si="75"/>
        <v>17.86093382467449</v>
      </c>
      <c r="AS100" s="63">
        <f t="shared" si="92"/>
        <v>3.8164734762335986</v>
      </c>
      <c r="AT100" s="10"/>
      <c r="AU100">
        <f t="shared" si="93"/>
        <v>91.453282596068817</v>
      </c>
      <c r="BE100" s="28"/>
      <c r="BF100" s="29"/>
    </row>
    <row r="101" spans="7:58" x14ac:dyDescent="0.25">
      <c r="G101">
        <v>92</v>
      </c>
      <c r="H101">
        <f t="shared" si="55"/>
        <v>2.7600000000000002</v>
      </c>
      <c r="I101" s="407">
        <f t="shared" si="76"/>
        <v>0.21376499999999998</v>
      </c>
      <c r="J101" s="408">
        <f t="shared" si="56"/>
        <v>1.8198912162162157</v>
      </c>
      <c r="K101" s="408">
        <f t="shared" si="77"/>
        <v>3.6699456081081081</v>
      </c>
      <c r="L101" s="408">
        <f t="shared" si="78"/>
        <v>1.8500543918918924</v>
      </c>
      <c r="M101" s="63">
        <f t="shared" si="57"/>
        <v>0</v>
      </c>
      <c r="N101" s="407">
        <f t="shared" si="58"/>
        <v>2.8095551848240579</v>
      </c>
      <c r="O101" s="407">
        <f t="shared" si="79"/>
        <v>3.9593014255118769E-2</v>
      </c>
      <c r="P101">
        <f t="shared" si="59"/>
        <v>0.2</v>
      </c>
      <c r="Q101" s="407">
        <f t="shared" si="80"/>
        <v>0.23959301425511878</v>
      </c>
      <c r="R101" s="9">
        <f t="shared" si="87"/>
        <v>0.52535734178913385</v>
      </c>
      <c r="S101" s="9">
        <f t="shared" si="81"/>
        <v>2.7600033657174477E-3</v>
      </c>
      <c r="T101" s="9">
        <f t="shared" si="88"/>
        <v>2.7600033657174477E-3</v>
      </c>
      <c r="U101" s="407">
        <f t="shared" si="60"/>
        <v>1.2989901754621775</v>
      </c>
      <c r="V101" s="409">
        <f t="shared" si="82"/>
        <v>3.3747509518945178E-3</v>
      </c>
      <c r="W101" s="407">
        <f t="shared" si="89"/>
        <v>3.3747509518945178E-3</v>
      </c>
      <c r="X101" s="407">
        <f t="shared" si="61"/>
        <v>1.2989901754621775</v>
      </c>
      <c r="Y101" s="407">
        <f t="shared" si="83"/>
        <v>1.0124252855683554E-2</v>
      </c>
      <c r="Z101" s="407">
        <f t="shared" si="62"/>
        <v>0.20484638160171648</v>
      </c>
      <c r="AA101" s="407">
        <f t="shared" si="63"/>
        <v>0.14400000000000002</v>
      </c>
      <c r="AB101" s="407">
        <f t="shared" si="64"/>
        <v>0</v>
      </c>
      <c r="AC101" s="407">
        <f t="shared" si="65"/>
        <v>0.35969897112451882</v>
      </c>
      <c r="AD101" s="407">
        <f t="shared" si="66"/>
        <v>2.4912295880999178</v>
      </c>
      <c r="AE101" s="407">
        <f t="shared" si="84"/>
        <v>3.7237349163746915E-2</v>
      </c>
      <c r="AF101" s="407">
        <f t="shared" si="67"/>
        <v>3.9744000000000002E-2</v>
      </c>
      <c r="AG101" s="407">
        <f t="shared" si="68"/>
        <v>7.7558967232469925E-2</v>
      </c>
      <c r="AH101" s="407">
        <f t="shared" si="69"/>
        <v>0</v>
      </c>
      <c r="AI101">
        <f t="shared" si="70"/>
        <v>0</v>
      </c>
      <c r="AJ101" s="408">
        <f t="shared" si="71"/>
        <v>0.45328701600000004</v>
      </c>
      <c r="AK101">
        <f t="shared" si="85"/>
        <v>4.8000000000000001E-2</v>
      </c>
      <c r="AL101" s="408">
        <f t="shared" si="72"/>
        <v>0.1215</v>
      </c>
      <c r="AM101" s="408">
        <f t="shared" si="86"/>
        <v>0.31645971316818772</v>
      </c>
      <c r="AN101" s="408">
        <f t="shared" si="90"/>
        <v>0.16949999999999998</v>
      </c>
      <c r="AO101" s="408">
        <f t="shared" si="73"/>
        <v>1.3057727229297196</v>
      </c>
      <c r="AP101">
        <f t="shared" si="74"/>
        <v>14.076000000000001</v>
      </c>
      <c r="AQ101" s="10">
        <f t="shared" si="91"/>
        <v>0.91510908746017328</v>
      </c>
      <c r="AR101" s="63">
        <f t="shared" si="75"/>
        <v>17.984948556225941</v>
      </c>
      <c r="AS101" s="63">
        <f t="shared" si="92"/>
        <v>3.8779483616234964</v>
      </c>
      <c r="AT101" s="10"/>
      <c r="AU101">
        <f t="shared" si="93"/>
        <v>91.510908746017321</v>
      </c>
      <c r="BE101" s="28"/>
      <c r="BF101" s="29"/>
    </row>
    <row r="102" spans="7:58" x14ac:dyDescent="0.25">
      <c r="G102">
        <v>93</v>
      </c>
      <c r="H102">
        <f t="shared" si="55"/>
        <v>2.79</v>
      </c>
      <c r="I102" s="407">
        <f t="shared" si="76"/>
        <v>0.21377875000000002</v>
      </c>
      <c r="J102" s="408">
        <f t="shared" si="56"/>
        <v>1.8200082770270267</v>
      </c>
      <c r="K102" s="408">
        <f t="shared" si="77"/>
        <v>3.7000041385135134</v>
      </c>
      <c r="L102" s="408">
        <f t="shared" si="78"/>
        <v>1.8799958614864867</v>
      </c>
      <c r="M102" s="63">
        <f t="shared" si="57"/>
        <v>0</v>
      </c>
      <c r="N102" s="407">
        <f t="shared" si="58"/>
        <v>2.8390378377255279</v>
      </c>
      <c r="O102" s="407">
        <f t="shared" si="79"/>
        <v>4.0431031061253474E-2</v>
      </c>
      <c r="P102">
        <f t="shared" si="59"/>
        <v>0.2</v>
      </c>
      <c r="Q102" s="407">
        <f t="shared" si="80"/>
        <v>0.24043103106125349</v>
      </c>
      <c r="R102" s="9">
        <f t="shared" si="87"/>
        <v>0.5253911343344505</v>
      </c>
      <c r="S102" s="9">
        <f t="shared" si="81"/>
        <v>2.7603584403724062E-3</v>
      </c>
      <c r="T102" s="9">
        <f t="shared" si="88"/>
        <v>2.7603584403724062E-3</v>
      </c>
      <c r="U102" s="407">
        <f t="shared" si="60"/>
        <v>1.3126636147804496</v>
      </c>
      <c r="V102" s="409">
        <f t="shared" si="82"/>
        <v>3.446171531136953E-3</v>
      </c>
      <c r="W102" s="407">
        <f t="shared" si="89"/>
        <v>3.446171531136953E-3</v>
      </c>
      <c r="X102" s="407">
        <f t="shared" si="61"/>
        <v>1.3126636147804496</v>
      </c>
      <c r="Y102" s="407">
        <f t="shared" si="83"/>
        <v>1.033851459341086E-2</v>
      </c>
      <c r="Z102" s="407">
        <f t="shared" si="62"/>
        <v>0.20709458749712431</v>
      </c>
      <c r="AA102" s="407">
        <f t="shared" si="63"/>
        <v>0.14400000000000002</v>
      </c>
      <c r="AB102" s="407">
        <f t="shared" si="64"/>
        <v>0</v>
      </c>
      <c r="AC102" s="407">
        <f t="shared" si="65"/>
        <v>0.36218198684182207</v>
      </c>
      <c r="AD102" s="407">
        <f t="shared" si="66"/>
        <v>2.5173498124950302</v>
      </c>
      <c r="AE102" s="407">
        <f t="shared" si="84"/>
        <v>3.8022300470812585E-2</v>
      </c>
      <c r="AF102" s="407">
        <f t="shared" si="67"/>
        <v>4.0175999999999996E-2</v>
      </c>
      <c r="AG102" s="407">
        <f t="shared" si="68"/>
        <v>7.8797513014047152E-2</v>
      </c>
      <c r="AH102" s="407">
        <f t="shared" si="69"/>
        <v>0</v>
      </c>
      <c r="AI102">
        <f t="shared" si="70"/>
        <v>0</v>
      </c>
      <c r="AJ102" s="408">
        <f t="shared" si="71"/>
        <v>0.453283614</v>
      </c>
      <c r="AK102">
        <f t="shared" si="85"/>
        <v>4.8000000000000001E-2</v>
      </c>
      <c r="AL102" s="408">
        <f t="shared" si="72"/>
        <v>0.1215</v>
      </c>
      <c r="AM102" s="408">
        <f t="shared" si="86"/>
        <v>0.31645971316818772</v>
      </c>
      <c r="AN102" s="408">
        <f t="shared" si="90"/>
        <v>0.16949999999999998</v>
      </c>
      <c r="AO102" s="408">
        <f t="shared" si="73"/>
        <v>1.3104006748886321</v>
      </c>
      <c r="AP102">
        <f t="shared" si="74"/>
        <v>14.228999999999999</v>
      </c>
      <c r="AQ102" s="10">
        <f t="shared" si="91"/>
        <v>0.91567238001616025</v>
      </c>
      <c r="AR102" s="63">
        <f t="shared" si="75"/>
        <v>18.109099342091103</v>
      </c>
      <c r="AS102" s="63">
        <f t="shared" si="92"/>
        <v>3.9398756507023576</v>
      </c>
      <c r="AT102" s="10"/>
      <c r="AU102">
        <f t="shared" si="93"/>
        <v>91.567238001616019</v>
      </c>
      <c r="BE102" s="28"/>
      <c r="BF102" s="29"/>
    </row>
    <row r="103" spans="7:58" x14ac:dyDescent="0.25">
      <c r="G103">
        <v>94</v>
      </c>
      <c r="H103">
        <f t="shared" si="55"/>
        <v>2.82</v>
      </c>
      <c r="I103" s="407">
        <f t="shared" si="76"/>
        <v>0.21379249999999997</v>
      </c>
      <c r="J103" s="408">
        <f t="shared" si="56"/>
        <v>1.8201253378378373</v>
      </c>
      <c r="K103" s="408">
        <f t="shared" si="77"/>
        <v>3.7300626689189187</v>
      </c>
      <c r="L103" s="408">
        <f t="shared" si="78"/>
        <v>1.9099373310810812</v>
      </c>
      <c r="M103" s="63">
        <f t="shared" si="57"/>
        <v>0</v>
      </c>
      <c r="N103" s="407">
        <f t="shared" si="58"/>
        <v>2.8685312188969823</v>
      </c>
      <c r="O103" s="407">
        <f t="shared" si="79"/>
        <v>4.1278219427370408E-2</v>
      </c>
      <c r="P103">
        <f t="shared" si="59"/>
        <v>0.2</v>
      </c>
      <c r="Q103" s="407">
        <f t="shared" si="80"/>
        <v>0.24127821942737043</v>
      </c>
      <c r="R103" s="9">
        <f t="shared" si="87"/>
        <v>0.52542492687976694</v>
      </c>
      <c r="S103" s="9">
        <f t="shared" si="81"/>
        <v>2.7607135378660843E-3</v>
      </c>
      <c r="T103" s="9">
        <f t="shared" si="88"/>
        <v>2.7607135378660843E-3</v>
      </c>
      <c r="U103" s="407">
        <f t="shared" si="60"/>
        <v>1.3263428900191772</v>
      </c>
      <c r="V103" s="409">
        <f t="shared" si="82"/>
        <v>3.5183709238088465E-3</v>
      </c>
      <c r="W103" s="407">
        <f t="shared" si="89"/>
        <v>3.5183709238088465E-3</v>
      </c>
      <c r="X103" s="407">
        <f t="shared" si="61"/>
        <v>1.3263428900191772</v>
      </c>
      <c r="Y103" s="407">
        <f t="shared" si="83"/>
        <v>1.0555112771426539E-2</v>
      </c>
      <c r="Z103" s="407">
        <f t="shared" si="62"/>
        <v>0.20934279339253212</v>
      </c>
      <c r="AA103" s="407">
        <f t="shared" si="63"/>
        <v>0.14400000000000002</v>
      </c>
      <c r="AB103" s="407">
        <f t="shared" si="64"/>
        <v>0</v>
      </c>
      <c r="AC103" s="407">
        <f t="shared" si="65"/>
        <v>0.36466772796250752</v>
      </c>
      <c r="AD103" s="407">
        <f t="shared" si="66"/>
        <v>2.5434790920867001</v>
      </c>
      <c r="AE103" s="407">
        <f t="shared" si="84"/>
        <v>3.8815715351293106E-2</v>
      </c>
      <c r="AF103" s="407">
        <f t="shared" si="67"/>
        <v>4.0607999999999998E-2</v>
      </c>
      <c r="AG103" s="407">
        <f t="shared" si="68"/>
        <v>8.0045117047004608E-2</v>
      </c>
      <c r="AH103" s="407">
        <f t="shared" si="69"/>
        <v>0</v>
      </c>
      <c r="AI103">
        <f t="shared" si="70"/>
        <v>0</v>
      </c>
      <c r="AJ103" s="408">
        <f t="shared" si="71"/>
        <v>0.45328021200000002</v>
      </c>
      <c r="AK103">
        <f t="shared" si="85"/>
        <v>4.8000000000000001E-2</v>
      </c>
      <c r="AL103" s="408">
        <f t="shared" si="72"/>
        <v>0.1215</v>
      </c>
      <c r="AM103" s="408">
        <f t="shared" si="86"/>
        <v>0.31645971316818772</v>
      </c>
      <c r="AN103" s="408">
        <f t="shared" si="90"/>
        <v>0.16949999999999998</v>
      </c>
      <c r="AO103" s="408">
        <f t="shared" si="73"/>
        <v>1.3150503608985575</v>
      </c>
      <c r="AP103">
        <f t="shared" si="74"/>
        <v>14.381999999999998</v>
      </c>
      <c r="AQ103" s="10">
        <f t="shared" si="91"/>
        <v>0.91622309092067677</v>
      </c>
      <c r="AR103" s="63">
        <f t="shared" si="75"/>
        <v>18.233386398125376</v>
      </c>
      <c r="AS103" s="63">
        <f t="shared" si="92"/>
        <v>4.0022558523502303</v>
      </c>
      <c r="AT103" s="10"/>
      <c r="AU103">
        <f t="shared" si="93"/>
        <v>91.622309092067681</v>
      </c>
      <c r="BE103" s="28"/>
      <c r="BF103" s="29"/>
    </row>
    <row r="104" spans="7:58" x14ac:dyDescent="0.25">
      <c r="G104">
        <v>95</v>
      </c>
      <c r="H104">
        <f t="shared" si="55"/>
        <v>2.8499999999999996</v>
      </c>
      <c r="I104" s="407">
        <f t="shared" si="76"/>
        <v>0.21380624999999998</v>
      </c>
      <c r="J104" s="408">
        <f t="shared" si="56"/>
        <v>1.8202423986486482</v>
      </c>
      <c r="K104" s="408">
        <f t="shared" si="77"/>
        <v>3.760121199324324</v>
      </c>
      <c r="L104" s="408">
        <f t="shared" si="78"/>
        <v>1.9398788006756755</v>
      </c>
      <c r="M104" s="63">
        <f t="shared" si="57"/>
        <v>0</v>
      </c>
      <c r="N104" s="407">
        <f t="shared" si="58"/>
        <v>2.8980350007927522</v>
      </c>
      <c r="O104" s="407">
        <f t="shared" si="79"/>
        <v>4.2134583048491041E-2</v>
      </c>
      <c r="P104">
        <f t="shared" si="59"/>
        <v>0.2</v>
      </c>
      <c r="Q104" s="407">
        <f t="shared" si="80"/>
        <v>0.24213458304849106</v>
      </c>
      <c r="R104" s="9">
        <f t="shared" si="87"/>
        <v>0.5254587194250836</v>
      </c>
      <c r="S104" s="9">
        <f t="shared" si="81"/>
        <v>2.7610686581984872E-3</v>
      </c>
      <c r="T104" s="9">
        <f t="shared" si="88"/>
        <v>2.7610686581984872E-3</v>
      </c>
      <c r="U104" s="407">
        <f t="shared" si="60"/>
        <v>1.3400278501602847</v>
      </c>
      <c r="V104" s="409">
        <f t="shared" si="82"/>
        <v>3.5913492784103887E-3</v>
      </c>
      <c r="W104" s="407">
        <f t="shared" si="89"/>
        <v>3.5913492784103887E-3</v>
      </c>
      <c r="X104" s="407">
        <f t="shared" si="61"/>
        <v>1.3400278501602847</v>
      </c>
      <c r="Y104" s="407">
        <f t="shared" si="83"/>
        <v>1.0774047835231166E-2</v>
      </c>
      <c r="Z104" s="407">
        <f t="shared" si="62"/>
        <v>0.21159099928793987</v>
      </c>
      <c r="AA104" s="407">
        <f t="shared" si="63"/>
        <v>0.14400000000000002</v>
      </c>
      <c r="AB104" s="407">
        <f t="shared" si="64"/>
        <v>0</v>
      </c>
      <c r="AC104" s="407">
        <f t="shared" si="65"/>
        <v>0.36715619881297362</v>
      </c>
      <c r="AD104" s="407">
        <f t="shared" si="66"/>
        <v>2.5696171361925986</v>
      </c>
      <c r="AE104" s="407">
        <f t="shared" si="84"/>
        <v>3.9617593359687911E-2</v>
      </c>
      <c r="AF104" s="407">
        <f t="shared" si="67"/>
        <v>4.1039999999999993E-2</v>
      </c>
      <c r="AG104" s="407">
        <f t="shared" si="68"/>
        <v>8.1301789607706509E-2</v>
      </c>
      <c r="AH104" s="407">
        <f t="shared" si="69"/>
        <v>0</v>
      </c>
      <c r="AI104">
        <f t="shared" si="70"/>
        <v>0</v>
      </c>
      <c r="AJ104" s="408">
        <f t="shared" si="71"/>
        <v>0.45327681000000003</v>
      </c>
      <c r="AK104">
        <f t="shared" si="85"/>
        <v>4.8000000000000001E-2</v>
      </c>
      <c r="AL104" s="408">
        <f t="shared" si="72"/>
        <v>0.1215</v>
      </c>
      <c r="AM104" s="408">
        <f t="shared" si="86"/>
        <v>0.31645971316818772</v>
      </c>
      <c r="AN104" s="408">
        <f t="shared" si="90"/>
        <v>0.16949999999999998</v>
      </c>
      <c r="AO104" s="408">
        <f t="shared" si="73"/>
        <v>1.3197217994057799</v>
      </c>
      <c r="AP104">
        <f t="shared" si="74"/>
        <v>14.534999999999997</v>
      </c>
      <c r="AQ104" s="10">
        <f t="shared" si="91"/>
        <v>0.91676159215513686</v>
      </c>
      <c r="AR104" s="63">
        <f t="shared" si="75"/>
        <v>18.357809940648682</v>
      </c>
      <c r="AS104" s="63">
        <f t="shared" si="92"/>
        <v>4.0650894803853257</v>
      </c>
      <c r="AT104" s="10"/>
      <c r="AU104">
        <f t="shared" si="93"/>
        <v>91.676159215513692</v>
      </c>
      <c r="BE104" s="28"/>
      <c r="BF104" s="29"/>
    </row>
    <row r="105" spans="7:58" x14ac:dyDescent="0.25">
      <c r="G105">
        <v>96</v>
      </c>
      <c r="H105">
        <f t="shared" si="55"/>
        <v>2.88</v>
      </c>
      <c r="I105" s="407">
        <f t="shared" si="76"/>
        <v>0.21382000000000001</v>
      </c>
      <c r="J105" s="408">
        <f t="shared" si="56"/>
        <v>1.8203594594594592</v>
      </c>
      <c r="K105" s="408">
        <f t="shared" si="77"/>
        <v>3.7901797297297293</v>
      </c>
      <c r="L105" s="408">
        <f t="shared" si="78"/>
        <v>1.9698202702702703</v>
      </c>
      <c r="M105" s="63">
        <f t="shared" si="57"/>
        <v>0</v>
      </c>
      <c r="N105" s="407">
        <f t="shared" si="58"/>
        <v>2.9275488689579481</v>
      </c>
      <c r="O105" s="407">
        <f t="shared" si="79"/>
        <v>4.3000125660414321E-2</v>
      </c>
      <c r="P105">
        <f t="shared" si="59"/>
        <v>0.2</v>
      </c>
      <c r="Q105" s="407">
        <f t="shared" si="80"/>
        <v>0.24300012566041435</v>
      </c>
      <c r="R105" s="9">
        <f t="shared" si="87"/>
        <v>0.52549251197040026</v>
      </c>
      <c r="S105" s="9">
        <f t="shared" si="81"/>
        <v>2.7614238013696124E-3</v>
      </c>
      <c r="T105" s="9">
        <f t="shared" si="88"/>
        <v>2.7614238013696124E-3</v>
      </c>
      <c r="U105" s="407">
        <f t="shared" si="60"/>
        <v>1.3537183502194559</v>
      </c>
      <c r="V105" s="409">
        <f t="shared" si="82"/>
        <v>3.6651067434417708E-3</v>
      </c>
      <c r="W105" s="407">
        <f t="shared" si="89"/>
        <v>3.6651067434417708E-3</v>
      </c>
      <c r="X105" s="407">
        <f t="shared" si="61"/>
        <v>1.3537183502194559</v>
      </c>
      <c r="Y105" s="407">
        <f t="shared" si="83"/>
        <v>1.0995320230325312E-2</v>
      </c>
      <c r="Z105" s="407">
        <f t="shared" si="62"/>
        <v>0.21383920518334767</v>
      </c>
      <c r="AA105" s="407">
        <f t="shared" si="63"/>
        <v>0.14400000000000002</v>
      </c>
      <c r="AB105" s="407">
        <f t="shared" si="64"/>
        <v>0</v>
      </c>
      <c r="AC105" s="407">
        <f t="shared" ref="AC105:AC109" si="94">(AB105+AA105+Z105+Y105*(1+RdsonTopTc*Ta-RdsonTopTc*25))/(1-Y105*RdsonTopTc*ThetaJaTop)</f>
        <v>0.36964740372893456</v>
      </c>
      <c r="AD105" s="407">
        <f t="shared" si="66"/>
        <v>2.595763665747727</v>
      </c>
      <c r="AE105" s="407">
        <f t="shared" si="84"/>
        <v>4.0427934050496467E-2</v>
      </c>
      <c r="AF105" s="407">
        <f t="shared" si="67"/>
        <v>4.1471999999999995E-2</v>
      </c>
      <c r="AG105" s="407">
        <f t="shared" ref="AG105:AG109" si="95">(AF105+AE105*(1+RdsonBotTc*Ta-RdsonBotTc*25))/(1-AE105*RdsonBotTc*ThetaJaBot)</f>
        <v>8.2567541071526737E-2</v>
      </c>
      <c r="AH105" s="407">
        <f t="shared" si="69"/>
        <v>0</v>
      </c>
      <c r="AI105">
        <f t="shared" si="70"/>
        <v>0</v>
      </c>
      <c r="AJ105" s="408">
        <f t="shared" si="71"/>
        <v>0.45327340799999999</v>
      </c>
      <c r="AK105">
        <f t="shared" si="85"/>
        <v>4.8000000000000001E-2</v>
      </c>
      <c r="AL105" s="408">
        <f t="shared" si="72"/>
        <v>0.1215</v>
      </c>
      <c r="AM105" s="408">
        <f t="shared" si="86"/>
        <v>0.31645971316818772</v>
      </c>
      <c r="AN105" s="408">
        <f t="shared" si="90"/>
        <v>0.16949999999999998</v>
      </c>
      <c r="AO105" s="408">
        <f t="shared" ref="AO105:AO109" si="96">SUM(Q105,T105,W105,AC105,AJ105,AI105,AG105,AN105, AH105)</f>
        <v>1.324415009005687</v>
      </c>
      <c r="AP105">
        <f t="shared" si="74"/>
        <v>14.687999999999999</v>
      </c>
      <c r="AQ105" s="10">
        <f t="shared" si="91"/>
        <v>0.91728824113909047</v>
      </c>
      <c r="AR105" s="63">
        <f t="shared" si="75"/>
        <v>18.48237018644673</v>
      </c>
      <c r="AS105" s="63">
        <f t="shared" si="92"/>
        <v>4.1283770535763367</v>
      </c>
      <c r="AT105" s="10"/>
      <c r="AU105">
        <f t="shared" si="93"/>
        <v>91.728824113909042</v>
      </c>
      <c r="BE105" s="28"/>
      <c r="BF105" s="29"/>
    </row>
    <row r="106" spans="7:58" x14ac:dyDescent="0.25">
      <c r="G106">
        <v>97</v>
      </c>
      <c r="H106">
        <f t="shared" si="55"/>
        <v>2.91</v>
      </c>
      <c r="I106" s="407">
        <f t="shared" si="76"/>
        <v>0.21383374999999996</v>
      </c>
      <c r="J106" s="408">
        <f t="shared" si="56"/>
        <v>1.8204765202702697</v>
      </c>
      <c r="K106" s="408">
        <f t="shared" si="77"/>
        <v>3.820238260135135</v>
      </c>
      <c r="L106" s="408">
        <f t="shared" si="78"/>
        <v>1.9997617398648653</v>
      </c>
      <c r="M106" s="63">
        <f t="shared" si="57"/>
        <v>0</v>
      </c>
      <c r="N106" s="407">
        <f t="shared" si="58"/>
        <v>2.9570725213863032</v>
      </c>
      <c r="O106" s="407">
        <f t="shared" si="79"/>
        <v>4.3874851039757586E-2</v>
      </c>
      <c r="P106">
        <f t="shared" si="59"/>
        <v>0.2</v>
      </c>
      <c r="Q106" s="407">
        <f t="shared" si="80"/>
        <v>0.24387485103975759</v>
      </c>
      <c r="R106" s="9">
        <f t="shared" si="87"/>
        <v>0.5255263045157168</v>
      </c>
      <c r="S106" s="9">
        <f t="shared" si="81"/>
        <v>2.761778967379459E-3</v>
      </c>
      <c r="T106" s="9">
        <f t="shared" si="88"/>
        <v>2.761778967379459E-3</v>
      </c>
      <c r="U106" s="407">
        <f t="shared" si="60"/>
        <v>1.3674142509501603</v>
      </c>
      <c r="V106" s="409">
        <f t="shared" si="82"/>
        <v>3.7396434674031765E-3</v>
      </c>
      <c r="W106" s="407">
        <f t="shared" si="89"/>
        <v>3.7396434674031765E-3</v>
      </c>
      <c r="X106" s="407">
        <f t="shared" si="61"/>
        <v>1.3674142509501603</v>
      </c>
      <c r="Y106" s="407">
        <f t="shared" si="83"/>
        <v>1.1218930402209528E-2</v>
      </c>
      <c r="Z106" s="407">
        <f t="shared" si="62"/>
        <v>0.21608741107875554</v>
      </c>
      <c r="AA106" s="407">
        <f t="shared" si="63"/>
        <v>0.14400000000000002</v>
      </c>
      <c r="AB106" s="407">
        <f t="shared" si="64"/>
        <v>0</v>
      </c>
      <c r="AC106" s="407">
        <f t="shared" si="94"/>
        <v>0.37214134705544494</v>
      </c>
      <c r="AD106" s="407">
        <f t="shared" si="66"/>
        <v>2.6219184127345305</v>
      </c>
      <c r="AE106" s="407">
        <f t="shared" si="84"/>
        <v>4.1246736978218158E-2</v>
      </c>
      <c r="AF106" s="407">
        <f t="shared" si="67"/>
        <v>4.1904000000000004E-2</v>
      </c>
      <c r="AG106" s="407">
        <f t="shared" si="95"/>
        <v>8.3842381913097536E-2</v>
      </c>
      <c r="AH106" s="407">
        <f t="shared" si="69"/>
        <v>0</v>
      </c>
      <c r="AI106">
        <f t="shared" si="70"/>
        <v>0</v>
      </c>
      <c r="AJ106" s="408">
        <f t="shared" si="71"/>
        <v>0.453270006</v>
      </c>
      <c r="AK106">
        <f t="shared" si="85"/>
        <v>4.8000000000000001E-2</v>
      </c>
      <c r="AL106" s="408">
        <f t="shared" si="72"/>
        <v>0.1215</v>
      </c>
      <c r="AM106" s="408">
        <f t="shared" si="86"/>
        <v>0.31645971316818772</v>
      </c>
      <c r="AN106" s="408">
        <f t="shared" si="90"/>
        <v>0.16949999999999998</v>
      </c>
      <c r="AO106" s="408">
        <f t="shared" si="96"/>
        <v>1.3291300084430828</v>
      </c>
      <c r="AP106">
        <f t="shared" si="74"/>
        <v>14.840999999999999</v>
      </c>
      <c r="AQ106" s="10">
        <f t="shared" si="91"/>
        <v>0.91780338143545603</v>
      </c>
      <c r="AR106" s="63">
        <f t="shared" si="75"/>
        <v>18.607067352772248</v>
      </c>
      <c r="AS106" s="63">
        <f t="shared" si="92"/>
        <v>4.1921190956548768</v>
      </c>
      <c r="AT106" s="10"/>
      <c r="AU106">
        <f t="shared" si="93"/>
        <v>91.780338143545606</v>
      </c>
      <c r="BE106" s="28"/>
      <c r="BF106" s="29"/>
    </row>
    <row r="107" spans="7:58" x14ac:dyDescent="0.25">
      <c r="G107">
        <v>98</v>
      </c>
      <c r="H107">
        <f t="shared" si="55"/>
        <v>2.94</v>
      </c>
      <c r="I107" s="407">
        <f t="shared" si="76"/>
        <v>0.2138475</v>
      </c>
      <c r="J107" s="408">
        <f t="shared" si="56"/>
        <v>1.8205935810810805</v>
      </c>
      <c r="K107" s="408">
        <f t="shared" si="77"/>
        <v>3.8502967905405403</v>
      </c>
      <c r="L107" s="408">
        <f t="shared" si="78"/>
        <v>2.0297032094594596</v>
      </c>
      <c r="M107" s="63">
        <f t="shared" si="57"/>
        <v>0</v>
      </c>
      <c r="N107" s="407">
        <f t="shared" si="58"/>
        <v>2.9866056679151338</v>
      </c>
      <c r="O107" s="407">
        <f t="shared" si="79"/>
        <v>4.4758763003997913E-2</v>
      </c>
      <c r="P107">
        <f t="shared" si="59"/>
        <v>0.2</v>
      </c>
      <c r="Q107" s="407">
        <f t="shared" si="80"/>
        <v>0.24475876300399793</v>
      </c>
      <c r="R107" s="9">
        <f t="shared" si="87"/>
        <v>0.52556009706103335</v>
      </c>
      <c r="S107" s="9">
        <f t="shared" si="81"/>
        <v>2.7621341562280278E-3</v>
      </c>
      <c r="T107" s="9">
        <f t="shared" si="88"/>
        <v>2.7621341562280278E-3</v>
      </c>
      <c r="U107" s="407">
        <f t="shared" si="60"/>
        <v>1.3811154185647907</v>
      </c>
      <c r="V107" s="409">
        <f t="shared" si="82"/>
        <v>3.8149595987947943E-3</v>
      </c>
      <c r="W107" s="407">
        <f t="shared" si="89"/>
        <v>3.8149595987947943E-3</v>
      </c>
      <c r="X107" s="407">
        <f t="shared" si="61"/>
        <v>1.3811154185647907</v>
      </c>
      <c r="Y107" s="407">
        <f t="shared" si="83"/>
        <v>1.1444878796384382E-2</v>
      </c>
      <c r="Z107" s="407">
        <f t="shared" si="62"/>
        <v>0.21833561697416332</v>
      </c>
      <c r="AA107" s="407">
        <f t="shared" si="63"/>
        <v>0.14400000000000002</v>
      </c>
      <c r="AB107" s="407">
        <f t="shared" si="64"/>
        <v>0</v>
      </c>
      <c r="AC107" s="407">
        <f t="shared" si="94"/>
        <v>0.37463803314692423</v>
      </c>
      <c r="AD107" s="407">
        <f t="shared" si="66"/>
        <v>2.6480811196459606</v>
      </c>
      <c r="AE107" s="407">
        <f t="shared" si="84"/>
        <v>4.2074001697352426E-2</v>
      </c>
      <c r="AF107" s="407">
        <f t="shared" si="67"/>
        <v>4.2335999999999999E-2</v>
      </c>
      <c r="AG107" s="407">
        <f t="shared" si="95"/>
        <v>8.512632270656148E-2</v>
      </c>
      <c r="AH107" s="407">
        <f t="shared" si="69"/>
        <v>0</v>
      </c>
      <c r="AI107">
        <f t="shared" si="70"/>
        <v>0</v>
      </c>
      <c r="AJ107" s="408">
        <f t="shared" si="71"/>
        <v>0.45326660400000002</v>
      </c>
      <c r="AK107">
        <f t="shared" si="85"/>
        <v>4.8000000000000001E-2</v>
      </c>
      <c r="AL107" s="408">
        <f t="shared" si="72"/>
        <v>0.1215</v>
      </c>
      <c r="AM107" s="408">
        <f t="shared" si="86"/>
        <v>0.31645971316818772</v>
      </c>
      <c r="AN107" s="408">
        <f t="shared" si="90"/>
        <v>0.16949999999999998</v>
      </c>
      <c r="AO107" s="408">
        <f t="shared" si="96"/>
        <v>1.3338668166125065</v>
      </c>
      <c r="AP107">
        <f t="shared" si="74"/>
        <v>14.993999999999998</v>
      </c>
      <c r="AQ107" s="10">
        <f t="shared" si="91"/>
        <v>0.9183073434151614</v>
      </c>
      <c r="AR107" s="63">
        <f t="shared" si="75"/>
        <v>18.73190165734621</v>
      </c>
      <c r="AS107" s="63">
        <f t="shared" si="92"/>
        <v>4.2563161353280741</v>
      </c>
      <c r="AT107" s="10"/>
      <c r="AU107">
        <f t="shared" si="93"/>
        <v>91.830734341516134</v>
      </c>
      <c r="BE107" s="28"/>
      <c r="BF107" s="29"/>
    </row>
    <row r="108" spans="7:58" x14ac:dyDescent="0.25">
      <c r="G108">
        <v>99</v>
      </c>
      <c r="H108">
        <f t="shared" si="55"/>
        <v>2.9699999999999998</v>
      </c>
      <c r="I108" s="407">
        <f t="shared" si="76"/>
        <v>0.21386125</v>
      </c>
      <c r="J108" s="408">
        <f t="shared" si="56"/>
        <v>1.8207106418918915</v>
      </c>
      <c r="K108" s="408">
        <f t="shared" si="77"/>
        <v>3.8803553209459456</v>
      </c>
      <c r="L108" s="408">
        <f t="shared" si="78"/>
        <v>2.0596446790540539</v>
      </c>
      <c r="M108" s="63">
        <f t="shared" si="57"/>
        <v>0</v>
      </c>
      <c r="N108" s="407">
        <f t="shared" si="58"/>
        <v>3.0161480296549654</v>
      </c>
      <c r="O108" s="407">
        <f t="shared" si="79"/>
        <v>4.5651865411514017E-2</v>
      </c>
      <c r="P108">
        <f t="shared" si="59"/>
        <v>0.2</v>
      </c>
      <c r="Q108" s="407">
        <f t="shared" si="80"/>
        <v>0.24565186541151401</v>
      </c>
      <c r="R108" s="9">
        <f t="shared" si="87"/>
        <v>0.52559388960635001</v>
      </c>
      <c r="S108" s="9">
        <f t="shared" si="81"/>
        <v>2.7624893679153205E-3</v>
      </c>
      <c r="T108" s="9">
        <f t="shared" si="88"/>
        <v>2.7624893679153205E-3</v>
      </c>
      <c r="U108" s="407">
        <f t="shared" si="60"/>
        <v>1.394821724471772</v>
      </c>
      <c r="V108" s="409">
        <f t="shared" si="82"/>
        <v>3.8910552861168156E-3</v>
      </c>
      <c r="W108" s="407">
        <f t="shared" si="89"/>
        <v>3.8910552861168156E-3</v>
      </c>
      <c r="X108" s="407">
        <f t="shared" si="61"/>
        <v>1.394821724471772</v>
      </c>
      <c r="Y108" s="407">
        <f t="shared" si="83"/>
        <v>1.1673165858350447E-2</v>
      </c>
      <c r="Z108" s="407">
        <f t="shared" si="62"/>
        <v>0.22058382286957112</v>
      </c>
      <c r="AA108" s="407">
        <f t="shared" si="63"/>
        <v>0.14400000000000002</v>
      </c>
      <c r="AB108" s="407">
        <f t="shared" si="64"/>
        <v>0</v>
      </c>
      <c r="AC108" s="407">
        <f t="shared" si="94"/>
        <v>0.37713746636718198</v>
      </c>
      <c r="AD108" s="407">
        <f t="shared" si="66"/>
        <v>2.674251538979294</v>
      </c>
      <c r="AE108" s="407">
        <f t="shared" si="84"/>
        <v>4.2909727762398736E-2</v>
      </c>
      <c r="AF108" s="407">
        <f t="shared" si="67"/>
        <v>4.2767999999999994E-2</v>
      </c>
      <c r="AG108" s="407">
        <f t="shared" si="95"/>
        <v>8.6419374125825954E-2</v>
      </c>
      <c r="AH108" s="407">
        <f t="shared" si="69"/>
        <v>0</v>
      </c>
      <c r="AI108">
        <f t="shared" si="70"/>
        <v>0</v>
      </c>
      <c r="AJ108" s="408">
        <f t="shared" si="71"/>
        <v>0.45326320199999998</v>
      </c>
      <c r="AK108">
        <f t="shared" si="85"/>
        <v>4.8000000000000001E-2</v>
      </c>
      <c r="AL108" s="408">
        <f t="shared" si="72"/>
        <v>0.1215</v>
      </c>
      <c r="AM108" s="408">
        <f t="shared" si="86"/>
        <v>0.31645971316818772</v>
      </c>
      <c r="AN108" s="408">
        <f t="shared" si="90"/>
        <v>0.16949999999999998</v>
      </c>
      <c r="AO108" s="408">
        <f t="shared" si="96"/>
        <v>1.3386254525585539</v>
      </c>
      <c r="AP108">
        <f t="shared" si="74"/>
        <v>15.146999999999998</v>
      </c>
      <c r="AQ108" s="10">
        <f t="shared" si="91"/>
        <v>0.91880044488389123</v>
      </c>
      <c r="AR108" s="63">
        <f t="shared" si="75"/>
        <v>18.856873318359099</v>
      </c>
      <c r="AS108" s="63">
        <f t="shared" si="92"/>
        <v>4.320968706291298</v>
      </c>
      <c r="AT108" s="10"/>
      <c r="AU108">
        <f t="shared" si="93"/>
        <v>91.880044488389117</v>
      </c>
      <c r="BE108" s="28"/>
      <c r="BF108" s="29"/>
    </row>
    <row r="109" spans="7:58" x14ac:dyDescent="0.25">
      <c r="G109">
        <v>100</v>
      </c>
      <c r="H109">
        <f t="shared" si="55"/>
        <v>3</v>
      </c>
      <c r="I109" s="407">
        <f t="shared" si="76"/>
        <v>0.21387499999999995</v>
      </c>
      <c r="J109" s="408">
        <f t="shared" si="56"/>
        <v>1.820827702702702</v>
      </c>
      <c r="K109" s="408">
        <f t="shared" si="77"/>
        <v>3.9104138513513509</v>
      </c>
      <c r="L109" s="408">
        <f t="shared" si="78"/>
        <v>2.0895861486486491</v>
      </c>
      <c r="M109" s="63">
        <f t="shared" si="57"/>
        <v>0</v>
      </c>
      <c r="N109" s="407">
        <f t="shared" si="58"/>
        <v>3.0456993384515374</v>
      </c>
      <c r="O109" s="407">
        <f t="shared" si="79"/>
        <v>4.6554162161628505E-2</v>
      </c>
      <c r="P109">
        <f t="shared" si="59"/>
        <v>0.2</v>
      </c>
      <c r="Q109" s="407">
        <f t="shared" si="80"/>
        <v>0.24655416216162851</v>
      </c>
      <c r="R109" s="9">
        <f t="shared" si="87"/>
        <v>0.52562768215166644</v>
      </c>
      <c r="S109" s="9">
        <f t="shared" si="81"/>
        <v>2.7628446024413329E-3</v>
      </c>
      <c r="T109" s="9">
        <f t="shared" si="88"/>
        <v>2.7628446024413329E-3</v>
      </c>
      <c r="U109" s="407">
        <f t="shared" si="60"/>
        <v>1.4085330450275966</v>
      </c>
      <c r="V109" s="409">
        <f t="shared" si="82"/>
        <v>3.967930677869427E-3</v>
      </c>
      <c r="W109" s="407">
        <f t="shared" si="89"/>
        <v>3.967930677869427E-3</v>
      </c>
      <c r="X109" s="407">
        <f t="shared" si="61"/>
        <v>1.4085330450275966</v>
      </c>
      <c r="Y109" s="407">
        <f t="shared" si="83"/>
        <v>1.1903792033608281E-2</v>
      </c>
      <c r="Z109" s="407">
        <f t="shared" si="62"/>
        <v>0.22283202876497893</v>
      </c>
      <c r="AA109" s="407">
        <f t="shared" si="63"/>
        <v>0.14400000000000002</v>
      </c>
      <c r="AB109" s="407">
        <f t="shared" si="64"/>
        <v>0</v>
      </c>
      <c r="AC109" s="407">
        <f t="shared" si="94"/>
        <v>0.37963965108944331</v>
      </c>
      <c r="AD109" s="407">
        <f t="shared" si="66"/>
        <v>2.70042943275869</v>
      </c>
      <c r="AE109" s="407">
        <f t="shared" si="84"/>
        <v>4.3753914727856523E-2</v>
      </c>
      <c r="AF109" s="407">
        <f t="shared" si="67"/>
        <v>4.3200000000000002E-2</v>
      </c>
      <c r="AG109" s="407">
        <f t="shared" si="95"/>
        <v>8.7721546944820386E-2</v>
      </c>
      <c r="AH109" s="407">
        <f t="shared" si="69"/>
        <v>0</v>
      </c>
      <c r="AI109">
        <f t="shared" si="70"/>
        <v>0</v>
      </c>
      <c r="AJ109" s="408">
        <f t="shared" si="71"/>
        <v>0.45325979999999999</v>
      </c>
      <c r="AK109">
        <f t="shared" si="85"/>
        <v>4.8000000000000001E-2</v>
      </c>
      <c r="AL109" s="408">
        <f t="shared" si="72"/>
        <v>0.1215</v>
      </c>
      <c r="AM109" s="408">
        <f t="shared" si="86"/>
        <v>0.31645971316818772</v>
      </c>
      <c r="AN109" s="408">
        <f t="shared" si="90"/>
        <v>0.16949999999999998</v>
      </c>
      <c r="AO109" s="408">
        <f t="shared" si="96"/>
        <v>1.3434059354762029</v>
      </c>
      <c r="AP109">
        <f t="shared" si="74"/>
        <v>15.299999999999999</v>
      </c>
      <c r="AQ109" s="10">
        <f t="shared" si="91"/>
        <v>0.91928299167343686</v>
      </c>
      <c r="AR109" s="63">
        <f t="shared" si="75"/>
        <v>18.981982554472165</v>
      </c>
      <c r="AS109" s="63">
        <f t="shared" si="92"/>
        <v>4.3860773472410193</v>
      </c>
      <c r="AT109" s="10"/>
      <c r="AU109">
        <f t="shared" si="93"/>
        <v>91.928299167343681</v>
      </c>
      <c r="BE109" s="28"/>
      <c r="BF109" s="29"/>
    </row>
    <row r="110" spans="7:58" x14ac:dyDescent="0.25">
      <c r="G110">
        <v>101</v>
      </c>
      <c r="H110">
        <f t="shared" si="55"/>
        <v>3.0300000000000002</v>
      </c>
      <c r="I110" s="407">
        <f t="shared" ref="I110:I173" si="97">(Vout+Rdcr*H110+RdsonBot*H110)/(Vin-RdsonTop*H110+RdsonBot*H110)</f>
        <v>0.21388874999999999</v>
      </c>
      <c r="J110" s="408">
        <f t="shared" si="56"/>
        <v>1.820944763513513</v>
      </c>
      <c r="K110" s="408">
        <f t="shared" si="77"/>
        <v>3.9404723817567566</v>
      </c>
      <c r="L110" s="408">
        <f t="shared" ref="L110:L173" si="98">H110-J110/2</f>
        <v>2.1195276182432439</v>
      </c>
      <c r="M110" s="63">
        <f t="shared" si="57"/>
        <v>0</v>
      </c>
      <c r="N110" s="407">
        <f t="shared" ref="N110:N173" si="99">SQRT(H110^2+(J110^2)/12)</f>
        <v>3.0752593363780893</v>
      </c>
      <c r="O110" s="407">
        <f t="shared" ref="O110:O173" si="100">(N110^2*Rdcr*(1+Ltc*Ta-Ltc*25))/(1-N110^2*Rdcr*Ltc*ThetaCa)</f>
        <v>4.746565719465061E-2</v>
      </c>
      <c r="P110">
        <f t="shared" si="59"/>
        <v>0.2</v>
      </c>
      <c r="Q110" s="407">
        <f t="shared" si="80"/>
        <v>0.24746565719465063</v>
      </c>
      <c r="R110" s="9">
        <f t="shared" ref="R110:R173" si="101">J110/(2*SQRT(3))</f>
        <v>0.5256614746969831</v>
      </c>
      <c r="S110" s="9">
        <f t="shared" ref="S110:S173" si="102">RCoutEsr*R110^2</f>
        <v>2.7631998598060706E-3</v>
      </c>
      <c r="T110" s="9">
        <f t="shared" ref="T110:T173" si="103">S110</f>
        <v>2.7631998598060706E-3</v>
      </c>
      <c r="U110" s="407">
        <f t="shared" ref="U110:U173" si="104">SQRT(I110)*SQRT(H110^2+(J110^2)/12)</f>
        <v>1.4222492613028173</v>
      </c>
      <c r="V110" s="409">
        <f t="shared" ref="V110:V173" si="105">RCinEsr*U110^2</f>
        <v>4.0455859225528188E-3</v>
      </c>
      <c r="W110" s="407">
        <f t="shared" ref="W110:W173" si="106">V110</f>
        <v>4.0455859225528188E-3</v>
      </c>
      <c r="X110" s="407">
        <f t="shared" ref="X110:X173" si="107">SQRT(I110)*SQRT(H110^2+(J110^2)/12)</f>
        <v>1.4222492613028173</v>
      </c>
      <c r="Y110" s="407">
        <f t="shared" ref="Y110:Y173" si="108">RdsonTop*X110^2</f>
        <v>1.2136757767658457E-2</v>
      </c>
      <c r="Z110" s="407">
        <f t="shared" si="62"/>
        <v>0.22508023466038676</v>
      </c>
      <c r="AA110" s="407">
        <f t="shared" si="63"/>
        <v>0.14400000000000002</v>
      </c>
      <c r="AB110" s="407">
        <f t="shared" si="64"/>
        <v>0</v>
      </c>
      <c r="AC110" s="407">
        <f t="shared" ref="AC110:AC173" si="109">(AB110+AA110+Z110+Y110*(1+RdsonTopTc*Ta-RdsonTopTc*25))/(1-Y110*RdsonTopTc*ThetaJaTop)</f>
        <v>0.3821445916963731</v>
      </c>
      <c r="AD110" s="407">
        <f t="shared" ref="AD110:AD173" si="110">SQRT(1-I110)*SQRT(H110^2+(J110^2)/12)</f>
        <v>2.7266145720846202</v>
      </c>
      <c r="AE110" s="407">
        <f t="shared" ref="AE110:AE173" si="111">RdsonBot*AD110^2</f>
        <v>4.4606562148225178E-2</v>
      </c>
      <c r="AF110" s="407">
        <f t="shared" si="67"/>
        <v>4.3632000000000004E-2</v>
      </c>
      <c r="AG110" s="407">
        <f t="shared" ref="AG110:AG173" si="112">(AF110+AE110*(1+RdsonBotTc*Ta-RdsonBotTc*25))/(1-AE110*RdsonBotTc*ThetaJaBot)</f>
        <v>8.9032852037756349E-2</v>
      </c>
      <c r="AH110" s="407">
        <f t="shared" ref="AH110:AH173" si="113">IF(RDSON_sense=1, 0, AD110^2*Rshunt)</f>
        <v>0</v>
      </c>
      <c r="AI110">
        <f t="shared" si="70"/>
        <v>0</v>
      </c>
      <c r="AJ110" s="408">
        <f t="shared" si="71"/>
        <v>0.453256398</v>
      </c>
      <c r="AK110">
        <f t="shared" si="85"/>
        <v>4.8000000000000001E-2</v>
      </c>
      <c r="AL110" s="408">
        <f t="shared" si="72"/>
        <v>0.1215</v>
      </c>
      <c r="AM110" s="408">
        <f t="shared" si="86"/>
        <v>0.31645971316818772</v>
      </c>
      <c r="AN110" s="408">
        <f t="shared" ref="AN110:AN173" si="114">SUM(AK110:AL110)</f>
        <v>0.16949999999999998</v>
      </c>
      <c r="AO110" s="408">
        <f t="shared" ref="AO110:AO173" si="115">SUM(Q110,T110,W110,AC110,AJ110,AI110,AG110,AN110, AH110)</f>
        <v>1.348208284711139</v>
      </c>
      <c r="AP110">
        <f t="shared" si="74"/>
        <v>15.452999999999999</v>
      </c>
      <c r="AQ110" s="10">
        <f t="shared" ref="AQ110:AQ173" si="116">AP110/(AP110+AO110)</f>
        <v>0.91975527819996206</v>
      </c>
      <c r="AR110" s="63">
        <f t="shared" ref="AR110:AR173" si="117">ThetaJaTop*AC110</f>
        <v>19.107229584818654</v>
      </c>
      <c r="AS110" s="63">
        <f t="shared" ref="AS110:AS173" si="118">AG110*ThetaJaBot</f>
        <v>4.4516426018878175</v>
      </c>
      <c r="AT110" s="10"/>
      <c r="AU110">
        <f t="shared" ref="AU110:AU173" si="119">AQ110*100</f>
        <v>91.975527819996202</v>
      </c>
    </row>
    <row r="111" spans="7:58" x14ac:dyDescent="0.25">
      <c r="G111">
        <v>102</v>
      </c>
      <c r="H111">
        <f t="shared" si="55"/>
        <v>3.06</v>
      </c>
      <c r="I111" s="407">
        <f t="shared" si="97"/>
        <v>0.2139025</v>
      </c>
      <c r="J111" s="408">
        <f t="shared" si="56"/>
        <v>1.821061824324324</v>
      </c>
      <c r="K111" s="408">
        <f t="shared" si="77"/>
        <v>3.9705309121621619</v>
      </c>
      <c r="L111" s="408">
        <f t="shared" si="98"/>
        <v>2.1494690878378382</v>
      </c>
      <c r="M111" s="63">
        <f t="shared" si="57"/>
        <v>0</v>
      </c>
      <c r="N111" s="407">
        <f t="shared" si="99"/>
        <v>3.1048277752559725</v>
      </c>
      <c r="O111" s="407">
        <f t="shared" si="100"/>
        <v>4.8386354491919477E-2</v>
      </c>
      <c r="P111">
        <f t="shared" si="59"/>
        <v>0.2</v>
      </c>
      <c r="Q111" s="407">
        <f t="shared" si="80"/>
        <v>0.24838635449191948</v>
      </c>
      <c r="R111" s="9">
        <f t="shared" si="101"/>
        <v>0.52569526724229976</v>
      </c>
      <c r="S111" s="9">
        <f t="shared" si="102"/>
        <v>2.76355514000953E-3</v>
      </c>
      <c r="T111" s="9">
        <f t="shared" si="103"/>
        <v>2.76355514000953E-3</v>
      </c>
      <c r="U111" s="407">
        <f t="shared" si="104"/>
        <v>1.435970258861091</v>
      </c>
      <c r="V111" s="409">
        <f t="shared" si="105"/>
        <v>4.1240211686671769E-3</v>
      </c>
      <c r="W111" s="407">
        <f t="shared" si="106"/>
        <v>4.1240211686671769E-3</v>
      </c>
      <c r="X111" s="407">
        <f t="shared" si="107"/>
        <v>1.435970258861091</v>
      </c>
      <c r="Y111" s="407">
        <f t="shared" si="108"/>
        <v>1.2372063506001531E-2</v>
      </c>
      <c r="Z111" s="407">
        <f t="shared" si="62"/>
        <v>0.22732844055579457</v>
      </c>
      <c r="AA111" s="407">
        <f t="shared" si="63"/>
        <v>0.14400000000000002</v>
      </c>
      <c r="AB111" s="407">
        <f t="shared" si="64"/>
        <v>0</v>
      </c>
      <c r="AC111" s="407">
        <f t="shared" si="109"/>
        <v>0.38465229258010214</v>
      </c>
      <c r="AD111" s="407">
        <f t="shared" si="110"/>
        <v>2.7528067367084388</v>
      </c>
      <c r="AE111" s="407">
        <f t="shared" si="111"/>
        <v>4.5467669578004181E-2</v>
      </c>
      <c r="AF111" s="407">
        <f t="shared" si="67"/>
        <v>4.4063999999999999E-2</v>
      </c>
      <c r="AG111" s="407">
        <f t="shared" si="112"/>
        <v>9.0353300379390641E-2</v>
      </c>
      <c r="AH111" s="407">
        <f t="shared" si="113"/>
        <v>0</v>
      </c>
      <c r="AI111">
        <f t="shared" si="70"/>
        <v>0</v>
      </c>
      <c r="AJ111" s="408">
        <f t="shared" si="71"/>
        <v>0.45325299599999996</v>
      </c>
      <c r="AK111">
        <f t="shared" si="85"/>
        <v>4.8000000000000001E-2</v>
      </c>
      <c r="AL111" s="408">
        <f t="shared" si="72"/>
        <v>0.1215</v>
      </c>
      <c r="AM111" s="408">
        <f t="shared" si="86"/>
        <v>0.31645971316818772</v>
      </c>
      <c r="AN111" s="408">
        <f t="shared" si="114"/>
        <v>0.16949999999999998</v>
      </c>
      <c r="AO111" s="408">
        <f t="shared" si="115"/>
        <v>1.353032519760089</v>
      </c>
      <c r="AP111">
        <f t="shared" si="74"/>
        <v>15.606</v>
      </c>
      <c r="AQ111" s="10">
        <f t="shared" si="116"/>
        <v>0.9202175879913207</v>
      </c>
      <c r="AR111" s="63">
        <f t="shared" si="117"/>
        <v>19.232614629005106</v>
      </c>
      <c r="AS111" s="63">
        <f t="shared" si="118"/>
        <v>4.5176650189695318</v>
      </c>
      <c r="AT111" s="10"/>
      <c r="AU111">
        <f t="shared" si="119"/>
        <v>92.021758799132073</v>
      </c>
    </row>
    <row r="112" spans="7:58" x14ac:dyDescent="0.25">
      <c r="G112">
        <v>103</v>
      </c>
      <c r="H112">
        <f t="shared" si="55"/>
        <v>3.09</v>
      </c>
      <c r="I112" s="407">
        <f t="shared" si="97"/>
        <v>0.21391625</v>
      </c>
      <c r="J112" s="408">
        <f t="shared" si="56"/>
        <v>1.8211788851351347</v>
      </c>
      <c r="K112" s="408">
        <f t="shared" si="77"/>
        <v>4.0005894425675672</v>
      </c>
      <c r="L112" s="408">
        <f t="shared" si="98"/>
        <v>2.1794105574324325</v>
      </c>
      <c r="M112" s="63">
        <f t="shared" si="57"/>
        <v>0</v>
      </c>
      <c r="N112" s="407">
        <f t="shared" si="99"/>
        <v>3.1344044162017721</v>
      </c>
      <c r="O112" s="407">
        <f t="shared" si="100"/>
        <v>4.9316258075847781E-2</v>
      </c>
      <c r="P112">
        <f t="shared" si="59"/>
        <v>0.2</v>
      </c>
      <c r="Q112" s="407">
        <f t="shared" si="80"/>
        <v>0.24931625807584779</v>
      </c>
      <c r="R112" s="9">
        <f t="shared" si="101"/>
        <v>0.5257290597876163</v>
      </c>
      <c r="S112" s="9">
        <f t="shared" si="102"/>
        <v>2.7639104430517104E-3</v>
      </c>
      <c r="T112" s="9">
        <f t="shared" si="103"/>
        <v>2.7639104430517104E-3</v>
      </c>
      <c r="U112" s="407">
        <f t="shared" si="104"/>
        <v>1.4496959275504453</v>
      </c>
      <c r="V112" s="409">
        <f t="shared" si="105"/>
        <v>4.2032365647126924E-3</v>
      </c>
      <c r="W112" s="407">
        <f t="shared" si="106"/>
        <v>4.2032365647126924E-3</v>
      </c>
      <c r="X112" s="407">
        <f t="shared" si="107"/>
        <v>1.4496959275504453</v>
      </c>
      <c r="Y112" s="407">
        <f t="shared" si="108"/>
        <v>1.2609709694138077E-2</v>
      </c>
      <c r="Z112" s="407">
        <f t="shared" si="62"/>
        <v>0.22957664645120235</v>
      </c>
      <c r="AA112" s="407">
        <f t="shared" si="63"/>
        <v>0.14400000000000002</v>
      </c>
      <c r="AB112" s="407">
        <f t="shared" si="64"/>
        <v>0</v>
      </c>
      <c r="AC112" s="407">
        <f t="shared" si="109"/>
        <v>0.3871627581422516</v>
      </c>
      <c r="AD112" s="407">
        <f t="shared" si="110"/>
        <v>2.7790057146304727</v>
      </c>
      <c r="AE112" s="407">
        <f t="shared" si="111"/>
        <v>4.6337236571692947E-2</v>
      </c>
      <c r="AF112" s="407">
        <f t="shared" si="67"/>
        <v>4.4495999999999994E-2</v>
      </c>
      <c r="AG112" s="407">
        <f t="shared" si="112"/>
        <v>9.1682903045290781E-2</v>
      </c>
      <c r="AH112" s="407">
        <f t="shared" si="113"/>
        <v>0</v>
      </c>
      <c r="AI112">
        <f t="shared" si="70"/>
        <v>0</v>
      </c>
      <c r="AJ112" s="408">
        <f t="shared" si="71"/>
        <v>0.45324959399999998</v>
      </c>
      <c r="AK112">
        <f t="shared" si="85"/>
        <v>4.8000000000000001E-2</v>
      </c>
      <c r="AL112" s="408">
        <f t="shared" si="72"/>
        <v>0.1215</v>
      </c>
      <c r="AM112" s="408">
        <f t="shared" si="86"/>
        <v>0.31645971316818772</v>
      </c>
      <c r="AN112" s="408">
        <f t="shared" si="114"/>
        <v>0.16949999999999998</v>
      </c>
      <c r="AO112" s="408">
        <f t="shared" si="115"/>
        <v>1.3578786602711546</v>
      </c>
      <c r="AP112">
        <f t="shared" si="74"/>
        <v>15.758999999999999</v>
      </c>
      <c r="AQ112" s="10">
        <f t="shared" si="116"/>
        <v>0.92067019418541318</v>
      </c>
      <c r="AR112" s="63">
        <f t="shared" si="117"/>
        <v>19.358137907112578</v>
      </c>
      <c r="AS112" s="63">
        <f t="shared" si="118"/>
        <v>4.5841451522645391</v>
      </c>
      <c r="AT112" s="10"/>
      <c r="AU112">
        <f t="shared" si="119"/>
        <v>92.067019418541321</v>
      </c>
    </row>
    <row r="113" spans="7:47" x14ac:dyDescent="0.25">
      <c r="G113">
        <v>104</v>
      </c>
      <c r="H113">
        <f t="shared" si="55"/>
        <v>3.12</v>
      </c>
      <c r="I113" s="407">
        <f t="shared" si="97"/>
        <v>0.21392999999999998</v>
      </c>
      <c r="J113" s="408">
        <f t="shared" si="56"/>
        <v>1.8212959459459452</v>
      </c>
      <c r="K113" s="408">
        <f t="shared" si="77"/>
        <v>4.0306479729729725</v>
      </c>
      <c r="L113" s="408">
        <f t="shared" si="98"/>
        <v>2.2093520270270277</v>
      </c>
      <c r="M113" s="63">
        <f t="shared" si="57"/>
        <v>0</v>
      </c>
      <c r="N113" s="407">
        <f t="shared" si="99"/>
        <v>3.1639890291992576</v>
      </c>
      <c r="O113" s="407">
        <f t="shared" si="100"/>
        <v>5.025537200996591E-2</v>
      </c>
      <c r="P113">
        <f t="shared" si="59"/>
        <v>0.2</v>
      </c>
      <c r="Q113" s="407">
        <f t="shared" si="80"/>
        <v>0.25025537200996595</v>
      </c>
      <c r="R113" s="9">
        <f t="shared" si="101"/>
        <v>0.52576285233293285</v>
      </c>
      <c r="S113" s="9">
        <f t="shared" si="102"/>
        <v>2.7642657689326135E-3</v>
      </c>
      <c r="T113" s="9">
        <f t="shared" si="103"/>
        <v>2.7642657689326135E-3</v>
      </c>
      <c r="U113" s="407">
        <f t="shared" si="104"/>
        <v>1.4634261613059865</v>
      </c>
      <c r="V113" s="409">
        <f t="shared" si="105"/>
        <v>4.2832322591895506E-3</v>
      </c>
      <c r="W113" s="407">
        <f t="shared" si="106"/>
        <v>4.2832322591895506E-3</v>
      </c>
      <c r="X113" s="407">
        <f t="shared" si="107"/>
        <v>1.4634261613059865</v>
      </c>
      <c r="Y113" s="407">
        <f t="shared" si="108"/>
        <v>1.2849696777568653E-2</v>
      </c>
      <c r="Z113" s="407">
        <f t="shared" si="62"/>
        <v>0.23182485234661016</v>
      </c>
      <c r="AA113" s="407">
        <f t="shared" si="63"/>
        <v>0.14400000000000002</v>
      </c>
      <c r="AB113" s="407">
        <f t="shared" si="64"/>
        <v>0</v>
      </c>
      <c r="AC113" s="407">
        <f t="shared" si="109"/>
        <v>0.38967599279395893</v>
      </c>
      <c r="AD113" s="407">
        <f t="shared" si="110"/>
        <v>2.805211301720155</v>
      </c>
      <c r="AE113" s="407">
        <f t="shared" si="111"/>
        <v>4.7215262683790921E-2</v>
      </c>
      <c r="AF113" s="407">
        <f t="shared" si="67"/>
        <v>4.4928000000000003E-2</v>
      </c>
      <c r="AG113" s="407">
        <f t="shared" si="112"/>
        <v>9.3021671212103862E-2</v>
      </c>
      <c r="AH113" s="407">
        <f t="shared" si="113"/>
        <v>0</v>
      </c>
      <c r="AI113">
        <f t="shared" si="70"/>
        <v>0</v>
      </c>
      <c r="AJ113" s="408">
        <f t="shared" si="71"/>
        <v>0.45324619200000005</v>
      </c>
      <c r="AK113">
        <f t="shared" si="85"/>
        <v>4.8000000000000001E-2</v>
      </c>
      <c r="AL113" s="408">
        <f t="shared" si="72"/>
        <v>0.1215</v>
      </c>
      <c r="AM113" s="408">
        <f t="shared" si="86"/>
        <v>0.31645971316818772</v>
      </c>
      <c r="AN113" s="408">
        <f t="shared" si="114"/>
        <v>0.16949999999999998</v>
      </c>
      <c r="AO113" s="408">
        <f t="shared" si="115"/>
        <v>1.3627467260441508</v>
      </c>
      <c r="AP113">
        <f t="shared" si="74"/>
        <v>15.911999999999999</v>
      </c>
      <c r="AQ113" s="10">
        <f t="shared" si="116"/>
        <v>0.92111336000141664</v>
      </c>
      <c r="AR113" s="63">
        <f t="shared" si="117"/>
        <v>19.483799639697946</v>
      </c>
      <c r="AS113" s="63">
        <f t="shared" si="118"/>
        <v>4.6510835606051932</v>
      </c>
      <c r="AT113" s="10"/>
      <c r="AU113">
        <f t="shared" si="119"/>
        <v>92.111336000141662</v>
      </c>
    </row>
    <row r="114" spans="7:47" x14ac:dyDescent="0.25">
      <c r="G114">
        <v>105</v>
      </c>
      <c r="H114">
        <f t="shared" si="55"/>
        <v>3.1500000000000004</v>
      </c>
      <c r="I114" s="407">
        <f t="shared" si="97"/>
        <v>0.21394374999999999</v>
      </c>
      <c r="J114" s="408">
        <f t="shared" si="56"/>
        <v>1.8214130067567562</v>
      </c>
      <c r="K114" s="408">
        <f t="shared" si="77"/>
        <v>4.0607065033783787</v>
      </c>
      <c r="L114" s="408">
        <f t="shared" si="98"/>
        <v>2.239293496621622</v>
      </c>
      <c r="M114" s="63">
        <f t="shared" si="57"/>
        <v>0</v>
      </c>
      <c r="N114" s="407">
        <f t="shared" si="99"/>
        <v>3.1935813926946071</v>
      </c>
      <c r="O114" s="407">
        <f t="shared" si="100"/>
        <v>5.1203700398966628E-2</v>
      </c>
      <c r="P114">
        <f t="shared" si="59"/>
        <v>0.2</v>
      </c>
      <c r="Q114" s="407">
        <f t="shared" si="80"/>
        <v>0.25120370039896667</v>
      </c>
      <c r="R114" s="9">
        <f t="shared" si="101"/>
        <v>0.52579664487824951</v>
      </c>
      <c r="S114" s="9">
        <f t="shared" si="102"/>
        <v>2.76462111765224E-3</v>
      </c>
      <c r="T114" s="9">
        <f t="shared" si="103"/>
        <v>2.76462111765224E-3</v>
      </c>
      <c r="U114" s="407">
        <f t="shared" si="104"/>
        <v>1.4771608579633335</v>
      </c>
      <c r="V114" s="409">
        <f t="shared" si="105"/>
        <v>4.3640084005979437E-3</v>
      </c>
      <c r="W114" s="407">
        <f t="shared" si="106"/>
        <v>4.3640084005979437E-3</v>
      </c>
      <c r="X114" s="407">
        <f t="shared" si="107"/>
        <v>1.4771608579633335</v>
      </c>
      <c r="Y114" s="407">
        <f t="shared" si="108"/>
        <v>1.309202520179383E-2</v>
      </c>
      <c r="Z114" s="407">
        <f t="shared" si="62"/>
        <v>0.23407305824201802</v>
      </c>
      <c r="AA114" s="407">
        <f t="shared" si="63"/>
        <v>0.14400000000000002</v>
      </c>
      <c r="AB114" s="407">
        <f t="shared" si="64"/>
        <v>0</v>
      </c>
      <c r="AC114" s="407">
        <f t="shared" si="109"/>
        <v>0.39219200095590318</v>
      </c>
      <c r="AD114" s="407">
        <f t="shared" si="110"/>
        <v>2.8314233013568026</v>
      </c>
      <c r="AE114" s="407">
        <f t="shared" si="111"/>
        <v>4.8101747468797529E-2</v>
      </c>
      <c r="AF114" s="407">
        <f t="shared" si="67"/>
        <v>4.5360000000000004E-2</v>
      </c>
      <c r="AG114" s="407">
        <f t="shared" si="112"/>
        <v>9.4369616157827768E-2</v>
      </c>
      <c r="AH114" s="407">
        <f t="shared" si="113"/>
        <v>0</v>
      </c>
      <c r="AI114">
        <f t="shared" si="70"/>
        <v>0</v>
      </c>
      <c r="AJ114" s="408">
        <f t="shared" si="71"/>
        <v>0.45324279000000001</v>
      </c>
      <c r="AK114">
        <f t="shared" si="85"/>
        <v>4.8000000000000001E-2</v>
      </c>
      <c r="AL114" s="408">
        <f t="shared" si="72"/>
        <v>0.1215</v>
      </c>
      <c r="AM114" s="408">
        <f t="shared" si="86"/>
        <v>0.31645971316818772</v>
      </c>
      <c r="AN114" s="408">
        <f t="shared" si="114"/>
        <v>0.16949999999999998</v>
      </c>
      <c r="AO114" s="408">
        <f t="shared" si="115"/>
        <v>1.3676367370309477</v>
      </c>
      <c r="AP114">
        <f t="shared" si="74"/>
        <v>16.065000000000001</v>
      </c>
      <c r="AQ114" s="10">
        <f t="shared" si="116"/>
        <v>0.92154733918559939</v>
      </c>
      <c r="AR114" s="63">
        <f t="shared" si="117"/>
        <v>19.609600047795158</v>
      </c>
      <c r="AS114" s="63">
        <f t="shared" si="118"/>
        <v>4.718480807891388</v>
      </c>
      <c r="AT114" s="10"/>
      <c r="AU114">
        <f t="shared" si="119"/>
        <v>92.154733918559941</v>
      </c>
    </row>
    <row r="115" spans="7:47" x14ac:dyDescent="0.25">
      <c r="G115">
        <v>106</v>
      </c>
      <c r="H115">
        <f t="shared" si="55"/>
        <v>3.18</v>
      </c>
      <c r="I115" s="407">
        <f t="shared" si="97"/>
        <v>0.21395749999999999</v>
      </c>
      <c r="J115" s="408">
        <f t="shared" si="56"/>
        <v>1.8215300675675672</v>
      </c>
      <c r="K115" s="408">
        <f t="shared" si="77"/>
        <v>4.090765033783784</v>
      </c>
      <c r="L115" s="408">
        <f t="shared" si="98"/>
        <v>2.2692349662162163</v>
      </c>
      <c r="M115" s="63">
        <f t="shared" si="57"/>
        <v>0</v>
      </c>
      <c r="N115" s="407">
        <f t="shared" si="99"/>
        <v>3.2231812932134392</v>
      </c>
      <c r="O115" s="407">
        <f t="shared" si="100"/>
        <v>5.2161247388750005E-2</v>
      </c>
      <c r="P115">
        <f t="shared" si="59"/>
        <v>0.2</v>
      </c>
      <c r="Q115" s="407">
        <f t="shared" si="80"/>
        <v>0.25216124738875001</v>
      </c>
      <c r="R115" s="9">
        <f t="shared" si="101"/>
        <v>0.52583043742356605</v>
      </c>
      <c r="S115" s="9">
        <f t="shared" si="102"/>
        <v>2.7649764892105884E-3</v>
      </c>
      <c r="T115" s="9">
        <f t="shared" si="103"/>
        <v>2.7649764892105884E-3</v>
      </c>
      <c r="U115" s="407">
        <f t="shared" si="104"/>
        <v>1.4908999190821051</v>
      </c>
      <c r="V115" s="409">
        <f t="shared" si="105"/>
        <v>4.4455651374380551E-3</v>
      </c>
      <c r="W115" s="407">
        <f t="shared" si="106"/>
        <v>4.4455651374380551E-3</v>
      </c>
      <c r="X115" s="407">
        <f t="shared" si="107"/>
        <v>1.4908999190821051</v>
      </c>
      <c r="Y115" s="407">
        <f t="shared" si="108"/>
        <v>1.3336695412314165E-2</v>
      </c>
      <c r="Z115" s="407">
        <f t="shared" si="62"/>
        <v>0.2363212641374258</v>
      </c>
      <c r="AA115" s="407">
        <f t="shared" si="63"/>
        <v>0.14400000000000002</v>
      </c>
      <c r="AB115" s="407">
        <f t="shared" si="64"/>
        <v>0</v>
      </c>
      <c r="AC115" s="407">
        <f t="shared" si="109"/>
        <v>0.3947107870583304</v>
      </c>
      <c r="AD115" s="407">
        <f t="shared" si="110"/>
        <v>2.8576415240897575</v>
      </c>
      <c r="AE115" s="407">
        <f t="shared" si="111"/>
        <v>4.8996690481212191E-2</v>
      </c>
      <c r="AF115" s="407">
        <f t="shared" si="67"/>
        <v>4.5791999999999999E-2</v>
      </c>
      <c r="AG115" s="407">
        <f t="shared" si="112"/>
        <v>9.5726749262085589E-2</v>
      </c>
      <c r="AH115" s="407">
        <f t="shared" si="113"/>
        <v>0</v>
      </c>
      <c r="AI115">
        <f t="shared" si="70"/>
        <v>0</v>
      </c>
      <c r="AJ115" s="408">
        <f t="shared" si="71"/>
        <v>0.45323938800000002</v>
      </c>
      <c r="AK115">
        <f t="shared" si="85"/>
        <v>4.8000000000000001E-2</v>
      </c>
      <c r="AL115" s="408">
        <f t="shared" si="72"/>
        <v>0.1215</v>
      </c>
      <c r="AM115" s="408">
        <f t="shared" si="86"/>
        <v>0.31645971316818772</v>
      </c>
      <c r="AN115" s="408">
        <f t="shared" si="114"/>
        <v>0.16949999999999998</v>
      </c>
      <c r="AO115" s="408">
        <f t="shared" si="115"/>
        <v>1.3725487133358147</v>
      </c>
      <c r="AP115">
        <f t="shared" si="74"/>
        <v>16.218</v>
      </c>
      <c r="AQ115" s="10">
        <f t="shared" si="116"/>
        <v>0.92197237643330299</v>
      </c>
      <c r="AR115" s="63">
        <f t="shared" si="117"/>
        <v>19.735539352916518</v>
      </c>
      <c r="AS115" s="63">
        <f t="shared" si="118"/>
        <v>4.7863374631042799</v>
      </c>
      <c r="AT115" s="10"/>
      <c r="AU115">
        <f t="shared" si="119"/>
        <v>92.197237643330297</v>
      </c>
    </row>
    <row r="116" spans="7:47" x14ac:dyDescent="0.25">
      <c r="G116">
        <v>107</v>
      </c>
      <c r="H116">
        <f t="shared" si="55"/>
        <v>3.21</v>
      </c>
      <c r="I116" s="407">
        <f t="shared" si="97"/>
        <v>0.21397124999999997</v>
      </c>
      <c r="J116" s="408">
        <f t="shared" si="56"/>
        <v>1.8216471283783779</v>
      </c>
      <c r="K116" s="408">
        <f t="shared" si="77"/>
        <v>4.1208235641891893</v>
      </c>
      <c r="L116" s="408">
        <f t="shared" si="98"/>
        <v>2.2991764358108111</v>
      </c>
      <c r="M116" s="63">
        <f t="shared" si="57"/>
        <v>0</v>
      </c>
      <c r="N116" s="407">
        <f t="shared" si="99"/>
        <v>3.2527885249983228</v>
      </c>
      <c r="O116" s="407">
        <f t="shared" si="100"/>
        <v>5.3128017166469158E-2</v>
      </c>
      <c r="P116">
        <f t="shared" si="59"/>
        <v>0.2</v>
      </c>
      <c r="Q116" s="407">
        <f t="shared" si="80"/>
        <v>0.25312801716646915</v>
      </c>
      <c r="R116" s="9">
        <f t="shared" si="101"/>
        <v>0.52586422996888271</v>
      </c>
      <c r="S116" s="9">
        <f t="shared" si="102"/>
        <v>2.7653318836076595E-3</v>
      </c>
      <c r="T116" s="9">
        <f t="shared" si="103"/>
        <v>2.7653318836076595E-3</v>
      </c>
      <c r="U116" s="407">
        <f t="shared" si="104"/>
        <v>1.5046432497788431</v>
      </c>
      <c r="V116" s="409">
        <f t="shared" si="105"/>
        <v>4.5279026182100763E-3</v>
      </c>
      <c r="W116" s="407">
        <f t="shared" si="106"/>
        <v>4.5279026182100763E-3</v>
      </c>
      <c r="X116" s="407">
        <f t="shared" si="107"/>
        <v>1.5046432497788431</v>
      </c>
      <c r="Y116" s="407">
        <f t="shared" si="108"/>
        <v>1.3583707854630228E-2</v>
      </c>
      <c r="Z116" s="407">
        <f t="shared" si="62"/>
        <v>0.2385694700328336</v>
      </c>
      <c r="AA116" s="407">
        <f t="shared" si="63"/>
        <v>0.14400000000000002</v>
      </c>
      <c r="AB116" s="407">
        <f t="shared" si="64"/>
        <v>0</v>
      </c>
      <c r="AC116" s="407">
        <f t="shared" si="109"/>
        <v>0.39723235554107916</v>
      </c>
      <c r="AD116" s="407">
        <f t="shared" si="110"/>
        <v>2.8838657873166924</v>
      </c>
      <c r="AE116" s="407">
        <f t="shared" si="111"/>
        <v>4.990009127553436E-2</v>
      </c>
      <c r="AF116" s="407">
        <f t="shared" si="67"/>
        <v>4.6224000000000001E-2</v>
      </c>
      <c r="AG116" s="407">
        <f t="shared" si="112"/>
        <v>9.7093082006402862E-2</v>
      </c>
      <c r="AH116" s="407">
        <f t="shared" si="113"/>
        <v>0</v>
      </c>
      <c r="AI116">
        <f t="shared" si="70"/>
        <v>0</v>
      </c>
      <c r="AJ116" s="408">
        <f t="shared" si="71"/>
        <v>0.45323598600000004</v>
      </c>
      <c r="AK116">
        <f t="shared" si="85"/>
        <v>4.8000000000000001E-2</v>
      </c>
      <c r="AL116" s="408">
        <f t="shared" si="72"/>
        <v>0.1215</v>
      </c>
      <c r="AM116" s="408">
        <f t="shared" si="86"/>
        <v>0.31645971316818772</v>
      </c>
      <c r="AN116" s="408">
        <f t="shared" si="114"/>
        <v>0.16949999999999998</v>
      </c>
      <c r="AO116" s="408">
        <f t="shared" si="115"/>
        <v>1.3774826752157689</v>
      </c>
      <c r="AP116">
        <f t="shared" si="74"/>
        <v>16.370999999999999</v>
      </c>
      <c r="AQ116" s="10">
        <f t="shared" si="116"/>
        <v>0.92238870778856463</v>
      </c>
      <c r="AR116" s="63">
        <f t="shared" si="117"/>
        <v>19.861617777053958</v>
      </c>
      <c r="AS116" s="63">
        <f t="shared" si="118"/>
        <v>4.8546541003201433</v>
      </c>
      <c r="AT116" s="10"/>
      <c r="AU116">
        <f t="shared" si="119"/>
        <v>92.238870778856466</v>
      </c>
    </row>
    <row r="117" spans="7:47" x14ac:dyDescent="0.25">
      <c r="G117">
        <v>108</v>
      </c>
      <c r="H117">
        <f t="shared" si="55"/>
        <v>3.24</v>
      </c>
      <c r="I117" s="407">
        <f t="shared" si="97"/>
        <v>0.21398500000000001</v>
      </c>
      <c r="J117" s="408">
        <f t="shared" si="56"/>
        <v>1.8217641891891889</v>
      </c>
      <c r="K117" s="408">
        <f t="shared" si="77"/>
        <v>4.1508820945945946</v>
      </c>
      <c r="L117" s="408">
        <f t="shared" si="98"/>
        <v>2.3291179054054059</v>
      </c>
      <c r="M117" s="63">
        <f t="shared" si="57"/>
        <v>0</v>
      </c>
      <c r="N117" s="407">
        <f t="shared" si="99"/>
        <v>3.2824028896654882</v>
      </c>
      <c r="O117" s="407">
        <f t="shared" si="100"/>
        <v>5.4104013960576174E-2</v>
      </c>
      <c r="P117">
        <f t="shared" si="59"/>
        <v>0.2</v>
      </c>
      <c r="Q117" s="407">
        <f t="shared" si="80"/>
        <v>0.25410401396057619</v>
      </c>
      <c r="R117" s="9">
        <f t="shared" si="101"/>
        <v>0.52589802251419926</v>
      </c>
      <c r="S117" s="9">
        <f t="shared" si="102"/>
        <v>2.7656873008434523E-3</v>
      </c>
      <c r="T117" s="9">
        <f t="shared" si="103"/>
        <v>2.7656873008434523E-3</v>
      </c>
      <c r="U117" s="407">
        <f t="shared" si="104"/>
        <v>1.5183907585687879</v>
      </c>
      <c r="V117" s="409">
        <f t="shared" si="105"/>
        <v>4.6110209914141985E-3</v>
      </c>
      <c r="W117" s="407">
        <f t="shared" si="106"/>
        <v>4.6110209914141985E-3</v>
      </c>
      <c r="X117" s="407">
        <f t="shared" si="107"/>
        <v>1.5183907585687879</v>
      </c>
      <c r="Y117" s="407">
        <f t="shared" si="108"/>
        <v>1.3833062974242596E-2</v>
      </c>
      <c r="Z117" s="407">
        <f t="shared" si="62"/>
        <v>0.24081767592824138</v>
      </c>
      <c r="AA117" s="407">
        <f t="shared" si="63"/>
        <v>0.14400000000000002</v>
      </c>
      <c r="AB117" s="407">
        <f t="shared" si="64"/>
        <v>0</v>
      </c>
      <c r="AC117" s="407">
        <f t="shared" si="109"/>
        <v>0.39975671085360681</v>
      </c>
      <c r="AD117" s="407">
        <f t="shared" si="110"/>
        <v>2.9100959149789629</v>
      </c>
      <c r="AE117" s="407">
        <f t="shared" si="111"/>
        <v>5.081194940626349E-2</v>
      </c>
      <c r="AF117" s="407">
        <f t="shared" si="67"/>
        <v>4.6656000000000003E-2</v>
      </c>
      <c r="AG117" s="407">
        <f t="shared" si="112"/>
        <v>9.8468625974487481E-2</v>
      </c>
      <c r="AH117" s="407">
        <f t="shared" si="113"/>
        <v>0</v>
      </c>
      <c r="AI117">
        <f t="shared" si="70"/>
        <v>0</v>
      </c>
      <c r="AJ117" s="408">
        <f t="shared" si="71"/>
        <v>0.45323258399999999</v>
      </c>
      <c r="AK117">
        <f t="shared" si="85"/>
        <v>4.8000000000000001E-2</v>
      </c>
      <c r="AL117" s="408">
        <f t="shared" si="72"/>
        <v>0.1215</v>
      </c>
      <c r="AM117" s="408">
        <f t="shared" si="86"/>
        <v>0.31645971316818772</v>
      </c>
      <c r="AN117" s="408">
        <f t="shared" si="114"/>
        <v>0.16949999999999998</v>
      </c>
      <c r="AO117" s="408">
        <f t="shared" si="115"/>
        <v>1.3824386430809281</v>
      </c>
      <c r="AP117">
        <f t="shared" si="74"/>
        <v>16.524000000000001</v>
      </c>
      <c r="AQ117" s="10">
        <f t="shared" si="116"/>
        <v>0.92279656102275232</v>
      </c>
      <c r="AR117" s="63">
        <f t="shared" si="117"/>
        <v>19.98783554268034</v>
      </c>
      <c r="AS117" s="63">
        <f t="shared" si="118"/>
        <v>4.923431298724374</v>
      </c>
      <c r="AT117" s="10"/>
      <c r="AU117">
        <f t="shared" si="119"/>
        <v>92.279656102275226</v>
      </c>
    </row>
    <row r="118" spans="7:47" x14ac:dyDescent="0.25">
      <c r="G118">
        <v>109</v>
      </c>
      <c r="H118">
        <f t="shared" si="55"/>
        <v>3.2700000000000005</v>
      </c>
      <c r="I118" s="407">
        <f t="shared" si="97"/>
        <v>0.21399874999999999</v>
      </c>
      <c r="J118" s="408">
        <f t="shared" si="56"/>
        <v>1.8218812499999995</v>
      </c>
      <c r="K118" s="408">
        <f t="shared" si="77"/>
        <v>4.1809406249999999</v>
      </c>
      <c r="L118" s="408">
        <f t="shared" si="98"/>
        <v>2.3590593750000006</v>
      </c>
      <c r="M118" s="63">
        <f t="shared" si="57"/>
        <v>0</v>
      </c>
      <c r="N118" s="407">
        <f t="shared" si="99"/>
        <v>3.3120241958795833</v>
      </c>
      <c r="O118" s="407">
        <f t="shared" si="100"/>
        <v>5.508924204086852E-2</v>
      </c>
      <c r="P118">
        <f t="shared" si="59"/>
        <v>0.2</v>
      </c>
      <c r="Q118" s="407">
        <f t="shared" si="80"/>
        <v>0.25508924204086852</v>
      </c>
      <c r="R118" s="9">
        <f t="shared" si="101"/>
        <v>0.52593181505951581</v>
      </c>
      <c r="S118" s="9">
        <f t="shared" si="102"/>
        <v>2.7660427409179674E-3</v>
      </c>
      <c r="T118" s="9">
        <f t="shared" si="103"/>
        <v>2.7660427409179674E-3</v>
      </c>
      <c r="U118" s="407">
        <f t="shared" si="104"/>
        <v>1.5321423572159678</v>
      </c>
      <c r="V118" s="409">
        <f t="shared" si="105"/>
        <v>4.6949204055506044E-3</v>
      </c>
      <c r="W118" s="407">
        <f t="shared" si="106"/>
        <v>4.6949204055506044E-3</v>
      </c>
      <c r="X118" s="407">
        <f t="shared" si="107"/>
        <v>1.5321423572159678</v>
      </c>
      <c r="Y118" s="407">
        <f t="shared" si="108"/>
        <v>1.4084761216651814E-2</v>
      </c>
      <c r="Z118" s="407">
        <f t="shared" si="62"/>
        <v>0.24306588182364919</v>
      </c>
      <c r="AA118" s="407">
        <f t="shared" si="63"/>
        <v>0.14400000000000002</v>
      </c>
      <c r="AB118" s="407">
        <f t="shared" si="64"/>
        <v>0</v>
      </c>
      <c r="AC118" s="407">
        <f t="shared" si="109"/>
        <v>0.40228385745501449</v>
      </c>
      <c r="AD118" s="407">
        <f t="shared" si="110"/>
        <v>2.9363317372729698</v>
      </c>
      <c r="AE118" s="407">
        <f t="shared" si="111"/>
        <v>5.173226442789898E-2</v>
      </c>
      <c r="AF118" s="407">
        <f t="shared" si="67"/>
        <v>4.7088000000000005E-2</v>
      </c>
      <c r="AG118" s="407">
        <f t="shared" si="112"/>
        <v>9.9853392852512796E-2</v>
      </c>
      <c r="AH118" s="407">
        <f t="shared" si="113"/>
        <v>0</v>
      </c>
      <c r="AI118">
        <f t="shared" si="70"/>
        <v>0</v>
      </c>
      <c r="AJ118" s="408">
        <f t="shared" si="71"/>
        <v>0.45322918200000001</v>
      </c>
      <c r="AK118">
        <f t="shared" si="85"/>
        <v>4.8000000000000001E-2</v>
      </c>
      <c r="AL118" s="408">
        <f t="shared" si="72"/>
        <v>0.1215</v>
      </c>
      <c r="AM118" s="408">
        <f t="shared" si="86"/>
        <v>0.31645971316818772</v>
      </c>
      <c r="AN118" s="408">
        <f t="shared" si="114"/>
        <v>0.16949999999999998</v>
      </c>
      <c r="AO118" s="408">
        <f t="shared" si="115"/>
        <v>1.3874166374948642</v>
      </c>
      <c r="AP118">
        <f t="shared" si="74"/>
        <v>16.677</v>
      </c>
      <c r="AQ118" s="10">
        <f t="shared" si="116"/>
        <v>0.92319615599348415</v>
      </c>
      <c r="AR118" s="63">
        <f t="shared" si="117"/>
        <v>20.114192872750724</v>
      </c>
      <c r="AS118" s="63">
        <f t="shared" si="118"/>
        <v>4.9926696426256401</v>
      </c>
      <c r="AT118" s="10"/>
      <c r="AU118">
        <f t="shared" si="119"/>
        <v>92.31961559934841</v>
      </c>
    </row>
    <row r="119" spans="7:47" x14ac:dyDescent="0.25">
      <c r="G119">
        <v>110</v>
      </c>
      <c r="H119">
        <f t="shared" si="55"/>
        <v>3.3000000000000003</v>
      </c>
      <c r="I119" s="407">
        <f t="shared" si="97"/>
        <v>0.21401249999999997</v>
      </c>
      <c r="J119" s="408">
        <f t="shared" si="56"/>
        <v>1.8219983108108104</v>
      </c>
      <c r="K119" s="408">
        <f t="shared" si="77"/>
        <v>4.2109991554054051</v>
      </c>
      <c r="L119" s="408">
        <f t="shared" si="98"/>
        <v>2.3890008445945949</v>
      </c>
      <c r="M119" s="63">
        <f t="shared" si="57"/>
        <v>0</v>
      </c>
      <c r="N119" s="407">
        <f t="shared" si="99"/>
        <v>3.3416522590453845</v>
      </c>
      <c r="O119" s="407">
        <f t="shared" si="100"/>
        <v>5.608370571853611E-2</v>
      </c>
      <c r="P119">
        <f t="shared" si="59"/>
        <v>0.2</v>
      </c>
      <c r="Q119" s="407">
        <f t="shared" si="80"/>
        <v>0.25608370571853611</v>
      </c>
      <c r="R119" s="9">
        <f t="shared" si="101"/>
        <v>0.52596560760483246</v>
      </c>
      <c r="S119" s="9">
        <f t="shared" si="102"/>
        <v>2.7663982038312056E-3</v>
      </c>
      <c r="T119" s="9">
        <f t="shared" si="103"/>
        <v>2.7663982038312056E-3</v>
      </c>
      <c r="U119" s="407">
        <f t="shared" si="104"/>
        <v>1.5458979605911065</v>
      </c>
      <c r="V119" s="409">
        <f t="shared" si="105"/>
        <v>4.7796010091194843E-3</v>
      </c>
      <c r="W119" s="407">
        <f t="shared" si="106"/>
        <v>4.7796010091194843E-3</v>
      </c>
      <c r="X119" s="407">
        <f t="shared" si="107"/>
        <v>1.5458979605911065</v>
      </c>
      <c r="Y119" s="407">
        <f t="shared" si="108"/>
        <v>1.4338803027358453E-2</v>
      </c>
      <c r="Z119" s="407">
        <f t="shared" si="62"/>
        <v>0.24531408771905702</v>
      </c>
      <c r="AA119" s="407">
        <f t="shared" si="63"/>
        <v>0.14400000000000002</v>
      </c>
      <c r="AB119" s="407">
        <f t="shared" si="64"/>
        <v>0</v>
      </c>
      <c r="AC119" s="407">
        <f t="shared" si="109"/>
        <v>0.40481379981407362</v>
      </c>
      <c r="AD119" s="407">
        <f t="shared" si="110"/>
        <v>2.9625730903765701</v>
      </c>
      <c r="AE119" s="407">
        <f t="shared" si="111"/>
        <v>5.2661035894940283E-2</v>
      </c>
      <c r="AF119" s="407">
        <f t="shared" si="67"/>
        <v>4.7519999999999993E-2</v>
      </c>
      <c r="AG119" s="407">
        <f t="shared" si="112"/>
        <v>0.10124739442940348</v>
      </c>
      <c r="AH119" s="407">
        <f t="shared" si="113"/>
        <v>0</v>
      </c>
      <c r="AI119">
        <f t="shared" si="70"/>
        <v>0</v>
      </c>
      <c r="AJ119" s="408">
        <f t="shared" si="71"/>
        <v>0.45322578000000002</v>
      </c>
      <c r="AK119">
        <f t="shared" si="85"/>
        <v>4.8000000000000001E-2</v>
      </c>
      <c r="AL119" s="408">
        <f t="shared" si="72"/>
        <v>0.1215</v>
      </c>
      <c r="AM119" s="408">
        <f t="shared" si="86"/>
        <v>0.31645971316818772</v>
      </c>
      <c r="AN119" s="408">
        <f t="shared" si="114"/>
        <v>0.16949999999999998</v>
      </c>
      <c r="AO119" s="408">
        <f t="shared" si="115"/>
        <v>1.3924166791749639</v>
      </c>
      <c r="AP119">
        <f t="shared" si="74"/>
        <v>16.830000000000002</v>
      </c>
      <c r="AQ119" s="10">
        <f t="shared" si="116"/>
        <v>0.92358770498502252</v>
      </c>
      <c r="AR119" s="63">
        <f t="shared" si="117"/>
        <v>20.240689990703682</v>
      </c>
      <c r="AS119" s="63">
        <f t="shared" si="118"/>
        <v>5.0623697214701737</v>
      </c>
      <c r="AT119" s="10"/>
      <c r="AU119">
        <f t="shared" si="119"/>
        <v>92.358770498502253</v>
      </c>
    </row>
    <row r="120" spans="7:47" x14ac:dyDescent="0.25">
      <c r="G120">
        <v>111</v>
      </c>
      <c r="H120">
        <f t="shared" si="55"/>
        <v>3.33</v>
      </c>
      <c r="I120" s="407">
        <f t="shared" si="97"/>
        <v>0.21402625</v>
      </c>
      <c r="J120" s="408">
        <f t="shared" si="56"/>
        <v>1.8221153716216214</v>
      </c>
      <c r="K120" s="408">
        <f t="shared" si="77"/>
        <v>4.2410576858108104</v>
      </c>
      <c r="L120" s="408">
        <f t="shared" si="98"/>
        <v>2.4189423141891893</v>
      </c>
      <c r="M120" s="63">
        <f t="shared" si="57"/>
        <v>0</v>
      </c>
      <c r="N120" s="407">
        <f t="shared" si="99"/>
        <v>3.3712869010154445</v>
      </c>
      <c r="O120" s="407">
        <f t="shared" si="100"/>
        <v>5.7087409346208762E-2</v>
      </c>
      <c r="P120">
        <f t="shared" si="59"/>
        <v>0.2</v>
      </c>
      <c r="Q120" s="407">
        <f t="shared" si="80"/>
        <v>0.25708740934620877</v>
      </c>
      <c r="R120" s="9">
        <f t="shared" si="101"/>
        <v>0.52599940015014912</v>
      </c>
      <c r="S120" s="9">
        <f t="shared" si="102"/>
        <v>2.7667536895831669E-3</v>
      </c>
      <c r="T120" s="9">
        <f t="shared" si="103"/>
        <v>2.7667536895831669E-3</v>
      </c>
      <c r="U120" s="407">
        <f t="shared" si="104"/>
        <v>1.5596574865368726</v>
      </c>
      <c r="V120" s="409">
        <f t="shared" si="105"/>
        <v>4.8650629506210297E-3</v>
      </c>
      <c r="W120" s="407">
        <f t="shared" si="106"/>
        <v>4.8650629506210297E-3</v>
      </c>
      <c r="X120" s="407">
        <f t="shared" si="107"/>
        <v>1.5596574865368726</v>
      </c>
      <c r="Y120" s="407">
        <f t="shared" si="108"/>
        <v>1.4595188851863091E-2</v>
      </c>
      <c r="Z120" s="407">
        <f t="shared" si="62"/>
        <v>0.24756229361446477</v>
      </c>
      <c r="AA120" s="407">
        <f t="shared" si="63"/>
        <v>0.14400000000000002</v>
      </c>
      <c r="AB120" s="407">
        <f t="shared" si="64"/>
        <v>0</v>
      </c>
      <c r="AC120" s="407">
        <f t="shared" si="109"/>
        <v>0.40734654240925122</v>
      </c>
      <c r="AD120" s="407">
        <f t="shared" si="110"/>
        <v>2.9888198161896287</v>
      </c>
      <c r="AE120" s="407">
        <f t="shared" si="111"/>
        <v>5.359826336188684E-2</v>
      </c>
      <c r="AF120" s="407">
        <f t="shared" si="67"/>
        <v>4.7952000000000002E-2</v>
      </c>
      <c r="AG120" s="407">
        <f t="shared" si="112"/>
        <v>0.10265064259712436</v>
      </c>
      <c r="AH120" s="407">
        <f t="shared" si="113"/>
        <v>0</v>
      </c>
      <c r="AI120">
        <f t="shared" si="70"/>
        <v>0</v>
      </c>
      <c r="AJ120" s="408">
        <f t="shared" si="71"/>
        <v>0.45322237799999998</v>
      </c>
      <c r="AK120">
        <f t="shared" si="85"/>
        <v>4.8000000000000001E-2</v>
      </c>
      <c r="AL120" s="408">
        <f t="shared" si="72"/>
        <v>0.1215</v>
      </c>
      <c r="AM120" s="408">
        <f t="shared" si="86"/>
        <v>0.31645971316818772</v>
      </c>
      <c r="AN120" s="408">
        <f t="shared" si="114"/>
        <v>0.16949999999999998</v>
      </c>
      <c r="AO120" s="408">
        <f t="shared" si="115"/>
        <v>1.3974387889927884</v>
      </c>
      <c r="AP120">
        <f t="shared" si="74"/>
        <v>16.983000000000001</v>
      </c>
      <c r="AQ120" s="10">
        <f t="shared" si="116"/>
        <v>0.92397141303124664</v>
      </c>
      <c r="AR120" s="63">
        <f t="shared" si="117"/>
        <v>20.367327120462562</v>
      </c>
      <c r="AS120" s="63">
        <f t="shared" si="118"/>
        <v>5.1325321298562185</v>
      </c>
      <c r="AT120" s="10"/>
      <c r="AU120">
        <f t="shared" si="119"/>
        <v>92.39714130312467</v>
      </c>
    </row>
    <row r="121" spans="7:47" x14ac:dyDescent="0.25">
      <c r="G121">
        <v>112</v>
      </c>
      <c r="H121">
        <f t="shared" si="55"/>
        <v>3.3600000000000003</v>
      </c>
      <c r="I121" s="407">
        <f t="shared" si="97"/>
        <v>0.21403999999999998</v>
      </c>
      <c r="J121" s="408">
        <f t="shared" si="56"/>
        <v>1.8222324324324319</v>
      </c>
      <c r="K121" s="408">
        <f t="shared" si="77"/>
        <v>4.2711162162162166</v>
      </c>
      <c r="L121" s="408">
        <f t="shared" si="98"/>
        <v>2.4488837837837845</v>
      </c>
      <c r="M121" s="63">
        <f t="shared" si="57"/>
        <v>0</v>
      </c>
      <c r="N121" s="407">
        <f t="shared" si="99"/>
        <v>3.4009279498127252</v>
      </c>
      <c r="O121" s="407">
        <f t="shared" si="100"/>
        <v>5.8100357318003941E-2</v>
      </c>
      <c r="P121">
        <f t="shared" si="59"/>
        <v>0.2</v>
      </c>
      <c r="Q121" s="407">
        <f t="shared" si="80"/>
        <v>0.25810035731800396</v>
      </c>
      <c r="R121" s="9">
        <f t="shared" si="101"/>
        <v>0.52603319269546556</v>
      </c>
      <c r="S121" s="9">
        <f t="shared" si="102"/>
        <v>2.7671091981738478E-3</v>
      </c>
      <c r="T121" s="9">
        <f t="shared" si="103"/>
        <v>2.7671091981738478E-3</v>
      </c>
      <c r="U121" s="407">
        <f t="shared" si="104"/>
        <v>1.573420855740038</v>
      </c>
      <c r="V121" s="409">
        <f t="shared" si="105"/>
        <v>4.9513063785554265E-3</v>
      </c>
      <c r="W121" s="407">
        <f t="shared" si="106"/>
        <v>4.9513063785554265E-3</v>
      </c>
      <c r="X121" s="407">
        <f t="shared" si="107"/>
        <v>1.573420855740038</v>
      </c>
      <c r="Y121" s="407">
        <f t="shared" si="108"/>
        <v>1.485391913566628E-2</v>
      </c>
      <c r="Z121" s="407">
        <f t="shared" si="62"/>
        <v>0.24981049950987264</v>
      </c>
      <c r="AA121" s="407">
        <f t="shared" si="63"/>
        <v>0.14400000000000002</v>
      </c>
      <c r="AB121" s="407">
        <f t="shared" si="64"/>
        <v>0</v>
      </c>
      <c r="AC121" s="407">
        <f t="shared" si="109"/>
        <v>0.40988208972873669</v>
      </c>
      <c r="AD121" s="407">
        <f t="shared" si="110"/>
        <v>3.0150717620878731</v>
      </c>
      <c r="AE121" s="407">
        <f t="shared" si="111"/>
        <v>5.4543946383238028E-2</v>
      </c>
      <c r="AF121" s="407">
        <f t="shared" si="67"/>
        <v>4.8384000000000003E-2</v>
      </c>
      <c r="AG121" s="407">
        <f t="shared" si="112"/>
        <v>0.10406314935097209</v>
      </c>
      <c r="AH121" s="407">
        <f t="shared" si="113"/>
        <v>0</v>
      </c>
      <c r="AI121">
        <f t="shared" si="70"/>
        <v>0</v>
      </c>
      <c r="AJ121" s="408">
        <f t="shared" si="71"/>
        <v>0.453218976</v>
      </c>
      <c r="AK121">
        <f t="shared" si="85"/>
        <v>4.8000000000000001E-2</v>
      </c>
      <c r="AL121" s="408">
        <f t="shared" si="72"/>
        <v>0.1215</v>
      </c>
      <c r="AM121" s="408">
        <f t="shared" si="86"/>
        <v>0.31645971316818772</v>
      </c>
      <c r="AN121" s="408">
        <f t="shared" si="114"/>
        <v>0.16949999999999998</v>
      </c>
      <c r="AO121" s="408">
        <f t="shared" si="115"/>
        <v>1.402482987974442</v>
      </c>
      <c r="AP121">
        <f t="shared" si="74"/>
        <v>17.135999999999999</v>
      </c>
      <c r="AQ121" s="10">
        <f t="shared" si="116"/>
        <v>0.92434747822223617</v>
      </c>
      <c r="AR121" s="63">
        <f t="shared" si="117"/>
        <v>20.494104486436836</v>
      </c>
      <c r="AS121" s="63">
        <f t="shared" si="118"/>
        <v>5.2031574675486043</v>
      </c>
      <c r="AT121" s="10"/>
      <c r="AU121">
        <f t="shared" si="119"/>
        <v>92.434747822223613</v>
      </c>
    </row>
    <row r="122" spans="7:47" x14ac:dyDescent="0.25">
      <c r="G122">
        <v>113</v>
      </c>
      <c r="H122">
        <f t="shared" si="55"/>
        <v>3.3899999999999997</v>
      </c>
      <c r="I122" s="407">
        <f t="shared" si="97"/>
        <v>0.21405374999999996</v>
      </c>
      <c r="J122" s="408">
        <f t="shared" si="56"/>
        <v>1.8223494932432427</v>
      </c>
      <c r="K122" s="408">
        <f t="shared" si="77"/>
        <v>4.301174746621621</v>
      </c>
      <c r="L122" s="408">
        <f t="shared" si="98"/>
        <v>2.4788252533783783</v>
      </c>
      <c r="M122" s="63">
        <f t="shared" si="57"/>
        <v>0</v>
      </c>
      <c r="N122" s="407">
        <f t="shared" si="99"/>
        <v>3.4305752393673461</v>
      </c>
      <c r="O122" s="407">
        <f t="shared" si="100"/>
        <v>5.912255406957527E-2</v>
      </c>
      <c r="P122">
        <f t="shared" si="59"/>
        <v>0.2</v>
      </c>
      <c r="Q122" s="407">
        <f t="shared" si="80"/>
        <v>0.25912255406957529</v>
      </c>
      <c r="R122" s="9">
        <f t="shared" si="101"/>
        <v>0.52606698524078221</v>
      </c>
      <c r="S122" s="9">
        <f t="shared" si="102"/>
        <v>2.767464729603254E-3</v>
      </c>
      <c r="T122" s="9">
        <f t="shared" si="103"/>
        <v>2.767464729603254E-3</v>
      </c>
      <c r="U122" s="407">
        <f t="shared" si="104"/>
        <v>1.5871879916101403</v>
      </c>
      <c r="V122" s="409">
        <f t="shared" si="105"/>
        <v>5.0383314414228619E-3</v>
      </c>
      <c r="W122" s="407">
        <f t="shared" si="106"/>
        <v>5.0383314414228619E-3</v>
      </c>
      <c r="X122" s="407">
        <f t="shared" si="107"/>
        <v>1.5871879916101403</v>
      </c>
      <c r="Y122" s="407">
        <f t="shared" si="108"/>
        <v>1.5114994324268587E-2</v>
      </c>
      <c r="Z122" s="407">
        <f t="shared" si="62"/>
        <v>0.25205870540528041</v>
      </c>
      <c r="AA122" s="407">
        <f t="shared" si="63"/>
        <v>0.14400000000000002</v>
      </c>
      <c r="AB122" s="407">
        <f t="shared" si="64"/>
        <v>0</v>
      </c>
      <c r="AC122" s="407">
        <f t="shared" si="109"/>
        <v>0.41242044627046709</v>
      </c>
      <c r="AD122" s="407">
        <f t="shared" si="110"/>
        <v>3.0413287806892719</v>
      </c>
      <c r="AE122" s="407">
        <f t="shared" si="111"/>
        <v>5.5498084513493362E-2</v>
      </c>
      <c r="AF122" s="407">
        <f t="shared" si="67"/>
        <v>4.8815999999999991E-2</v>
      </c>
      <c r="AG122" s="407">
        <f t="shared" si="112"/>
        <v>0.10548492678987013</v>
      </c>
      <c r="AH122" s="407">
        <f t="shared" si="113"/>
        <v>0</v>
      </c>
      <c r="AI122">
        <f t="shared" si="70"/>
        <v>0</v>
      </c>
      <c r="AJ122" s="408">
        <f t="shared" si="71"/>
        <v>0.45321557400000001</v>
      </c>
      <c r="AK122">
        <f t="shared" si="85"/>
        <v>4.8000000000000001E-2</v>
      </c>
      <c r="AL122" s="408">
        <f t="shared" si="72"/>
        <v>0.1215</v>
      </c>
      <c r="AM122" s="408">
        <f t="shared" si="86"/>
        <v>0.31645971316818772</v>
      </c>
      <c r="AN122" s="408">
        <f t="shared" si="114"/>
        <v>0.16949999999999998</v>
      </c>
      <c r="AO122" s="408">
        <f t="shared" si="115"/>
        <v>1.4075492973009385</v>
      </c>
      <c r="AP122">
        <f t="shared" si="74"/>
        <v>17.288999999999998</v>
      </c>
      <c r="AQ122" s="10">
        <f t="shared" si="116"/>
        <v>0.92471609199542859</v>
      </c>
      <c r="AR122" s="63">
        <f t="shared" si="117"/>
        <v>20.621022313523355</v>
      </c>
      <c r="AS122" s="63">
        <f t="shared" si="118"/>
        <v>5.2742463394935069</v>
      </c>
      <c r="AT122" s="10"/>
      <c r="AU122">
        <f t="shared" si="119"/>
        <v>92.471609199542854</v>
      </c>
    </row>
    <row r="123" spans="7:47" x14ac:dyDescent="0.25">
      <c r="G123">
        <v>114</v>
      </c>
      <c r="H123">
        <f t="shared" si="55"/>
        <v>3.42</v>
      </c>
      <c r="I123" s="407">
        <f t="shared" si="97"/>
        <v>0.21406749999999999</v>
      </c>
      <c r="J123" s="408">
        <f t="shared" si="56"/>
        <v>1.8224665540540537</v>
      </c>
      <c r="K123" s="408">
        <f t="shared" si="77"/>
        <v>4.3312332770270263</v>
      </c>
      <c r="L123" s="408">
        <f t="shared" si="98"/>
        <v>2.5087667229729731</v>
      </c>
      <c r="M123" s="63">
        <f t="shared" si="57"/>
        <v>0</v>
      </c>
      <c r="N123" s="407">
        <f t="shared" si="99"/>
        <v>3.4602286092666099</v>
      </c>
      <c r="O123" s="407">
        <f t="shared" si="100"/>
        <v>6.0154004078161356E-2</v>
      </c>
      <c r="P123">
        <f t="shared" si="59"/>
        <v>0.2</v>
      </c>
      <c r="Q123" s="407">
        <f t="shared" si="80"/>
        <v>0.26015400407816136</v>
      </c>
      <c r="R123" s="9">
        <f t="shared" si="101"/>
        <v>0.52610077778609876</v>
      </c>
      <c r="S123" s="9">
        <f t="shared" si="102"/>
        <v>2.7678202838713807E-3</v>
      </c>
      <c r="T123" s="9">
        <f t="shared" si="103"/>
        <v>2.7678202838713807E-3</v>
      </c>
      <c r="U123" s="407">
        <f t="shared" si="104"/>
        <v>1.6009588201642675</v>
      </c>
      <c r="V123" s="409">
        <f t="shared" si="105"/>
        <v>5.126138287723527E-3</v>
      </c>
      <c r="W123" s="407">
        <f t="shared" si="106"/>
        <v>5.126138287723527E-3</v>
      </c>
      <c r="X123" s="407">
        <f t="shared" si="107"/>
        <v>1.6009588201642675</v>
      </c>
      <c r="Y123" s="407">
        <f t="shared" si="108"/>
        <v>1.537841486317058E-2</v>
      </c>
      <c r="Z123" s="407">
        <f t="shared" si="62"/>
        <v>0.25430691130068822</v>
      </c>
      <c r="AA123" s="407">
        <f t="shared" si="63"/>
        <v>0.14400000000000002</v>
      </c>
      <c r="AB123" s="407">
        <f t="shared" si="64"/>
        <v>0</v>
      </c>
      <c r="AC123" s="407">
        <f t="shared" si="109"/>
        <v>0.4149616165421543</v>
      </c>
      <c r="AD123" s="407">
        <f t="shared" si="110"/>
        <v>3.0675907296321938</v>
      </c>
      <c r="AE123" s="407">
        <f t="shared" si="111"/>
        <v>5.6460677307152256E-2</v>
      </c>
      <c r="AF123" s="407">
        <f t="shared" si="67"/>
        <v>4.9248E-2</v>
      </c>
      <c r="AG123" s="407">
        <f t="shared" si="112"/>
        <v>0.10691598711666619</v>
      </c>
      <c r="AH123" s="407">
        <f t="shared" si="113"/>
        <v>0</v>
      </c>
      <c r="AI123">
        <f t="shared" si="70"/>
        <v>0</v>
      </c>
      <c r="AJ123" s="408">
        <f t="shared" si="71"/>
        <v>0.45321217199999997</v>
      </c>
      <c r="AK123">
        <f t="shared" si="85"/>
        <v>4.8000000000000001E-2</v>
      </c>
      <c r="AL123" s="408">
        <f t="shared" si="72"/>
        <v>0.1215</v>
      </c>
      <c r="AM123" s="408">
        <f t="shared" si="86"/>
        <v>0.31645971316818772</v>
      </c>
      <c r="AN123" s="408">
        <f t="shared" si="114"/>
        <v>0.16949999999999998</v>
      </c>
      <c r="AO123" s="408">
        <f t="shared" si="115"/>
        <v>1.4126377383085769</v>
      </c>
      <c r="AP123">
        <f t="shared" si="74"/>
        <v>17.442</v>
      </c>
      <c r="AQ123" s="10">
        <f t="shared" si="116"/>
        <v>0.92507743941224607</v>
      </c>
      <c r="AR123" s="63">
        <f t="shared" si="117"/>
        <v>20.748080827107714</v>
      </c>
      <c r="AS123" s="63">
        <f t="shared" si="118"/>
        <v>5.3457993558333099</v>
      </c>
      <c r="AT123" s="10"/>
      <c r="AU123">
        <f t="shared" si="119"/>
        <v>92.507743941224604</v>
      </c>
    </row>
    <row r="124" spans="7:47" x14ac:dyDescent="0.25">
      <c r="G124">
        <v>115</v>
      </c>
      <c r="H124">
        <f t="shared" si="55"/>
        <v>3.4499999999999997</v>
      </c>
      <c r="I124" s="407">
        <f t="shared" si="97"/>
        <v>0.21408124999999997</v>
      </c>
      <c r="J124" s="408">
        <f t="shared" si="56"/>
        <v>1.8225836148648642</v>
      </c>
      <c r="K124" s="408">
        <f t="shared" si="77"/>
        <v>4.3612918074324316</v>
      </c>
      <c r="L124" s="408">
        <f t="shared" si="98"/>
        <v>2.5387081925675679</v>
      </c>
      <c r="M124" s="63">
        <f t="shared" si="57"/>
        <v>0</v>
      </c>
      <c r="N124" s="407">
        <f t="shared" si="99"/>
        <v>3.4898879045175391</v>
      </c>
      <c r="O124" s="407">
        <f t="shared" si="100"/>
        <v>6.1194711862635018E-2</v>
      </c>
      <c r="P124">
        <f t="shared" si="59"/>
        <v>0.2</v>
      </c>
      <c r="Q124" s="407">
        <f t="shared" si="80"/>
        <v>0.26119471186263504</v>
      </c>
      <c r="R124" s="9">
        <f t="shared" si="101"/>
        <v>0.52613457033141531</v>
      </c>
      <c r="S124" s="9">
        <f t="shared" si="102"/>
        <v>2.76817586097823E-3</v>
      </c>
      <c r="T124" s="9">
        <f t="shared" si="103"/>
        <v>2.76817586097823E-3</v>
      </c>
      <c r="U124" s="407">
        <f t="shared" si="104"/>
        <v>1.6147332699176058</v>
      </c>
      <c r="V124" s="409">
        <f t="shared" si="105"/>
        <v>5.2147270659576072E-3</v>
      </c>
      <c r="W124" s="407">
        <f t="shared" si="106"/>
        <v>5.2147270659576072E-3</v>
      </c>
      <c r="X124" s="407">
        <f t="shared" si="107"/>
        <v>1.6147332699176058</v>
      </c>
      <c r="Y124" s="407">
        <f t="shared" si="108"/>
        <v>1.5644181197872822E-2</v>
      </c>
      <c r="Z124" s="407">
        <f t="shared" si="62"/>
        <v>0.25655511719609603</v>
      </c>
      <c r="AA124" s="407">
        <f t="shared" si="63"/>
        <v>0.14400000000000002</v>
      </c>
      <c r="AB124" s="407">
        <f t="shared" si="64"/>
        <v>0</v>
      </c>
      <c r="AC124" s="407">
        <f t="shared" si="109"/>
        <v>0.41750560506131018</v>
      </c>
      <c r="AD124" s="407">
        <f t="shared" si="110"/>
        <v>3.0938574713646738</v>
      </c>
      <c r="AE124" s="407">
        <f t="shared" si="111"/>
        <v>5.7431724318714079E-2</v>
      </c>
      <c r="AF124" s="407">
        <f t="shared" si="67"/>
        <v>4.9679999999999995E-2</v>
      </c>
      <c r="AG124" s="407">
        <f t="shared" si="112"/>
        <v>0.108356342638433</v>
      </c>
      <c r="AH124" s="407">
        <f t="shared" si="113"/>
        <v>0</v>
      </c>
      <c r="AI124">
        <f t="shared" si="70"/>
        <v>0</v>
      </c>
      <c r="AJ124" s="408">
        <f t="shared" si="71"/>
        <v>0.45320876999999998</v>
      </c>
      <c r="AK124">
        <f t="shared" si="85"/>
        <v>4.8000000000000001E-2</v>
      </c>
      <c r="AL124" s="408">
        <f t="shared" si="72"/>
        <v>0.1215</v>
      </c>
      <c r="AM124" s="408">
        <f t="shared" si="86"/>
        <v>0.31645971316818772</v>
      </c>
      <c r="AN124" s="408">
        <f t="shared" si="114"/>
        <v>0.16949999999999998</v>
      </c>
      <c r="AO124" s="408">
        <f t="shared" si="115"/>
        <v>1.4177483324893141</v>
      </c>
      <c r="AP124">
        <f t="shared" si="74"/>
        <v>17.594999999999999</v>
      </c>
      <c r="AQ124" s="10">
        <f t="shared" si="116"/>
        <v>0.92543169942103309</v>
      </c>
      <c r="AR124" s="63">
        <f t="shared" si="117"/>
        <v>20.875280253065508</v>
      </c>
      <c r="AS124" s="63">
        <f t="shared" si="118"/>
        <v>5.4178171319216499</v>
      </c>
      <c r="AT124" s="10"/>
      <c r="AU124">
        <f t="shared" si="119"/>
        <v>92.543169942103304</v>
      </c>
    </row>
    <row r="125" spans="7:47" x14ac:dyDescent="0.25">
      <c r="G125">
        <v>116</v>
      </c>
      <c r="H125">
        <f t="shared" si="55"/>
        <v>3.4799999999999995</v>
      </c>
      <c r="I125" s="407">
        <f t="shared" si="97"/>
        <v>0.21409500000000001</v>
      </c>
      <c r="J125" s="408">
        <f t="shared" si="56"/>
        <v>1.8227006756756756</v>
      </c>
      <c r="K125" s="408">
        <f t="shared" si="77"/>
        <v>4.3913503378378369</v>
      </c>
      <c r="L125" s="408">
        <f t="shared" si="98"/>
        <v>2.5686496621621617</v>
      </c>
      <c r="M125" s="63">
        <f t="shared" si="57"/>
        <v>0</v>
      </c>
      <c r="N125" s="407">
        <f t="shared" si="99"/>
        <v>3.5195529753212091</v>
      </c>
      <c r="O125" s="407">
        <f t="shared" si="100"/>
        <v>6.2244681983553186E-2</v>
      </c>
      <c r="P125">
        <f t="shared" si="59"/>
        <v>0.2</v>
      </c>
      <c r="Q125" s="407">
        <f t="shared" si="80"/>
        <v>0.26224468198355322</v>
      </c>
      <c r="R125" s="9">
        <f t="shared" si="101"/>
        <v>0.52616836287673208</v>
      </c>
      <c r="S125" s="9">
        <f t="shared" si="102"/>
        <v>2.7685314609238042E-3</v>
      </c>
      <c r="T125" s="9">
        <f t="shared" si="103"/>
        <v>2.7685314609238042E-3</v>
      </c>
      <c r="U125" s="407">
        <f t="shared" si="104"/>
        <v>1.6285112717794272</v>
      </c>
      <c r="V125" s="409">
        <f t="shared" si="105"/>
        <v>5.3040979246252954E-3</v>
      </c>
      <c r="W125" s="407">
        <f t="shared" si="106"/>
        <v>5.3040979246252954E-3</v>
      </c>
      <c r="X125" s="407">
        <f t="shared" si="107"/>
        <v>1.6285112717794272</v>
      </c>
      <c r="Y125" s="407">
        <f t="shared" si="108"/>
        <v>1.5912293773875884E-2</v>
      </c>
      <c r="Z125" s="407">
        <f t="shared" si="62"/>
        <v>0.25880332309150378</v>
      </c>
      <c r="AA125" s="407">
        <f t="shared" si="63"/>
        <v>0.14400000000000002</v>
      </c>
      <c r="AB125" s="407">
        <f t="shared" si="64"/>
        <v>0</v>
      </c>
      <c r="AC125" s="407">
        <f t="shared" si="109"/>
        <v>0.42005241635527396</v>
      </c>
      <c r="AD125" s="407">
        <f t="shared" si="110"/>
        <v>3.1201288729441492</v>
      </c>
      <c r="AE125" s="407">
        <f t="shared" si="111"/>
        <v>5.8411225102678363E-2</v>
      </c>
      <c r="AF125" s="407">
        <f t="shared" si="67"/>
        <v>5.011199999999999E-2</v>
      </c>
      <c r="AG125" s="407">
        <f t="shared" si="112"/>
        <v>0.10980600576677214</v>
      </c>
      <c r="AH125" s="407">
        <f t="shared" si="113"/>
        <v>0</v>
      </c>
      <c r="AI125">
        <f t="shared" si="70"/>
        <v>0</v>
      </c>
      <c r="AJ125" s="408">
        <f t="shared" si="71"/>
        <v>0.45320536800000005</v>
      </c>
      <c r="AK125">
        <f t="shared" si="85"/>
        <v>4.8000000000000001E-2</v>
      </c>
      <c r="AL125" s="408">
        <f t="shared" si="72"/>
        <v>0.1215</v>
      </c>
      <c r="AM125" s="408">
        <f t="shared" si="86"/>
        <v>0.31645971316818772</v>
      </c>
      <c r="AN125" s="408">
        <f t="shared" si="114"/>
        <v>0.16949999999999998</v>
      </c>
      <c r="AO125" s="408">
        <f t="shared" si="115"/>
        <v>1.4228811014911487</v>
      </c>
      <c r="AP125">
        <f t="shared" si="74"/>
        <v>17.747999999999998</v>
      </c>
      <c r="AQ125" s="10">
        <f t="shared" si="116"/>
        <v>0.92577904510708819</v>
      </c>
      <c r="AR125" s="63">
        <f t="shared" si="117"/>
        <v>21.002620817763699</v>
      </c>
      <c r="AS125" s="63">
        <f t="shared" si="118"/>
        <v>5.4903002883386076</v>
      </c>
      <c r="AT125" s="10"/>
      <c r="AU125">
        <f t="shared" si="119"/>
        <v>92.577904510708819</v>
      </c>
    </row>
    <row r="126" spans="7:47" x14ac:dyDescent="0.25">
      <c r="G126">
        <v>117</v>
      </c>
      <c r="H126">
        <f t="shared" si="55"/>
        <v>3.51</v>
      </c>
      <c r="I126" s="407">
        <f t="shared" si="97"/>
        <v>0.21410874999999999</v>
      </c>
      <c r="J126" s="408">
        <f t="shared" si="56"/>
        <v>1.8228177364864862</v>
      </c>
      <c r="K126" s="408">
        <f t="shared" si="77"/>
        <v>4.4214088682432431</v>
      </c>
      <c r="L126" s="408">
        <f t="shared" si="98"/>
        <v>2.5985911317567565</v>
      </c>
      <c r="M126" s="63">
        <f t="shared" si="57"/>
        <v>0</v>
      </c>
      <c r="N126" s="407">
        <f t="shared" si="99"/>
        <v>3.5492236768581957</v>
      </c>
      <c r="O126" s="407">
        <f t="shared" si="100"/>
        <v>6.3303919043207202E-2</v>
      </c>
      <c r="P126">
        <f t="shared" si="59"/>
        <v>0.2</v>
      </c>
      <c r="Q126" s="407">
        <f t="shared" si="80"/>
        <v>0.26330391904320721</v>
      </c>
      <c r="R126" s="9">
        <f t="shared" si="101"/>
        <v>0.52620215542204862</v>
      </c>
      <c r="S126" s="9">
        <f t="shared" si="102"/>
        <v>2.768887083708098E-3</v>
      </c>
      <c r="T126" s="9">
        <f t="shared" si="103"/>
        <v>2.768887083708098E-3</v>
      </c>
      <c r="U126" s="407">
        <f t="shared" si="104"/>
        <v>1.6422927589541971</v>
      </c>
      <c r="V126" s="409">
        <f t="shared" si="105"/>
        <v>5.3942510122267778E-3</v>
      </c>
      <c r="W126" s="407">
        <f t="shared" si="106"/>
        <v>5.3942510122267778E-3</v>
      </c>
      <c r="X126" s="407">
        <f t="shared" si="107"/>
        <v>1.6422927589541971</v>
      </c>
      <c r="Y126" s="407">
        <f t="shared" si="108"/>
        <v>1.6182753036680333E-2</v>
      </c>
      <c r="Z126" s="407">
        <f t="shared" si="62"/>
        <v>0.26105152898691164</v>
      </c>
      <c r="AA126" s="407">
        <f t="shared" si="63"/>
        <v>0.14400000000000002</v>
      </c>
      <c r="AB126" s="407">
        <f t="shared" si="64"/>
        <v>0</v>
      </c>
      <c r="AC126" s="407">
        <f t="shared" si="109"/>
        <v>0.42260205496123826</v>
      </c>
      <c r="AD126" s="407">
        <f t="shared" si="110"/>
        <v>3.1464048058470517</v>
      </c>
      <c r="AE126" s="407">
        <f t="shared" si="111"/>
        <v>5.939917921354454E-2</v>
      </c>
      <c r="AF126" s="407">
        <f t="shared" si="67"/>
        <v>5.0543999999999999E-2</v>
      </c>
      <c r="AG126" s="407">
        <f t="shared" si="112"/>
        <v>0.11126498901812062</v>
      </c>
      <c r="AH126" s="407">
        <f t="shared" si="113"/>
        <v>0</v>
      </c>
      <c r="AI126">
        <f t="shared" si="70"/>
        <v>0</v>
      </c>
      <c r="AJ126" s="408">
        <f t="shared" si="71"/>
        <v>0.45320196600000001</v>
      </c>
      <c r="AK126">
        <f t="shared" si="85"/>
        <v>4.8000000000000001E-2</v>
      </c>
      <c r="AL126" s="408">
        <f t="shared" si="72"/>
        <v>0.1215</v>
      </c>
      <c r="AM126" s="408">
        <f t="shared" si="86"/>
        <v>0.31645971316818772</v>
      </c>
      <c r="AN126" s="408">
        <f t="shared" si="114"/>
        <v>0.16949999999999998</v>
      </c>
      <c r="AO126" s="408">
        <f t="shared" si="115"/>
        <v>1.4280360671185008</v>
      </c>
      <c r="AP126">
        <f t="shared" si="74"/>
        <v>17.900999999999996</v>
      </c>
      <c r="AQ126" s="10">
        <f t="shared" si="116"/>
        <v>0.92611964393052182</v>
      </c>
      <c r="AR126" s="63">
        <f t="shared" si="117"/>
        <v>21.130102748061912</v>
      </c>
      <c r="AS126" s="63">
        <f t="shared" si="118"/>
        <v>5.5632494509060315</v>
      </c>
      <c r="AT126" s="10"/>
      <c r="AU126">
        <f t="shared" si="119"/>
        <v>92.611964393052176</v>
      </c>
    </row>
    <row r="127" spans="7:47" x14ac:dyDescent="0.25">
      <c r="G127">
        <v>118</v>
      </c>
      <c r="H127">
        <f t="shared" si="55"/>
        <v>3.54</v>
      </c>
      <c r="I127" s="407">
        <f t="shared" si="97"/>
        <v>0.21412249999999997</v>
      </c>
      <c r="J127" s="408">
        <f t="shared" si="56"/>
        <v>1.8229347972972965</v>
      </c>
      <c r="K127" s="408">
        <f t="shared" si="77"/>
        <v>4.4514673986486484</v>
      </c>
      <c r="L127" s="408">
        <f t="shared" si="98"/>
        <v>2.6285326013513517</v>
      </c>
      <c r="M127" s="63">
        <f t="shared" si="57"/>
        <v>0</v>
      </c>
      <c r="N127" s="407">
        <f t="shared" si="99"/>
        <v>3.5788998690845086</v>
      </c>
      <c r="O127" s="407">
        <f t="shared" si="100"/>
        <v>6.4372427685673403E-2</v>
      </c>
      <c r="P127">
        <f t="shared" si="59"/>
        <v>0.2</v>
      </c>
      <c r="Q127" s="407">
        <f t="shared" si="80"/>
        <v>0.26437242768567343</v>
      </c>
      <c r="R127" s="9">
        <f t="shared" si="101"/>
        <v>0.52623594796736506</v>
      </c>
      <c r="S127" s="9">
        <f t="shared" si="102"/>
        <v>2.7692427293311136E-3</v>
      </c>
      <c r="T127" s="9">
        <f t="shared" si="103"/>
        <v>2.7692427293311136E-3</v>
      </c>
      <c r="U127" s="407">
        <f t="shared" si="104"/>
        <v>1.6560776668475183</v>
      </c>
      <c r="V127" s="409">
        <f t="shared" si="105"/>
        <v>5.4851864772622405E-3</v>
      </c>
      <c r="W127" s="407">
        <f t="shared" si="106"/>
        <v>5.4851864772622405E-3</v>
      </c>
      <c r="X127" s="407">
        <f t="shared" si="107"/>
        <v>1.6560776668475183</v>
      </c>
      <c r="Y127" s="407">
        <f t="shared" si="108"/>
        <v>1.6455559431786719E-2</v>
      </c>
      <c r="Z127" s="407">
        <f t="shared" si="62"/>
        <v>0.26329973488231945</v>
      </c>
      <c r="AA127" s="407">
        <f t="shared" si="63"/>
        <v>0.14400000000000002</v>
      </c>
      <c r="AB127" s="407">
        <f t="shared" si="64"/>
        <v>0</v>
      </c>
      <c r="AC127" s="407">
        <f t="shared" si="109"/>
        <v>0.42515452542627524</v>
      </c>
      <c r="AD127" s="407">
        <f t="shared" si="110"/>
        <v>3.1726851457877117</v>
      </c>
      <c r="AE127" s="407">
        <f t="shared" si="111"/>
        <v>6.0395586205811959E-2</v>
      </c>
      <c r="AF127" s="407">
        <f t="shared" si="67"/>
        <v>5.0976E-2</v>
      </c>
      <c r="AG127" s="407">
        <f t="shared" si="112"/>
        <v>0.11273330501406052</v>
      </c>
      <c r="AH127" s="407">
        <f t="shared" si="113"/>
        <v>0</v>
      </c>
      <c r="AI127">
        <f t="shared" si="70"/>
        <v>0</v>
      </c>
      <c r="AJ127" s="408">
        <f t="shared" si="71"/>
        <v>0.45319856400000003</v>
      </c>
      <c r="AK127">
        <f t="shared" si="85"/>
        <v>4.8000000000000001E-2</v>
      </c>
      <c r="AL127" s="408">
        <f t="shared" si="72"/>
        <v>0.1215</v>
      </c>
      <c r="AM127" s="408">
        <f t="shared" si="86"/>
        <v>0.31645971316818772</v>
      </c>
      <c r="AN127" s="408">
        <f t="shared" si="114"/>
        <v>0.16949999999999998</v>
      </c>
      <c r="AO127" s="408">
        <f t="shared" si="115"/>
        <v>1.4332132513326026</v>
      </c>
      <c r="AP127">
        <f t="shared" si="74"/>
        <v>18.053999999999998</v>
      </c>
      <c r="AQ127" s="10">
        <f t="shared" si="116"/>
        <v>0.92645365795262724</v>
      </c>
      <c r="AR127" s="63">
        <f t="shared" si="117"/>
        <v>21.257726271313761</v>
      </c>
      <c r="AS127" s="63">
        <f t="shared" si="118"/>
        <v>5.6366652507030262</v>
      </c>
      <c r="AT127" s="10"/>
      <c r="AU127">
        <f t="shared" si="119"/>
        <v>92.64536579526272</v>
      </c>
    </row>
    <row r="128" spans="7:47" x14ac:dyDescent="0.25">
      <c r="G128">
        <v>119</v>
      </c>
      <c r="H128">
        <f t="shared" si="55"/>
        <v>3.57</v>
      </c>
      <c r="I128" s="407">
        <f t="shared" si="97"/>
        <v>0.21413625</v>
      </c>
      <c r="J128" s="408">
        <f t="shared" si="56"/>
        <v>1.8230518581081079</v>
      </c>
      <c r="K128" s="408">
        <f t="shared" si="77"/>
        <v>4.4815259290540537</v>
      </c>
      <c r="L128" s="408">
        <f t="shared" si="98"/>
        <v>2.658474070945946</v>
      </c>
      <c r="M128" s="63">
        <f t="shared" si="57"/>
        <v>0</v>
      </c>
      <c r="N128" s="407">
        <f t="shared" si="99"/>
        <v>3.6085814165374299</v>
      </c>
      <c r="O128" s="407">
        <f t="shared" si="100"/>
        <v>6.5450212596864482E-2</v>
      </c>
      <c r="P128">
        <f t="shared" si="59"/>
        <v>0.2</v>
      </c>
      <c r="Q128" s="407">
        <f t="shared" si="80"/>
        <v>0.26545021259686452</v>
      </c>
      <c r="R128" s="9">
        <f t="shared" si="101"/>
        <v>0.52626974051268183</v>
      </c>
      <c r="S128" s="9">
        <f t="shared" si="102"/>
        <v>2.7695983977928545E-3</v>
      </c>
      <c r="T128" s="9">
        <f t="shared" si="103"/>
        <v>2.7695983977928545E-3</v>
      </c>
      <c r="U128" s="407">
        <f t="shared" si="104"/>
        <v>1.6698659329766377</v>
      </c>
      <c r="V128" s="409">
        <f t="shared" si="105"/>
        <v>5.5769044682318731E-3</v>
      </c>
      <c r="W128" s="407">
        <f t="shared" si="106"/>
        <v>5.5769044682318731E-3</v>
      </c>
      <c r="X128" s="407">
        <f t="shared" si="107"/>
        <v>1.6698659329766377</v>
      </c>
      <c r="Y128" s="407">
        <f t="shared" si="108"/>
        <v>1.6730713404695619E-2</v>
      </c>
      <c r="Z128" s="407">
        <f t="shared" si="62"/>
        <v>0.26554794077772725</v>
      </c>
      <c r="AA128" s="407">
        <f t="shared" si="63"/>
        <v>0.14400000000000002</v>
      </c>
      <c r="AB128" s="407">
        <f t="shared" si="64"/>
        <v>0</v>
      </c>
      <c r="AC128" s="407">
        <f t="shared" si="109"/>
        <v>0.42770983230736387</v>
      </c>
      <c r="AD128" s="407">
        <f t="shared" si="110"/>
        <v>3.1989697725460533</v>
      </c>
      <c r="AE128" s="407">
        <f t="shared" si="111"/>
        <v>6.1400445633980096E-2</v>
      </c>
      <c r="AF128" s="407">
        <f t="shared" si="67"/>
        <v>5.1407999999999995E-2</v>
      </c>
      <c r="AG128" s="407">
        <f t="shared" si="112"/>
        <v>0.11421096648163205</v>
      </c>
      <c r="AH128" s="407">
        <f t="shared" si="113"/>
        <v>0</v>
      </c>
      <c r="AI128">
        <f t="shared" si="70"/>
        <v>0</v>
      </c>
      <c r="AJ128" s="408">
        <f t="shared" si="71"/>
        <v>0.45319516200000004</v>
      </c>
      <c r="AK128">
        <f t="shared" si="85"/>
        <v>4.8000000000000001E-2</v>
      </c>
      <c r="AL128" s="408">
        <f t="shared" si="72"/>
        <v>0.1215</v>
      </c>
      <c r="AM128" s="408">
        <f t="shared" si="86"/>
        <v>0.31645971316818772</v>
      </c>
      <c r="AN128" s="408">
        <f t="shared" si="114"/>
        <v>0.16949999999999998</v>
      </c>
      <c r="AO128" s="408">
        <f t="shared" si="115"/>
        <v>1.4384126762518852</v>
      </c>
      <c r="AP128">
        <f t="shared" si="74"/>
        <v>18.206999999999997</v>
      </c>
      <c r="AQ128" s="10">
        <f t="shared" si="116"/>
        <v>0.92678124405140683</v>
      </c>
      <c r="AR128" s="63">
        <f t="shared" si="117"/>
        <v>21.385491615368192</v>
      </c>
      <c r="AS128" s="63">
        <f t="shared" si="118"/>
        <v>5.7105483240816026</v>
      </c>
      <c r="AT128" s="10"/>
      <c r="AU128">
        <f t="shared" si="119"/>
        <v>92.678124405140679</v>
      </c>
    </row>
    <row r="129" spans="7:47" x14ac:dyDescent="0.25">
      <c r="G129">
        <v>120</v>
      </c>
      <c r="H129">
        <f t="shared" si="55"/>
        <v>3.5999999999999996</v>
      </c>
      <c r="I129" s="407">
        <f t="shared" si="97"/>
        <v>0.21414999999999998</v>
      </c>
      <c r="J129" s="408">
        <f t="shared" si="56"/>
        <v>1.8231689189189184</v>
      </c>
      <c r="K129" s="408">
        <f t="shared" si="77"/>
        <v>4.511584459459459</v>
      </c>
      <c r="L129" s="408">
        <f t="shared" si="98"/>
        <v>2.6884155405405403</v>
      </c>
      <c r="M129" s="63">
        <f t="shared" si="57"/>
        <v>0</v>
      </c>
      <c r="N129" s="407">
        <f t="shared" si="99"/>
        <v>3.6382681881506933</v>
      </c>
      <c r="O129" s="407">
        <f t="shared" si="100"/>
        <v>6.6537278504581215E-2</v>
      </c>
      <c r="P129">
        <f t="shared" si="59"/>
        <v>0.2</v>
      </c>
      <c r="Q129" s="407">
        <f t="shared" si="80"/>
        <v>0.2665372785045812</v>
      </c>
      <c r="R129" s="9">
        <f t="shared" si="101"/>
        <v>0.52630353305799826</v>
      </c>
      <c r="S129" s="9">
        <f t="shared" si="102"/>
        <v>2.769954089093315E-3</v>
      </c>
      <c r="T129" s="9">
        <f t="shared" si="103"/>
        <v>2.769954089093315E-3</v>
      </c>
      <c r="U129" s="407">
        <f t="shared" si="104"/>
        <v>1.6836574968852578</v>
      </c>
      <c r="V129" s="409">
        <f t="shared" si="105"/>
        <v>5.6694051336358634E-3</v>
      </c>
      <c r="W129" s="407">
        <f t="shared" si="106"/>
        <v>5.6694051336358634E-3</v>
      </c>
      <c r="X129" s="407">
        <f t="shared" si="107"/>
        <v>1.6836574968852578</v>
      </c>
      <c r="Y129" s="407">
        <f t="shared" si="108"/>
        <v>1.7008215400907592E-2</v>
      </c>
      <c r="Z129" s="407">
        <f t="shared" si="62"/>
        <v>0.267796146673135</v>
      </c>
      <c r="AA129" s="407">
        <f t="shared" si="63"/>
        <v>0.14400000000000002</v>
      </c>
      <c r="AB129" s="407">
        <f t="shared" si="64"/>
        <v>0</v>
      </c>
      <c r="AC129" s="407">
        <f t="shared" si="109"/>
        <v>0.43026798017141638</v>
      </c>
      <c r="AD129" s="407">
        <f t="shared" si="110"/>
        <v>3.2252585698035743</v>
      </c>
      <c r="AE129" s="407">
        <f t="shared" si="111"/>
        <v>6.2413757052548383E-2</v>
      </c>
      <c r="AF129" s="407">
        <f t="shared" si="67"/>
        <v>5.183999999999999E-2</v>
      </c>
      <c r="AG129" s="407">
        <f t="shared" si="112"/>
        <v>0.11569798625364924</v>
      </c>
      <c r="AH129" s="407">
        <f t="shared" si="113"/>
        <v>0</v>
      </c>
      <c r="AI129">
        <f t="shared" si="70"/>
        <v>0</v>
      </c>
      <c r="AJ129" s="408">
        <f t="shared" si="71"/>
        <v>0.45319176</v>
      </c>
      <c r="AK129">
        <f t="shared" si="85"/>
        <v>4.8000000000000001E-2</v>
      </c>
      <c r="AL129" s="408">
        <f t="shared" si="72"/>
        <v>0.1215</v>
      </c>
      <c r="AM129" s="408">
        <f t="shared" si="86"/>
        <v>0.31645971316818772</v>
      </c>
      <c r="AN129" s="408">
        <f t="shared" si="114"/>
        <v>0.16949999999999998</v>
      </c>
      <c r="AO129" s="408">
        <f t="shared" si="115"/>
        <v>1.4436343641523759</v>
      </c>
      <c r="AP129">
        <f t="shared" si="74"/>
        <v>18.359999999999996</v>
      </c>
      <c r="AQ129" s="10">
        <f t="shared" si="116"/>
        <v>0.92710255412685372</v>
      </c>
      <c r="AR129" s="63">
        <f t="shared" si="117"/>
        <v>21.513399008570818</v>
      </c>
      <c r="AS129" s="63">
        <f t="shared" si="118"/>
        <v>5.7848993126824624</v>
      </c>
      <c r="AT129" s="10"/>
      <c r="AU129">
        <f t="shared" si="119"/>
        <v>92.71025541268537</v>
      </c>
    </row>
    <row r="130" spans="7:47" x14ac:dyDescent="0.25">
      <c r="G130">
        <v>121</v>
      </c>
      <c r="H130">
        <f t="shared" si="55"/>
        <v>3.63</v>
      </c>
      <c r="I130" s="407">
        <f t="shared" si="97"/>
        <v>0.21416374999999999</v>
      </c>
      <c r="J130" s="408">
        <f t="shared" si="56"/>
        <v>1.8232859797297294</v>
      </c>
      <c r="K130" s="408">
        <f t="shared" si="77"/>
        <v>4.5416429898648643</v>
      </c>
      <c r="L130" s="408">
        <f t="shared" si="98"/>
        <v>2.7183570101351351</v>
      </c>
      <c r="M130" s="63">
        <f t="shared" si="57"/>
        <v>0</v>
      </c>
      <c r="N130" s="407">
        <f t="shared" si="99"/>
        <v>3.6679600570784916</v>
      </c>
      <c r="O130" s="407">
        <f t="shared" si="100"/>
        <v>6.7633630178564719E-2</v>
      </c>
      <c r="P130">
        <f t="shared" si="59"/>
        <v>0.2</v>
      </c>
      <c r="Q130" s="407">
        <f t="shared" si="80"/>
        <v>0.26763363017856473</v>
      </c>
      <c r="R130" s="9">
        <f t="shared" si="101"/>
        <v>0.52633732560331492</v>
      </c>
      <c r="S130" s="9">
        <f t="shared" si="102"/>
        <v>2.7703098032324995E-3</v>
      </c>
      <c r="T130" s="9">
        <f t="shared" si="103"/>
        <v>2.7703098032324995E-3</v>
      </c>
      <c r="U130" s="407">
        <f t="shared" si="104"/>
        <v>1.6974523000624211</v>
      </c>
      <c r="V130" s="409">
        <f t="shared" si="105"/>
        <v>5.7626886219744071E-3</v>
      </c>
      <c r="W130" s="407">
        <f t="shared" si="106"/>
        <v>5.7626886219744071E-3</v>
      </c>
      <c r="X130" s="407">
        <f t="shared" si="107"/>
        <v>1.6974523000624211</v>
      </c>
      <c r="Y130" s="407">
        <f t="shared" si="108"/>
        <v>1.728806586592322E-2</v>
      </c>
      <c r="Z130" s="407">
        <f t="shared" si="62"/>
        <v>0.27004435256854287</v>
      </c>
      <c r="AA130" s="407">
        <f t="shared" si="63"/>
        <v>0.14400000000000002</v>
      </c>
      <c r="AB130" s="407">
        <f t="shared" si="64"/>
        <v>0</v>
      </c>
      <c r="AC130" s="407">
        <f t="shared" si="109"/>
        <v>0.4328289735953052</v>
      </c>
      <c r="AD130" s="407">
        <f t="shared" si="110"/>
        <v>3.2515514249871629</v>
      </c>
      <c r="AE130" s="407">
        <f t="shared" si="111"/>
        <v>6.3435520016016295E-2</v>
      </c>
      <c r="AF130" s="407">
        <f t="shared" si="67"/>
        <v>5.2271999999999999E-2</v>
      </c>
      <c r="AG130" s="407">
        <f t="shared" si="112"/>
        <v>0.11719437726901898</v>
      </c>
      <c r="AH130" s="407">
        <f t="shared" si="113"/>
        <v>0</v>
      </c>
      <c r="AI130">
        <f t="shared" si="70"/>
        <v>0</v>
      </c>
      <c r="AJ130" s="408">
        <f t="shared" si="71"/>
        <v>0.45318835800000001</v>
      </c>
      <c r="AK130">
        <f t="shared" si="85"/>
        <v>4.8000000000000001E-2</v>
      </c>
      <c r="AL130" s="408">
        <f t="shared" si="72"/>
        <v>0.1215</v>
      </c>
      <c r="AM130" s="408">
        <f t="shared" si="86"/>
        <v>0.31645971316818772</v>
      </c>
      <c r="AN130" s="408">
        <f t="shared" si="114"/>
        <v>0.16949999999999998</v>
      </c>
      <c r="AO130" s="408">
        <f t="shared" si="115"/>
        <v>1.4488783374680958</v>
      </c>
      <c r="AP130">
        <f t="shared" si="74"/>
        <v>18.512999999999998</v>
      </c>
      <c r="AQ130" s="10">
        <f t="shared" si="116"/>
        <v>0.92741773529655391</v>
      </c>
      <c r="AR130" s="63">
        <f t="shared" si="117"/>
        <v>21.641448679765261</v>
      </c>
      <c r="AS130" s="63">
        <f t="shared" si="118"/>
        <v>5.8597188634509489</v>
      </c>
      <c r="AT130" s="10"/>
      <c r="AU130">
        <f t="shared" si="119"/>
        <v>92.74177352965539</v>
      </c>
    </row>
    <row r="131" spans="7:47" x14ac:dyDescent="0.25">
      <c r="G131">
        <v>122</v>
      </c>
      <c r="H131">
        <f t="shared" si="55"/>
        <v>3.66</v>
      </c>
      <c r="I131" s="407">
        <f t="shared" si="97"/>
        <v>0.21417749999999999</v>
      </c>
      <c r="J131" s="408">
        <f t="shared" si="56"/>
        <v>1.8234030405405401</v>
      </c>
      <c r="K131" s="408">
        <f t="shared" si="77"/>
        <v>4.5717015202702704</v>
      </c>
      <c r="L131" s="408">
        <f t="shared" si="98"/>
        <v>2.7482984797297298</v>
      </c>
      <c r="M131" s="63">
        <f t="shared" si="57"/>
        <v>0</v>
      </c>
      <c r="N131" s="407">
        <f t="shared" si="99"/>
        <v>3.697656900527825</v>
      </c>
      <c r="O131" s="407">
        <f t="shared" si="100"/>
        <v>6.8739272430548781E-2</v>
      </c>
      <c r="P131">
        <f t="shared" si="59"/>
        <v>0.2</v>
      </c>
      <c r="Q131" s="407">
        <f t="shared" si="80"/>
        <v>0.26873927243054879</v>
      </c>
      <c r="R131" s="9">
        <f t="shared" si="101"/>
        <v>0.52637111814863147</v>
      </c>
      <c r="S131" s="9">
        <f t="shared" si="102"/>
        <v>2.7706655402104053E-3</v>
      </c>
      <c r="T131" s="9">
        <f t="shared" si="103"/>
        <v>2.7706655402104053E-3</v>
      </c>
      <c r="U131" s="407">
        <f t="shared" si="104"/>
        <v>1.711250285865233</v>
      </c>
      <c r="V131" s="409">
        <f t="shared" si="105"/>
        <v>5.8567550817476832E-3</v>
      </c>
      <c r="W131" s="407">
        <f t="shared" si="106"/>
        <v>5.8567550817476832E-3</v>
      </c>
      <c r="X131" s="407">
        <f t="shared" si="107"/>
        <v>1.711250285865233</v>
      </c>
      <c r="Y131" s="407">
        <f t="shared" si="108"/>
        <v>1.757026524524305E-2</v>
      </c>
      <c r="Z131" s="407">
        <f t="shared" si="62"/>
        <v>0.27229255846395067</v>
      </c>
      <c r="AA131" s="407">
        <f t="shared" si="63"/>
        <v>0.14400000000000002</v>
      </c>
      <c r="AB131" s="407">
        <f t="shared" si="64"/>
        <v>0</v>
      </c>
      <c r="AC131" s="407">
        <f t="shared" si="109"/>
        <v>0.43539281716588935</v>
      </c>
      <c r="AD131" s="407">
        <f t="shared" si="110"/>
        <v>3.277848229120317</v>
      </c>
      <c r="AE131" s="407">
        <f t="shared" si="111"/>
        <v>6.4465734078883202E-2</v>
      </c>
      <c r="AF131" s="407">
        <f t="shared" si="67"/>
        <v>5.2704000000000001E-2</v>
      </c>
      <c r="AG131" s="407">
        <f t="shared" si="112"/>
        <v>0.11870015257306279</v>
      </c>
      <c r="AH131" s="407">
        <f t="shared" si="113"/>
        <v>0</v>
      </c>
      <c r="AI131">
        <f t="shared" si="70"/>
        <v>0</v>
      </c>
      <c r="AJ131" s="408">
        <f t="shared" si="71"/>
        <v>0.45318495600000003</v>
      </c>
      <c r="AK131">
        <f t="shared" si="85"/>
        <v>4.8000000000000001E-2</v>
      </c>
      <c r="AL131" s="408">
        <f t="shared" si="72"/>
        <v>0.1215</v>
      </c>
      <c r="AM131" s="408">
        <f t="shared" si="86"/>
        <v>0.31645971316818772</v>
      </c>
      <c r="AN131" s="408">
        <f t="shared" si="114"/>
        <v>0.16949999999999998</v>
      </c>
      <c r="AO131" s="408">
        <f t="shared" si="115"/>
        <v>1.4541446187914591</v>
      </c>
      <c r="AP131">
        <f t="shared" si="74"/>
        <v>18.666</v>
      </c>
      <c r="AQ131" s="10">
        <f t="shared" si="116"/>
        <v>0.92772693008213547</v>
      </c>
      <c r="AR131" s="63">
        <f t="shared" si="117"/>
        <v>21.769640858294466</v>
      </c>
      <c r="AS131" s="63">
        <f t="shared" si="118"/>
        <v>5.9350076286531399</v>
      </c>
      <c r="AT131" s="10"/>
      <c r="AU131">
        <f t="shared" si="119"/>
        <v>92.772693008213551</v>
      </c>
    </row>
    <row r="132" spans="7:47" x14ac:dyDescent="0.25">
      <c r="G132">
        <v>123</v>
      </c>
      <c r="H132">
        <f t="shared" si="55"/>
        <v>3.69</v>
      </c>
      <c r="I132" s="407">
        <f t="shared" si="97"/>
        <v>0.21419124999999997</v>
      </c>
      <c r="J132" s="408">
        <f t="shared" si="56"/>
        <v>1.8235201013513507</v>
      </c>
      <c r="K132" s="408">
        <f t="shared" si="77"/>
        <v>4.6017600506756757</v>
      </c>
      <c r="L132" s="408">
        <f t="shared" si="98"/>
        <v>2.7782399493243246</v>
      </c>
      <c r="M132" s="63">
        <f t="shared" si="57"/>
        <v>0</v>
      </c>
      <c r="N132" s="407">
        <f t="shared" si="99"/>
        <v>3.7273585995987428</v>
      </c>
      <c r="O132" s="407">
        <f t="shared" si="100"/>
        <v>6.9854210114313448E-2</v>
      </c>
      <c r="P132">
        <f t="shared" si="59"/>
        <v>0.2</v>
      </c>
      <c r="Q132" s="407">
        <f t="shared" si="80"/>
        <v>0.26985421011431343</v>
      </c>
      <c r="R132" s="9">
        <f t="shared" si="101"/>
        <v>0.52640491069394801</v>
      </c>
      <c r="S132" s="9">
        <f t="shared" si="102"/>
        <v>2.7710213000270338E-3</v>
      </c>
      <c r="T132" s="9">
        <f t="shared" si="103"/>
        <v>2.7710213000270338E-3</v>
      </c>
      <c r="U132" s="407">
        <f t="shared" si="104"/>
        <v>1.7250513994452283</v>
      </c>
      <c r="V132" s="409">
        <f t="shared" si="105"/>
        <v>5.9516046614558815E-3</v>
      </c>
      <c r="W132" s="407">
        <f t="shared" si="106"/>
        <v>5.9516046614558815E-3</v>
      </c>
      <c r="X132" s="407">
        <f t="shared" si="107"/>
        <v>1.7250513994452283</v>
      </c>
      <c r="Y132" s="407">
        <f t="shared" si="108"/>
        <v>1.7854813984367647E-2</v>
      </c>
      <c r="Z132" s="407">
        <f t="shared" si="62"/>
        <v>0.27454076435935848</v>
      </c>
      <c r="AA132" s="407">
        <f t="shared" si="63"/>
        <v>0.14400000000000002</v>
      </c>
      <c r="AB132" s="407">
        <f t="shared" si="64"/>
        <v>0</v>
      </c>
      <c r="AC132" s="407">
        <f t="shared" si="109"/>
        <v>0.43795951548004214</v>
      </c>
      <c r="AD132" s="407">
        <f t="shared" si="110"/>
        <v>3.3041488766813703</v>
      </c>
      <c r="AE132" s="407">
        <f t="shared" si="111"/>
        <v>6.5504398795648566E-2</v>
      </c>
      <c r="AF132" s="407">
        <f t="shared" si="67"/>
        <v>5.3136000000000003E-2</v>
      </c>
      <c r="AG132" s="407">
        <f t="shared" si="112"/>
        <v>0.12021532531784228</v>
      </c>
      <c r="AH132" s="407">
        <f t="shared" si="113"/>
        <v>0</v>
      </c>
      <c r="AI132">
        <f t="shared" si="70"/>
        <v>0</v>
      </c>
      <c r="AJ132" s="408">
        <f t="shared" si="71"/>
        <v>0.45318155399999999</v>
      </c>
      <c r="AK132">
        <f t="shared" si="85"/>
        <v>4.8000000000000001E-2</v>
      </c>
      <c r="AL132" s="408">
        <f t="shared" si="72"/>
        <v>0.1215</v>
      </c>
      <c r="AM132" s="408">
        <f t="shared" si="86"/>
        <v>0.31645971316818772</v>
      </c>
      <c r="AN132" s="408">
        <f t="shared" si="114"/>
        <v>0.16949999999999998</v>
      </c>
      <c r="AO132" s="408">
        <f t="shared" si="115"/>
        <v>1.4594332308736806</v>
      </c>
      <c r="AP132">
        <f t="shared" si="74"/>
        <v>18.818999999999999</v>
      </c>
      <c r="AQ132" s="10">
        <f t="shared" si="116"/>
        <v>0.92803027658706339</v>
      </c>
      <c r="AR132" s="63">
        <f t="shared" si="117"/>
        <v>21.897975774002106</v>
      </c>
      <c r="AS132" s="63">
        <f t="shared" si="118"/>
        <v>6.0107662658921139</v>
      </c>
      <c r="AT132" s="10"/>
      <c r="AU132">
        <f t="shared" si="119"/>
        <v>92.803027658706341</v>
      </c>
    </row>
    <row r="133" spans="7:47" x14ac:dyDescent="0.25">
      <c r="G133">
        <v>124</v>
      </c>
      <c r="H133">
        <f t="shared" si="55"/>
        <v>3.7199999999999998</v>
      </c>
      <c r="I133" s="407">
        <f t="shared" si="97"/>
        <v>0.21420499999999998</v>
      </c>
      <c r="J133" s="408">
        <f t="shared" si="56"/>
        <v>1.8236371621621617</v>
      </c>
      <c r="K133" s="408">
        <f t="shared" si="77"/>
        <v>4.631818581081081</v>
      </c>
      <c r="L133" s="408">
        <f t="shared" si="98"/>
        <v>2.8081814189189189</v>
      </c>
      <c r="M133" s="63">
        <f t="shared" si="57"/>
        <v>0</v>
      </c>
      <c r="N133" s="407">
        <f t="shared" si="99"/>
        <v>3.7570650391320397</v>
      </c>
      <c r="O133" s="407">
        <f t="shared" si="100"/>
        <v>7.0978448125738475E-2</v>
      </c>
      <c r="P133">
        <f t="shared" si="59"/>
        <v>0.2</v>
      </c>
      <c r="Q133" s="407">
        <f t="shared" si="80"/>
        <v>0.27097844812573846</v>
      </c>
      <c r="R133" s="9">
        <f t="shared" si="101"/>
        <v>0.52643870323926467</v>
      </c>
      <c r="S133" s="9">
        <f t="shared" si="102"/>
        <v>2.7713770826823859E-3</v>
      </c>
      <c r="T133" s="9">
        <f t="shared" si="103"/>
        <v>2.7713770826823859E-3</v>
      </c>
      <c r="U133" s="407">
        <f t="shared" si="104"/>
        <v>1.7388555876781708</v>
      </c>
      <c r="V133" s="409">
        <f t="shared" si="105"/>
        <v>6.047237509599194E-3</v>
      </c>
      <c r="W133" s="407">
        <f t="shared" si="106"/>
        <v>6.047237509599194E-3</v>
      </c>
      <c r="X133" s="407">
        <f t="shared" si="107"/>
        <v>1.7388555876781708</v>
      </c>
      <c r="Y133" s="407">
        <f t="shared" si="108"/>
        <v>1.8141712528797583E-2</v>
      </c>
      <c r="Z133" s="407">
        <f t="shared" si="62"/>
        <v>0.27678897025476629</v>
      </c>
      <c r="AA133" s="407">
        <f t="shared" si="63"/>
        <v>0.14400000000000002</v>
      </c>
      <c r="AB133" s="407">
        <f t="shared" si="64"/>
        <v>0</v>
      </c>
      <c r="AC133" s="407">
        <f t="shared" si="109"/>
        <v>0.44052907314467754</v>
      </c>
      <c r="AD133" s="407">
        <f t="shared" si="110"/>
        <v>3.3304532654683263</v>
      </c>
      <c r="AE133" s="407">
        <f t="shared" si="111"/>
        <v>6.6551513720811833E-2</v>
      </c>
      <c r="AF133" s="407">
        <f t="shared" si="67"/>
        <v>5.3567999999999998E-2</v>
      </c>
      <c r="AG133" s="407">
        <f t="shared" si="112"/>
        <v>0.12173990876248725</v>
      </c>
      <c r="AH133" s="407">
        <f t="shared" si="113"/>
        <v>0</v>
      </c>
      <c r="AI133">
        <f t="shared" si="70"/>
        <v>0</v>
      </c>
      <c r="AJ133" s="408">
        <f t="shared" si="71"/>
        <v>0.453178152</v>
      </c>
      <c r="AK133">
        <f t="shared" si="85"/>
        <v>4.8000000000000001E-2</v>
      </c>
      <c r="AL133" s="408">
        <f t="shared" si="72"/>
        <v>0.1215</v>
      </c>
      <c r="AM133" s="408">
        <f t="shared" si="86"/>
        <v>0.31645971316818772</v>
      </c>
      <c r="AN133" s="408">
        <f t="shared" si="114"/>
        <v>0.16949999999999998</v>
      </c>
      <c r="AO133" s="408">
        <f t="shared" si="115"/>
        <v>1.4647441966251848</v>
      </c>
      <c r="AP133">
        <f t="shared" si="74"/>
        <v>18.971999999999998</v>
      </c>
      <c r="AQ133" s="10">
        <f t="shared" si="116"/>
        <v>0.92832790866624126</v>
      </c>
      <c r="AR133" s="63">
        <f t="shared" si="117"/>
        <v>22.026453657233876</v>
      </c>
      <c r="AS133" s="63">
        <f t="shared" si="118"/>
        <v>6.0869954381243625</v>
      </c>
      <c r="AT133" s="10"/>
      <c r="AU133">
        <f t="shared" si="119"/>
        <v>92.832790866624123</v>
      </c>
    </row>
    <row r="134" spans="7:47" x14ac:dyDescent="0.25">
      <c r="G134">
        <v>125</v>
      </c>
      <c r="H134">
        <f t="shared" si="55"/>
        <v>3.75</v>
      </c>
      <c r="I134" s="407">
        <f t="shared" si="97"/>
        <v>0.21421874999999999</v>
      </c>
      <c r="J134" s="408">
        <f t="shared" si="56"/>
        <v>1.8237542229729726</v>
      </c>
      <c r="K134" s="408">
        <f t="shared" si="77"/>
        <v>4.6618771114864863</v>
      </c>
      <c r="L134" s="408">
        <f t="shared" si="98"/>
        <v>2.8381228885135137</v>
      </c>
      <c r="M134" s="63">
        <f t="shared" si="57"/>
        <v>0</v>
      </c>
      <c r="N134" s="407">
        <f t="shared" si="99"/>
        <v>3.7867761075640116</v>
      </c>
      <c r="O134" s="407">
        <f t="shared" si="100"/>
        <v>7.2111991402857442E-2</v>
      </c>
      <c r="P134">
        <f t="shared" si="59"/>
        <v>0.2</v>
      </c>
      <c r="Q134" s="407">
        <f t="shared" si="80"/>
        <v>0.27211199140285747</v>
      </c>
      <c r="R134" s="9">
        <f t="shared" si="101"/>
        <v>0.52647249578458133</v>
      </c>
      <c r="S134" s="9">
        <f t="shared" si="102"/>
        <v>2.7717328881764602E-3</v>
      </c>
      <c r="T134" s="9">
        <f t="shared" si="103"/>
        <v>2.7717328881764602E-3</v>
      </c>
      <c r="U134" s="407">
        <f t="shared" si="104"/>
        <v>1.7526627990971066</v>
      </c>
      <c r="V134" s="409">
        <f t="shared" si="105"/>
        <v>6.1436537746778095E-3</v>
      </c>
      <c r="W134" s="407">
        <f t="shared" si="106"/>
        <v>6.1436537746778095E-3</v>
      </c>
      <c r="X134" s="407">
        <f t="shared" si="107"/>
        <v>1.7526627990971066</v>
      </c>
      <c r="Y134" s="407">
        <f t="shared" si="108"/>
        <v>1.8430961324033428E-2</v>
      </c>
      <c r="Z134" s="407">
        <f t="shared" si="62"/>
        <v>0.27903717615017409</v>
      </c>
      <c r="AA134" s="407">
        <f t="shared" si="63"/>
        <v>0.14400000000000002</v>
      </c>
      <c r="AB134" s="407">
        <f t="shared" si="64"/>
        <v>0</v>
      </c>
      <c r="AC134" s="407">
        <f t="shared" si="109"/>
        <v>0.44310149477677802</v>
      </c>
      <c r="AD134" s="407">
        <f t="shared" si="110"/>
        <v>3.3567612964699682</v>
      </c>
      <c r="AE134" s="407">
        <f t="shared" si="111"/>
        <v>6.7607078408872451E-2</v>
      </c>
      <c r="AF134" s="407">
        <f t="shared" si="67"/>
        <v>5.3999999999999999E-2</v>
      </c>
      <c r="AG134" s="407">
        <f t="shared" si="112"/>
        <v>0.12327391627352706</v>
      </c>
      <c r="AH134" s="407">
        <f t="shared" si="113"/>
        <v>0</v>
      </c>
      <c r="AI134">
        <f t="shared" si="70"/>
        <v>0</v>
      </c>
      <c r="AJ134" s="408">
        <f t="shared" si="71"/>
        <v>0.45317474999999996</v>
      </c>
      <c r="AK134">
        <f t="shared" si="85"/>
        <v>4.8000000000000001E-2</v>
      </c>
      <c r="AL134" s="408">
        <f t="shared" si="72"/>
        <v>0.1215</v>
      </c>
      <c r="AM134" s="408">
        <f t="shared" si="86"/>
        <v>0.31645971316818772</v>
      </c>
      <c r="AN134" s="408">
        <f t="shared" si="114"/>
        <v>0.16949999999999998</v>
      </c>
      <c r="AO134" s="408">
        <f t="shared" si="115"/>
        <v>1.4700775391160168</v>
      </c>
      <c r="AP134">
        <f t="shared" si="74"/>
        <v>19.125</v>
      </c>
      <c r="AQ134" s="10">
        <f t="shared" si="116"/>
        <v>0.92861995608786063</v>
      </c>
      <c r="AR134" s="63">
        <f t="shared" si="117"/>
        <v>22.155074738838902</v>
      </c>
      <c r="AS134" s="63">
        <f t="shared" si="118"/>
        <v>6.1636958136763527</v>
      </c>
      <c r="AT134" s="10"/>
      <c r="AU134">
        <f t="shared" si="119"/>
        <v>92.86199560878606</v>
      </c>
    </row>
    <row r="135" spans="7:47" x14ac:dyDescent="0.25">
      <c r="G135">
        <v>126</v>
      </c>
      <c r="H135">
        <f t="shared" si="55"/>
        <v>3.7800000000000002</v>
      </c>
      <c r="I135" s="407">
        <f t="shared" si="97"/>
        <v>0.21423250000000002</v>
      </c>
      <c r="J135" s="408">
        <f t="shared" si="56"/>
        <v>1.8238712837837836</v>
      </c>
      <c r="K135" s="408">
        <f t="shared" si="77"/>
        <v>4.6919356418918916</v>
      </c>
      <c r="L135" s="408">
        <f t="shared" si="98"/>
        <v>2.8680643581081084</v>
      </c>
      <c r="M135" s="63">
        <f t="shared" si="57"/>
        <v>0</v>
      </c>
      <c r="N135" s="407">
        <f t="shared" si="99"/>
        <v>3.8164916967878924</v>
      </c>
      <c r="O135" s="407">
        <f t="shared" si="100"/>
        <v>7.3254844925912346E-2</v>
      </c>
      <c r="P135">
        <f t="shared" si="59"/>
        <v>0.2</v>
      </c>
      <c r="Q135" s="407">
        <f t="shared" si="80"/>
        <v>0.27325484492591234</v>
      </c>
      <c r="R135" s="9">
        <f t="shared" si="101"/>
        <v>0.52650628832989788</v>
      </c>
      <c r="S135" s="9">
        <f t="shared" si="102"/>
        <v>2.7720887165092558E-3</v>
      </c>
      <c r="T135" s="9">
        <f t="shared" si="103"/>
        <v>2.7720887165092558E-3</v>
      </c>
      <c r="U135" s="407">
        <f t="shared" si="104"/>
        <v>1.766472983828498</v>
      </c>
      <c r="V135" s="409">
        <f t="shared" si="105"/>
        <v>6.2408536051919141E-3</v>
      </c>
      <c r="W135" s="407">
        <f t="shared" si="106"/>
        <v>6.2408536051919141E-3</v>
      </c>
      <c r="X135" s="407">
        <f t="shared" si="107"/>
        <v>1.766472983828498</v>
      </c>
      <c r="Y135" s="407">
        <f t="shared" si="108"/>
        <v>1.8722560815575742E-2</v>
      </c>
      <c r="Z135" s="407">
        <f t="shared" si="62"/>
        <v>0.2812853820455819</v>
      </c>
      <c r="AA135" s="407">
        <f t="shared" si="63"/>
        <v>0.14400000000000002</v>
      </c>
      <c r="AB135" s="407">
        <f t="shared" si="64"/>
        <v>0</v>
      </c>
      <c r="AC135" s="407">
        <f t="shared" si="109"/>
        <v>0.44567678500342101</v>
      </c>
      <c r="AD135" s="407">
        <f t="shared" si="110"/>
        <v>3.383072873742889</v>
      </c>
      <c r="AE135" s="407">
        <f t="shared" si="111"/>
        <v>6.867109241432981E-2</v>
      </c>
      <c r="AF135" s="407">
        <f t="shared" si="67"/>
        <v>5.4432000000000001E-2</v>
      </c>
      <c r="AG135" s="407">
        <f t="shared" si="112"/>
        <v>0.12481736132522528</v>
      </c>
      <c r="AH135" s="407">
        <f t="shared" si="113"/>
        <v>0</v>
      </c>
      <c r="AI135">
        <f t="shared" si="70"/>
        <v>0</v>
      </c>
      <c r="AJ135" s="408">
        <f t="shared" si="71"/>
        <v>0.45317134799999997</v>
      </c>
      <c r="AK135">
        <f t="shared" si="85"/>
        <v>4.8000000000000001E-2</v>
      </c>
      <c r="AL135" s="408">
        <f t="shared" si="72"/>
        <v>0.1215</v>
      </c>
      <c r="AM135" s="408">
        <f t="shared" si="86"/>
        <v>0.31645971316818772</v>
      </c>
      <c r="AN135" s="408">
        <f t="shared" si="114"/>
        <v>0.16949999999999998</v>
      </c>
      <c r="AO135" s="408">
        <f t="shared" si="115"/>
        <v>1.4754332815762596</v>
      </c>
      <c r="AP135">
        <f t="shared" si="74"/>
        <v>19.277999999999999</v>
      </c>
      <c r="AQ135" s="10">
        <f t="shared" si="116"/>
        <v>0.92890654468790634</v>
      </c>
      <c r="AR135" s="63">
        <f t="shared" si="117"/>
        <v>22.283839250171049</v>
      </c>
      <c r="AS135" s="63">
        <f t="shared" si="118"/>
        <v>6.2408680662612639</v>
      </c>
      <c r="AT135" s="10"/>
      <c r="AU135">
        <f t="shared" si="119"/>
        <v>92.890654468790629</v>
      </c>
    </row>
    <row r="136" spans="7:47" x14ac:dyDescent="0.25">
      <c r="G136">
        <v>127</v>
      </c>
      <c r="H136">
        <f t="shared" si="55"/>
        <v>3.81</v>
      </c>
      <c r="I136" s="407">
        <f t="shared" si="97"/>
        <v>0.21424624999999997</v>
      </c>
      <c r="J136" s="408">
        <f t="shared" si="56"/>
        <v>1.8239883445945941</v>
      </c>
      <c r="K136" s="408">
        <f t="shared" si="77"/>
        <v>4.7219941722972969</v>
      </c>
      <c r="L136" s="408">
        <f t="shared" si="98"/>
        <v>2.8980058277027032</v>
      </c>
      <c r="M136" s="63">
        <f t="shared" si="57"/>
        <v>0</v>
      </c>
      <c r="N136" s="407">
        <f t="shared" si="99"/>
        <v>3.8462117020216238</v>
      </c>
      <c r="O136" s="407">
        <f t="shared" si="100"/>
        <v>7.4407013717408821E-2</v>
      </c>
      <c r="P136">
        <f t="shared" si="59"/>
        <v>0.2</v>
      </c>
      <c r="Q136" s="407">
        <f t="shared" si="80"/>
        <v>0.27440701371740883</v>
      </c>
      <c r="R136" s="9">
        <f t="shared" si="101"/>
        <v>0.52654008087521442</v>
      </c>
      <c r="S136" s="9">
        <f t="shared" si="102"/>
        <v>2.7724445676807737E-3</v>
      </c>
      <c r="T136" s="9">
        <f t="shared" si="103"/>
        <v>2.7724445676807737E-3</v>
      </c>
      <c r="U136" s="407">
        <f t="shared" si="104"/>
        <v>1.780286093531275</v>
      </c>
      <c r="V136" s="409">
        <f t="shared" si="105"/>
        <v>6.3388371496416957E-3</v>
      </c>
      <c r="W136" s="407">
        <f t="shared" si="106"/>
        <v>6.3388371496416957E-3</v>
      </c>
      <c r="X136" s="407">
        <f t="shared" si="107"/>
        <v>1.780286093531275</v>
      </c>
      <c r="Y136" s="407">
        <f t="shared" si="108"/>
        <v>1.9016511448925088E-2</v>
      </c>
      <c r="Z136" s="407">
        <f t="shared" si="62"/>
        <v>0.28353358794098971</v>
      </c>
      <c r="AA136" s="407">
        <f t="shared" si="63"/>
        <v>0.14400000000000002</v>
      </c>
      <c r="AB136" s="407">
        <f t="shared" si="64"/>
        <v>0</v>
      </c>
      <c r="AC136" s="407">
        <f t="shared" si="109"/>
        <v>0.44825494846180702</v>
      </c>
      <c r="AD136" s="407">
        <f t="shared" si="110"/>
        <v>3.409387904294146</v>
      </c>
      <c r="AE136" s="407">
        <f t="shared" si="111"/>
        <v>6.9743555291683371E-2</v>
      </c>
      <c r="AF136" s="407">
        <f t="shared" si="67"/>
        <v>5.4863999999999996E-2</v>
      </c>
      <c r="AG136" s="407">
        <f t="shared" si="112"/>
        <v>0.12637025749991732</v>
      </c>
      <c r="AH136" s="407">
        <f t="shared" si="113"/>
        <v>0</v>
      </c>
      <c r="AI136">
        <f t="shared" si="70"/>
        <v>0</v>
      </c>
      <c r="AJ136" s="408">
        <f t="shared" si="71"/>
        <v>0.45316794599999999</v>
      </c>
      <c r="AK136">
        <f t="shared" si="85"/>
        <v>4.8000000000000001E-2</v>
      </c>
      <c r="AL136" s="408">
        <f t="shared" si="72"/>
        <v>0.1215</v>
      </c>
      <c r="AM136" s="408">
        <f t="shared" si="86"/>
        <v>0.31645971316818772</v>
      </c>
      <c r="AN136" s="408">
        <f t="shared" si="114"/>
        <v>0.16949999999999998</v>
      </c>
      <c r="AO136" s="408">
        <f t="shared" si="115"/>
        <v>1.4808114473964555</v>
      </c>
      <c r="AP136">
        <f t="shared" si="74"/>
        <v>19.430999999999997</v>
      </c>
      <c r="AQ136" s="10">
        <f t="shared" si="116"/>
        <v>0.92918779651770345</v>
      </c>
      <c r="AR136" s="63">
        <f t="shared" si="117"/>
        <v>22.412747423090352</v>
      </c>
      <c r="AS136" s="63">
        <f t="shared" si="118"/>
        <v>6.3185128749958661</v>
      </c>
      <c r="AT136" s="10"/>
      <c r="AU136">
        <f t="shared" si="119"/>
        <v>92.91877965177035</v>
      </c>
    </row>
    <row r="137" spans="7:47" x14ac:dyDescent="0.25">
      <c r="G137">
        <v>128</v>
      </c>
      <c r="H137">
        <f t="shared" ref="H137:H200" si="120">Iout*(G137/200)</f>
        <v>3.84</v>
      </c>
      <c r="I137" s="407">
        <f t="shared" si="97"/>
        <v>0.21425999999999998</v>
      </c>
      <c r="J137" s="408">
        <f t="shared" ref="J137:J200" si="121">(Vin-Vout)*I137/(Fsw*Lout2)</f>
        <v>1.8241054054054049</v>
      </c>
      <c r="K137" s="408">
        <f t="shared" si="77"/>
        <v>4.7520527027027022</v>
      </c>
      <c r="L137" s="408">
        <f t="shared" si="98"/>
        <v>2.9279472972972975</v>
      </c>
      <c r="M137" s="63">
        <f t="shared" ref="M137:M200" si="122">IF(MIN(Vin, -L137/(CossTop+CossBot)*0.00000002)&lt;0, 0, MIN(Vin, -L137/(CossTop+CossBot)*0.00000002))</f>
        <v>0</v>
      </c>
      <c r="N137" s="407">
        <f t="shared" si="99"/>
        <v>3.8759360216816146</v>
      </c>
      <c r="O137" s="407">
        <f t="shared" si="100"/>
        <v>7.5568502842171661E-2</v>
      </c>
      <c r="P137">
        <f t="shared" ref="P137:P200" si="123">Core_Loss</f>
        <v>0.2</v>
      </c>
      <c r="Q137" s="407">
        <f t="shared" si="80"/>
        <v>0.27556850284217166</v>
      </c>
      <c r="R137" s="9">
        <f t="shared" si="101"/>
        <v>0.52657387342053097</v>
      </c>
      <c r="S137" s="9">
        <f t="shared" si="102"/>
        <v>2.7728004416910134E-3</v>
      </c>
      <c r="T137" s="9">
        <f t="shared" si="103"/>
        <v>2.7728004416910134E-3</v>
      </c>
      <c r="U137" s="407">
        <f t="shared" si="104"/>
        <v>1.7941020813386488</v>
      </c>
      <c r="V137" s="409">
        <f t="shared" si="105"/>
        <v>6.4376045565273429E-3</v>
      </c>
      <c r="W137" s="407">
        <f t="shared" si="106"/>
        <v>6.4376045565273429E-3</v>
      </c>
      <c r="X137" s="407">
        <f t="shared" si="107"/>
        <v>1.7941020813386488</v>
      </c>
      <c r="Y137" s="407">
        <f t="shared" si="108"/>
        <v>1.931281366958203E-2</v>
      </c>
      <c r="Z137" s="407">
        <f t="shared" ref="Z137:Z200" si="124">IF(L137&lt;0, (Vin*K137*Tf/2)*Fsw, (Vin*L137*Tr/2+Vin*K137*Tf/2)*Fsw)</f>
        <v>0.28578179383639746</v>
      </c>
      <c r="AA137" s="407">
        <f t="shared" ref="AA137:AA200" si="125">(0.5*CossTop*(Vin-M137)^2-0.5*CossBot*(Vin-M137)^2+(QossBot*(Vin-M137)/Vin)*Vin)*Fsw</f>
        <v>0.14400000000000002</v>
      </c>
      <c r="AB137" s="407">
        <f t="shared" ref="AB137:AB200" si="126">IF(L137&gt;0,0,-L137*VsdTop*Deadtime*Fsw)</f>
        <v>0</v>
      </c>
      <c r="AC137" s="407">
        <f t="shared" si="109"/>
        <v>0.45083598979928657</v>
      </c>
      <c r="AD137" s="407">
        <f t="shared" si="110"/>
        <v>3.4357062979692299</v>
      </c>
      <c r="AE137" s="407">
        <f t="shared" si="111"/>
        <v>7.0824466595432581E-2</v>
      </c>
      <c r="AF137" s="407">
        <f t="shared" ref="AF137:AF200" si="127">IF(L137&lt;0, Deadtime*Fsw*IF(VfdSky&gt;0,0,VsdBot)*K137, Deadtime*Fsw*IF(VfdSky&gt;0,0,VsdBot)*(K137+L137))</f>
        <v>5.5295999999999998E-2</v>
      </c>
      <c r="AG137" s="407">
        <f t="shared" si="112"/>
        <v>0.12793261848835147</v>
      </c>
      <c r="AH137" s="407">
        <f t="shared" si="113"/>
        <v>0</v>
      </c>
      <c r="AI137">
        <f t="shared" ref="AI137:AI200" si="128">2*Deadtime*Fsw*IF(VfdSky&gt;0,VfdSky,0)*H137</f>
        <v>0</v>
      </c>
      <c r="AJ137" s="408">
        <f t="shared" ref="AJ137:AJ200" si="129">IF(QrrSky&gt;0,QrrSky,QrrBot)*Fsw*(Vin-H137*RdsonTop)</f>
        <v>0.45316454399999995</v>
      </c>
      <c r="AK137">
        <f t="shared" si="85"/>
        <v>4.8000000000000001E-2</v>
      </c>
      <c r="AL137" s="408">
        <f t="shared" ref="AL137:AL200" si="130">IF(Ext_VCC=1, Vdd*(QgTop+QgBot)*Fsw, Vin*(QgTop+QgBot)*Fsw)</f>
        <v>0.1215</v>
      </c>
      <c r="AM137" s="408">
        <f t="shared" si="86"/>
        <v>0.31645971316818772</v>
      </c>
      <c r="AN137" s="408">
        <f t="shared" si="114"/>
        <v>0.16949999999999998</v>
      </c>
      <c r="AO137" s="408">
        <f t="shared" si="115"/>
        <v>1.4862120601280282</v>
      </c>
      <c r="AP137">
        <f t="shared" ref="AP137:AP200" si="131">Vout*H137</f>
        <v>19.584</v>
      </c>
      <c r="AQ137" s="10">
        <f t="shared" si="116"/>
        <v>0.9294638299848702</v>
      </c>
      <c r="AR137" s="63">
        <f t="shared" si="117"/>
        <v>22.54179948996433</v>
      </c>
      <c r="AS137" s="63">
        <f t="shared" si="118"/>
        <v>6.3966309244175736</v>
      </c>
      <c r="AT137" s="10"/>
      <c r="AU137">
        <f t="shared" si="119"/>
        <v>92.946382998487024</v>
      </c>
    </row>
    <row r="138" spans="7:47" x14ac:dyDescent="0.25">
      <c r="G138">
        <v>129</v>
      </c>
      <c r="H138">
        <f t="shared" si="120"/>
        <v>3.87</v>
      </c>
      <c r="I138" s="407">
        <f t="shared" si="97"/>
        <v>0.21427375000000001</v>
      </c>
      <c r="J138" s="408">
        <f t="shared" si="121"/>
        <v>1.8242224662162159</v>
      </c>
      <c r="K138" s="408">
        <f t="shared" ref="K138:K201" si="132">H138+J138/2</f>
        <v>4.7821112331081084</v>
      </c>
      <c r="L138" s="408">
        <f t="shared" si="98"/>
        <v>2.9578887668918923</v>
      </c>
      <c r="M138" s="63">
        <f t="shared" si="122"/>
        <v>0</v>
      </c>
      <c r="N138" s="407">
        <f t="shared" si="99"/>
        <v>3.9056645572621824</v>
      </c>
      <c r="O138" s="407">
        <f t="shared" si="100"/>
        <v>7.6739317407400892E-2</v>
      </c>
      <c r="P138">
        <f t="shared" si="123"/>
        <v>0.2</v>
      </c>
      <c r="Q138" s="407">
        <f t="shared" ref="Q138:Q201" si="133">O138+P138</f>
        <v>0.27673931740740088</v>
      </c>
      <c r="R138" s="9">
        <f t="shared" si="101"/>
        <v>0.52660766596584763</v>
      </c>
      <c r="S138" s="9">
        <f t="shared" si="102"/>
        <v>2.7731563385399779E-3</v>
      </c>
      <c r="T138" s="9">
        <f t="shared" si="103"/>
        <v>2.7731563385399779E-3</v>
      </c>
      <c r="U138" s="407">
        <f t="shared" si="104"/>
        <v>1.8079209018025439</v>
      </c>
      <c r="V138" s="409">
        <f t="shared" si="105"/>
        <v>6.537155974349047E-3</v>
      </c>
      <c r="W138" s="407">
        <f t="shared" si="106"/>
        <v>6.537155974349047E-3</v>
      </c>
      <c r="X138" s="407">
        <f t="shared" si="107"/>
        <v>1.8079209018025439</v>
      </c>
      <c r="Y138" s="407">
        <f t="shared" si="108"/>
        <v>1.9611467923047143E-2</v>
      </c>
      <c r="Z138" s="407">
        <f t="shared" si="124"/>
        <v>0.28802999973180538</v>
      </c>
      <c r="AA138" s="407">
        <f t="shared" si="125"/>
        <v>0.14400000000000002</v>
      </c>
      <c r="AB138" s="407">
        <f t="shared" si="126"/>
        <v>0</v>
      </c>
      <c r="AC138" s="407">
        <f t="shared" si="109"/>
        <v>0.4534199136733878</v>
      </c>
      <c r="AD138" s="407">
        <f t="shared" si="110"/>
        <v>3.4620279673450756</v>
      </c>
      <c r="AE138" s="407">
        <f t="shared" si="111"/>
        <v>7.1913825880076845E-2</v>
      </c>
      <c r="AF138" s="407">
        <f t="shared" si="127"/>
        <v>5.5728E-2</v>
      </c>
      <c r="AG138" s="407">
        <f t="shared" si="112"/>
        <v>0.12950445809003289</v>
      </c>
      <c r="AH138" s="407">
        <f t="shared" si="113"/>
        <v>0</v>
      </c>
      <c r="AI138">
        <f t="shared" si="128"/>
        <v>0</v>
      </c>
      <c r="AJ138" s="408">
        <f t="shared" si="129"/>
        <v>0.45316114200000002</v>
      </c>
      <c r="AK138">
        <f t="shared" ref="AK138:AK201" si="134">Iq*Vin</f>
        <v>4.8000000000000001E-2</v>
      </c>
      <c r="AL138" s="408">
        <f t="shared" si="130"/>
        <v>0.1215</v>
      </c>
      <c r="AM138" s="408">
        <f t="shared" ref="AM138:AM201" si="135">(Vin-Vdd)*Fsw*(QgTop+QgBot)+(RdsonDRT+RdsonDRT2)*Fsw*QgTop*Vdd/(RdsonDRT+2*RGateTop+RdsonDRT2)+(RdsonDRB+RdsonDRB2)*Fsw*QgBot*Vdd/(RdsonDRB+2*RGateBot+RdsonDRB2)</f>
        <v>0.31645971316818772</v>
      </c>
      <c r="AN138" s="408">
        <f t="shared" si="114"/>
        <v>0.16949999999999998</v>
      </c>
      <c r="AO138" s="408">
        <f t="shared" si="115"/>
        <v>1.4916351434837105</v>
      </c>
      <c r="AP138">
        <f t="shared" si="131"/>
        <v>19.736999999999998</v>
      </c>
      <c r="AQ138" s="10">
        <f t="shared" si="116"/>
        <v>0.92973475998801658</v>
      </c>
      <c r="AR138" s="63">
        <f t="shared" si="117"/>
        <v>22.670995683669389</v>
      </c>
      <c r="AS138" s="63">
        <f t="shared" si="118"/>
        <v>6.4752229045016447</v>
      </c>
      <c r="AT138" s="10"/>
      <c r="AU138">
        <f t="shared" si="119"/>
        <v>92.973475998801661</v>
      </c>
    </row>
    <row r="139" spans="7:47" x14ac:dyDescent="0.25">
      <c r="G139">
        <v>130</v>
      </c>
      <c r="H139">
        <f t="shared" si="120"/>
        <v>3.9000000000000004</v>
      </c>
      <c r="I139" s="407">
        <f t="shared" si="97"/>
        <v>0.21428749999999996</v>
      </c>
      <c r="J139" s="408">
        <f t="shared" si="121"/>
        <v>1.8243395270270264</v>
      </c>
      <c r="K139" s="408">
        <f t="shared" si="132"/>
        <v>4.8121697635135137</v>
      </c>
      <c r="L139" s="408">
        <f t="shared" si="98"/>
        <v>2.987830236486487</v>
      </c>
      <c r="M139" s="63">
        <f t="shared" si="122"/>
        <v>0</v>
      </c>
      <c r="N139" s="407">
        <f t="shared" si="99"/>
        <v>3.9353972132203845</v>
      </c>
      <c r="O139" s="407">
        <f t="shared" si="100"/>
        <v>7.7919462562728373E-2</v>
      </c>
      <c r="P139">
        <f t="shared" si="123"/>
        <v>0.2</v>
      </c>
      <c r="Q139" s="407">
        <f t="shared" si="133"/>
        <v>0.27791946256272837</v>
      </c>
      <c r="R139" s="9">
        <f t="shared" si="101"/>
        <v>0.52664145851116417</v>
      </c>
      <c r="S139" s="9">
        <f t="shared" si="102"/>
        <v>2.7735122582276629E-3</v>
      </c>
      <c r="T139" s="9">
        <f t="shared" si="103"/>
        <v>2.7735122582276629E-3</v>
      </c>
      <c r="U139" s="407">
        <f t="shared" si="104"/>
        <v>1.8217425108405128</v>
      </c>
      <c r="V139" s="409">
        <f t="shared" si="105"/>
        <v>6.6374915516069916E-3</v>
      </c>
      <c r="W139" s="407">
        <f t="shared" si="106"/>
        <v>6.6374915516069916E-3</v>
      </c>
      <c r="X139" s="407">
        <f t="shared" si="107"/>
        <v>1.8217425108405128</v>
      </c>
      <c r="Y139" s="407">
        <f t="shared" si="108"/>
        <v>1.9912474654820975E-2</v>
      </c>
      <c r="Z139" s="407">
        <f t="shared" si="124"/>
        <v>0.29027820562721313</v>
      </c>
      <c r="AA139" s="407">
        <f t="shared" si="125"/>
        <v>0.14400000000000002</v>
      </c>
      <c r="AB139" s="407">
        <f t="shared" si="126"/>
        <v>0</v>
      </c>
      <c r="AC139" s="407">
        <f t="shared" si="109"/>
        <v>0.45600672475184389</v>
      </c>
      <c r="AD139" s="407">
        <f t="shared" si="110"/>
        <v>3.4883528276278581</v>
      </c>
      <c r="AE139" s="407">
        <f t="shared" si="111"/>
        <v>7.3011632700115639E-2</v>
      </c>
      <c r="AF139" s="407">
        <f t="shared" si="127"/>
        <v>5.6160000000000002E-2</v>
      </c>
      <c r="AG139" s="407">
        <f t="shared" si="112"/>
        <v>0.13108579021357117</v>
      </c>
      <c r="AH139" s="407">
        <f t="shared" si="113"/>
        <v>0</v>
      </c>
      <c r="AI139">
        <f t="shared" si="128"/>
        <v>0</v>
      </c>
      <c r="AJ139" s="408">
        <f t="shared" si="129"/>
        <v>0.45315774000000003</v>
      </c>
      <c r="AK139">
        <f t="shared" si="134"/>
        <v>4.8000000000000001E-2</v>
      </c>
      <c r="AL139" s="408">
        <f t="shared" si="130"/>
        <v>0.1215</v>
      </c>
      <c r="AM139" s="408">
        <f t="shared" si="135"/>
        <v>0.31645971316818772</v>
      </c>
      <c r="AN139" s="408">
        <f t="shared" si="114"/>
        <v>0.16949999999999998</v>
      </c>
      <c r="AO139" s="408">
        <f t="shared" si="115"/>
        <v>1.497080721337978</v>
      </c>
      <c r="AP139">
        <f t="shared" si="131"/>
        <v>19.89</v>
      </c>
      <c r="AQ139" s="10">
        <f t="shared" si="116"/>
        <v>0.93000069804551055</v>
      </c>
      <c r="AR139" s="63">
        <f t="shared" si="117"/>
        <v>22.800336237592195</v>
      </c>
      <c r="AS139" s="63">
        <f t="shared" si="118"/>
        <v>6.5542895106785588</v>
      </c>
      <c r="AT139" s="10"/>
      <c r="AU139">
        <f t="shared" si="119"/>
        <v>93.00006980455106</v>
      </c>
    </row>
    <row r="140" spans="7:47" x14ac:dyDescent="0.25">
      <c r="G140">
        <v>131</v>
      </c>
      <c r="H140">
        <f t="shared" si="120"/>
        <v>3.93</v>
      </c>
      <c r="I140" s="407">
        <f t="shared" si="97"/>
        <v>0.21430125</v>
      </c>
      <c r="J140" s="408">
        <f t="shared" si="121"/>
        <v>1.8244565878378374</v>
      </c>
      <c r="K140" s="408">
        <f t="shared" si="132"/>
        <v>4.842228293918919</v>
      </c>
      <c r="L140" s="408">
        <f t="shared" si="98"/>
        <v>3.0177717060810814</v>
      </c>
      <c r="M140" s="63">
        <f t="shared" si="122"/>
        <v>0</v>
      </c>
      <c r="N140" s="407">
        <f t="shared" si="99"/>
        <v>3.9651338968659569</v>
      </c>
      <c r="O140" s="407">
        <f t="shared" si="100"/>
        <v>7.9108943500274836E-2</v>
      </c>
      <c r="P140">
        <f t="shared" si="123"/>
        <v>0.2</v>
      </c>
      <c r="Q140" s="407">
        <f t="shared" si="133"/>
        <v>0.27910894350027482</v>
      </c>
      <c r="R140" s="9">
        <f t="shared" si="101"/>
        <v>0.52667525105648083</v>
      </c>
      <c r="S140" s="9">
        <f t="shared" si="102"/>
        <v>2.773868200754071E-3</v>
      </c>
      <c r="T140" s="9">
        <f t="shared" si="103"/>
        <v>2.773868200754071E-3</v>
      </c>
      <c r="U140" s="407">
        <f t="shared" si="104"/>
        <v>1.8355668656850082</v>
      </c>
      <c r="V140" s="409">
        <f t="shared" si="105"/>
        <v>6.7386114368013696E-3</v>
      </c>
      <c r="W140" s="407">
        <f t="shared" si="106"/>
        <v>6.7386114368013696E-3</v>
      </c>
      <c r="X140" s="407">
        <f t="shared" si="107"/>
        <v>1.8355668656850082</v>
      </c>
      <c r="Y140" s="407">
        <f t="shared" si="108"/>
        <v>2.0215834310404111E-2</v>
      </c>
      <c r="Z140" s="407">
        <f t="shared" si="124"/>
        <v>0.29252641152262093</v>
      </c>
      <c r="AA140" s="407">
        <f t="shared" si="125"/>
        <v>0.14400000000000002</v>
      </c>
      <c r="AB140" s="407">
        <f t="shared" si="126"/>
        <v>0</v>
      </c>
      <c r="AC140" s="407">
        <f t="shared" si="109"/>
        <v>0.45859642771262138</v>
      </c>
      <c r="AD140" s="407">
        <f t="shared" si="110"/>
        <v>3.514680796555318</v>
      </c>
      <c r="AE140" s="407">
        <f t="shared" si="111"/>
        <v>7.4117886610048339E-2</v>
      </c>
      <c r="AF140" s="407">
        <f t="shared" si="127"/>
        <v>5.6592000000000003E-2</v>
      </c>
      <c r="AG140" s="407">
        <f t="shared" si="112"/>
        <v>0.13267662887703058</v>
      </c>
      <c r="AH140" s="407">
        <f t="shared" si="113"/>
        <v>0</v>
      </c>
      <c r="AI140">
        <f t="shared" si="128"/>
        <v>0</v>
      </c>
      <c r="AJ140" s="408">
        <f t="shared" si="129"/>
        <v>0.45315433800000005</v>
      </c>
      <c r="AK140">
        <f t="shared" si="134"/>
        <v>4.8000000000000001E-2</v>
      </c>
      <c r="AL140" s="408">
        <f t="shared" si="130"/>
        <v>0.1215</v>
      </c>
      <c r="AM140" s="408">
        <f t="shared" si="135"/>
        <v>0.31645971316818772</v>
      </c>
      <c r="AN140" s="408">
        <f t="shared" si="114"/>
        <v>0.16949999999999998</v>
      </c>
      <c r="AO140" s="408">
        <f t="shared" si="115"/>
        <v>1.5025488177274824</v>
      </c>
      <c r="AP140">
        <f t="shared" si="131"/>
        <v>20.042999999999999</v>
      </c>
      <c r="AQ140" s="10">
        <f t="shared" si="116"/>
        <v>0.93026175241861564</v>
      </c>
      <c r="AR140" s="63">
        <f t="shared" si="117"/>
        <v>22.929821385631069</v>
      </c>
      <c r="AS140" s="63">
        <f t="shared" si="118"/>
        <v>6.6338314438515287</v>
      </c>
      <c r="AT140" s="10"/>
      <c r="AU140">
        <f t="shared" si="119"/>
        <v>93.026175241861566</v>
      </c>
    </row>
    <row r="141" spans="7:47" x14ac:dyDescent="0.25">
      <c r="G141">
        <v>132</v>
      </c>
      <c r="H141">
        <f t="shared" si="120"/>
        <v>3.96</v>
      </c>
      <c r="I141" s="407">
        <f t="shared" si="97"/>
        <v>0.21431500000000001</v>
      </c>
      <c r="J141" s="408">
        <f t="shared" si="121"/>
        <v>1.8245736486486483</v>
      </c>
      <c r="K141" s="408">
        <f t="shared" si="132"/>
        <v>4.8722868243243243</v>
      </c>
      <c r="L141" s="408">
        <f t="shared" si="98"/>
        <v>3.0477131756756757</v>
      </c>
      <c r="M141" s="63">
        <f t="shared" si="122"/>
        <v>0</v>
      </c>
      <c r="N141" s="407">
        <f t="shared" si="99"/>
        <v>3.9948745182561014</v>
      </c>
      <c r="O141" s="407">
        <f t="shared" si="100"/>
        <v>8.0307765454707469E-2</v>
      </c>
      <c r="P141">
        <f t="shared" si="123"/>
        <v>0.2</v>
      </c>
      <c r="Q141" s="407">
        <f t="shared" si="133"/>
        <v>0.28030776545470748</v>
      </c>
      <c r="R141" s="9">
        <f t="shared" si="101"/>
        <v>0.52670904360179738</v>
      </c>
      <c r="S141" s="9">
        <f t="shared" si="102"/>
        <v>2.7742241661192009E-3</v>
      </c>
      <c r="T141" s="9">
        <f t="shared" si="103"/>
        <v>2.7742241661192009E-3</v>
      </c>
      <c r="U141" s="407">
        <f t="shared" si="104"/>
        <v>1.8493939248348858</v>
      </c>
      <c r="V141" s="409">
        <f t="shared" si="105"/>
        <v>6.8405157784323664E-3</v>
      </c>
      <c r="W141" s="407">
        <f t="shared" si="106"/>
        <v>6.8405157784323664E-3</v>
      </c>
      <c r="X141" s="407">
        <f t="shared" si="107"/>
        <v>1.8493939248348858</v>
      </c>
      <c r="Y141" s="407">
        <f t="shared" si="108"/>
        <v>2.05215473352971E-2</v>
      </c>
      <c r="Z141" s="407">
        <f t="shared" si="124"/>
        <v>0.29477461741802874</v>
      </c>
      <c r="AA141" s="407">
        <f t="shared" si="125"/>
        <v>0.14400000000000002</v>
      </c>
      <c r="AB141" s="407">
        <f t="shared" si="126"/>
        <v>0</v>
      </c>
      <c r="AC141" s="407">
        <f t="shared" si="109"/>
        <v>0.46118902724394711</v>
      </c>
      <c r="AD141" s="407">
        <f t="shared" si="110"/>
        <v>3.541011794303393</v>
      </c>
      <c r="AE141" s="407">
        <f t="shared" si="111"/>
        <v>7.5232587164374407E-2</v>
      </c>
      <c r="AF141" s="407">
        <f t="shared" si="127"/>
        <v>5.7023999999999998E-2</v>
      </c>
      <c r="AG141" s="407">
        <f t="shared" si="112"/>
        <v>0.13427698820828429</v>
      </c>
      <c r="AH141" s="407">
        <f t="shared" si="113"/>
        <v>0</v>
      </c>
      <c r="AI141">
        <f t="shared" si="128"/>
        <v>0</v>
      </c>
      <c r="AJ141" s="408">
        <f t="shared" si="129"/>
        <v>0.453150936</v>
      </c>
      <c r="AK141">
        <f t="shared" si="134"/>
        <v>4.8000000000000001E-2</v>
      </c>
      <c r="AL141" s="408">
        <f t="shared" si="130"/>
        <v>0.1215</v>
      </c>
      <c r="AM141" s="408">
        <f t="shared" si="135"/>
        <v>0.31645971316818772</v>
      </c>
      <c r="AN141" s="408">
        <f t="shared" si="114"/>
        <v>0.16949999999999998</v>
      </c>
      <c r="AO141" s="408">
        <f t="shared" si="115"/>
        <v>1.5080394568514905</v>
      </c>
      <c r="AP141">
        <f t="shared" si="131"/>
        <v>20.195999999999998</v>
      </c>
      <c r="AQ141" s="10">
        <f t="shared" si="116"/>
        <v>0.93051802822928265</v>
      </c>
      <c r="AR141" s="63">
        <f t="shared" si="117"/>
        <v>23.059451362197354</v>
      </c>
      <c r="AS141" s="63">
        <f t="shared" si="118"/>
        <v>6.7138494104142143</v>
      </c>
      <c r="AT141" s="10"/>
      <c r="AU141">
        <f t="shared" si="119"/>
        <v>93.051802822928266</v>
      </c>
    </row>
    <row r="142" spans="7:47" x14ac:dyDescent="0.25">
      <c r="G142">
        <v>133</v>
      </c>
      <c r="H142">
        <f t="shared" si="120"/>
        <v>3.99</v>
      </c>
      <c r="I142" s="407">
        <f t="shared" si="97"/>
        <v>0.21432874999999996</v>
      </c>
      <c r="J142" s="408">
        <f t="shared" si="121"/>
        <v>1.8246907094594589</v>
      </c>
      <c r="K142" s="408">
        <f t="shared" si="132"/>
        <v>4.9023453547297295</v>
      </c>
      <c r="L142" s="408">
        <f t="shared" si="98"/>
        <v>3.0776546452702709</v>
      </c>
      <c r="M142" s="63">
        <f t="shared" si="122"/>
        <v>0</v>
      </c>
      <c r="N142" s="407">
        <f t="shared" si="99"/>
        <v>4.0246189900948766</v>
      </c>
      <c r="O142" s="407">
        <f t="shared" si="100"/>
        <v>8.151593370329803E-2</v>
      </c>
      <c r="P142">
        <f t="shared" si="123"/>
        <v>0.2</v>
      </c>
      <c r="Q142" s="407">
        <f t="shared" si="133"/>
        <v>0.28151593370329803</v>
      </c>
      <c r="R142" s="9">
        <f t="shared" si="101"/>
        <v>0.52674283614711392</v>
      </c>
      <c r="S142" s="9">
        <f t="shared" si="102"/>
        <v>2.774580154323053E-3</v>
      </c>
      <c r="T142" s="9">
        <f t="shared" si="103"/>
        <v>2.774580154323053E-3</v>
      </c>
      <c r="U142" s="407">
        <f t="shared" si="104"/>
        <v>1.8632236480090323</v>
      </c>
      <c r="V142" s="409">
        <f t="shared" si="105"/>
        <v>6.9432047250001724E-3</v>
      </c>
      <c r="W142" s="407">
        <f t="shared" si="106"/>
        <v>6.9432047250001724E-3</v>
      </c>
      <c r="X142" s="407">
        <f t="shared" si="107"/>
        <v>1.8632236480090323</v>
      </c>
      <c r="Y142" s="407">
        <f t="shared" si="108"/>
        <v>2.0829614175000517E-2</v>
      </c>
      <c r="Z142" s="407">
        <f t="shared" si="124"/>
        <v>0.29702282331343655</v>
      </c>
      <c r="AA142" s="407">
        <f t="shared" si="125"/>
        <v>0.14400000000000002</v>
      </c>
      <c r="AB142" s="407">
        <f t="shared" si="126"/>
        <v>0</v>
      </c>
      <c r="AC142" s="407">
        <f t="shared" si="109"/>
        <v>0.46378452804433667</v>
      </c>
      <c r="AD142" s="407">
        <f t="shared" si="110"/>
        <v>3.5673457433969333</v>
      </c>
      <c r="AE142" s="407">
        <f t="shared" si="111"/>
        <v>7.6355733917593316E-2</v>
      </c>
      <c r="AF142" s="407">
        <f t="shared" si="127"/>
        <v>5.7456E-2</v>
      </c>
      <c r="AG142" s="407">
        <f t="shared" si="112"/>
        <v>0.13588688244537134</v>
      </c>
      <c r="AH142" s="407">
        <f t="shared" si="113"/>
        <v>0</v>
      </c>
      <c r="AI142">
        <f t="shared" si="128"/>
        <v>0</v>
      </c>
      <c r="AJ142" s="408">
        <f t="shared" si="129"/>
        <v>0.45314753400000002</v>
      </c>
      <c r="AK142">
        <f t="shared" si="134"/>
        <v>4.8000000000000001E-2</v>
      </c>
      <c r="AL142" s="408">
        <f t="shared" si="130"/>
        <v>0.1215</v>
      </c>
      <c r="AM142" s="408">
        <f t="shared" si="135"/>
        <v>0.31645971316818772</v>
      </c>
      <c r="AN142" s="408">
        <f t="shared" si="114"/>
        <v>0.16949999999999998</v>
      </c>
      <c r="AO142" s="408">
        <f t="shared" si="115"/>
        <v>1.5135526630723293</v>
      </c>
      <c r="AP142">
        <f t="shared" si="131"/>
        <v>20.349</v>
      </c>
      <c r="AQ142" s="10">
        <f t="shared" si="116"/>
        <v>0.93076962757286597</v>
      </c>
      <c r="AR142" s="63">
        <f t="shared" si="117"/>
        <v>23.189226402216832</v>
      </c>
      <c r="AS142" s="63">
        <f t="shared" si="118"/>
        <v>6.7943441222685665</v>
      </c>
      <c r="AT142" s="10"/>
      <c r="AU142">
        <f t="shared" si="119"/>
        <v>93.076962757286594</v>
      </c>
    </row>
    <row r="143" spans="7:47" x14ac:dyDescent="0.25">
      <c r="G143">
        <v>134</v>
      </c>
      <c r="H143">
        <f t="shared" si="120"/>
        <v>4.0200000000000005</v>
      </c>
      <c r="I143" s="407">
        <f t="shared" si="97"/>
        <v>0.21434249999999999</v>
      </c>
      <c r="J143" s="408">
        <f t="shared" si="121"/>
        <v>1.8248077702702701</v>
      </c>
      <c r="K143" s="408">
        <f t="shared" si="132"/>
        <v>4.9324038851351357</v>
      </c>
      <c r="L143" s="408">
        <f t="shared" si="98"/>
        <v>3.1075961148648652</v>
      </c>
      <c r="M143" s="63">
        <f t="shared" si="122"/>
        <v>0</v>
      </c>
      <c r="N143" s="407">
        <f t="shared" si="99"/>
        <v>4.0543672276369547</v>
      </c>
      <c r="O143" s="407">
        <f t="shared" si="100"/>
        <v>8.2733453565981344E-2</v>
      </c>
      <c r="P143">
        <f t="shared" si="123"/>
        <v>0.2</v>
      </c>
      <c r="Q143" s="407">
        <f t="shared" si="133"/>
        <v>0.28273345356598134</v>
      </c>
      <c r="R143" s="9">
        <f t="shared" si="101"/>
        <v>0.52677662869243058</v>
      </c>
      <c r="S143" s="9">
        <f t="shared" si="102"/>
        <v>2.7749361653656292E-3</v>
      </c>
      <c r="T143" s="9">
        <f t="shared" si="103"/>
        <v>2.7749361653656292E-3</v>
      </c>
      <c r="U143" s="407">
        <f t="shared" si="104"/>
        <v>1.8770559961020046</v>
      </c>
      <c r="V143" s="409">
        <f t="shared" si="105"/>
        <v>7.0466784250049772E-3</v>
      </c>
      <c r="W143" s="407">
        <f t="shared" si="106"/>
        <v>7.0466784250049772E-3</v>
      </c>
      <c r="X143" s="407">
        <f t="shared" si="107"/>
        <v>1.8770559961020046</v>
      </c>
      <c r="Y143" s="407">
        <f t="shared" si="108"/>
        <v>2.1140035275014932E-2</v>
      </c>
      <c r="Z143" s="407">
        <f t="shared" si="124"/>
        <v>0.29927102920884435</v>
      </c>
      <c r="AA143" s="407">
        <f t="shared" si="125"/>
        <v>0.14400000000000002</v>
      </c>
      <c r="AB143" s="407">
        <f t="shared" si="126"/>
        <v>0</v>
      </c>
      <c r="AC143" s="407">
        <f t="shared" si="109"/>
        <v>0.46638293482262239</v>
      </c>
      <c r="AD143" s="407">
        <f t="shared" si="110"/>
        <v>3.5936825686242906</v>
      </c>
      <c r="AE143" s="407">
        <f t="shared" si="111"/>
        <v>7.7487326424204486E-2</v>
      </c>
      <c r="AF143" s="407">
        <f t="shared" si="127"/>
        <v>5.7888000000000002E-2</v>
      </c>
      <c r="AG143" s="407">
        <f t="shared" si="112"/>
        <v>0.13750632593685694</v>
      </c>
      <c r="AH143" s="407">
        <f t="shared" si="113"/>
        <v>0</v>
      </c>
      <c r="AI143">
        <f t="shared" si="128"/>
        <v>0</v>
      </c>
      <c r="AJ143" s="408">
        <f t="shared" si="129"/>
        <v>0.45314413199999998</v>
      </c>
      <c r="AK143">
        <f t="shared" si="134"/>
        <v>4.8000000000000001E-2</v>
      </c>
      <c r="AL143" s="408">
        <f t="shared" si="130"/>
        <v>0.1215</v>
      </c>
      <c r="AM143" s="408">
        <f t="shared" si="135"/>
        <v>0.31645971316818772</v>
      </c>
      <c r="AN143" s="408">
        <f t="shared" si="114"/>
        <v>0.16949999999999998</v>
      </c>
      <c r="AO143" s="408">
        <f t="shared" si="115"/>
        <v>1.5190884609158313</v>
      </c>
      <c r="AP143">
        <f t="shared" si="131"/>
        <v>20.502000000000002</v>
      </c>
      <c r="AQ143" s="10">
        <f t="shared" si="116"/>
        <v>0.93101664962601693</v>
      </c>
      <c r="AR143" s="63">
        <f t="shared" si="117"/>
        <v>23.319146741131121</v>
      </c>
      <c r="AS143" s="63">
        <f t="shared" si="118"/>
        <v>6.875316296842847</v>
      </c>
      <c r="AT143" s="10"/>
      <c r="AU143">
        <f t="shared" si="119"/>
        <v>93.101664962601689</v>
      </c>
    </row>
    <row r="144" spans="7:47" x14ac:dyDescent="0.25">
      <c r="G144">
        <v>135</v>
      </c>
      <c r="H144">
        <f t="shared" si="120"/>
        <v>4.0500000000000007</v>
      </c>
      <c r="I144" s="407">
        <f t="shared" si="97"/>
        <v>0.21435625</v>
      </c>
      <c r="J144" s="408">
        <f t="shared" si="121"/>
        <v>1.8249248310810806</v>
      </c>
      <c r="K144" s="408">
        <f t="shared" si="132"/>
        <v>4.962462415540541</v>
      </c>
      <c r="L144" s="408">
        <f t="shared" si="98"/>
        <v>3.1375375844594604</v>
      </c>
      <c r="M144" s="63">
        <f t="shared" si="122"/>
        <v>0</v>
      </c>
      <c r="N144" s="407">
        <f t="shared" si="99"/>
        <v>4.0841191485955326</v>
      </c>
      <c r="O144" s="407">
        <f t="shared" si="100"/>
        <v>8.396033040541423E-2</v>
      </c>
      <c r="P144">
        <f t="shared" si="123"/>
        <v>0.2</v>
      </c>
      <c r="Q144" s="407">
        <f t="shared" si="133"/>
        <v>0.28396033040541424</v>
      </c>
      <c r="R144" s="9">
        <f t="shared" si="101"/>
        <v>0.52681042123774713</v>
      </c>
      <c r="S144" s="9">
        <f t="shared" si="102"/>
        <v>2.7752921992469262E-3</v>
      </c>
      <c r="T144" s="9">
        <f t="shared" si="103"/>
        <v>2.7752921992469262E-3</v>
      </c>
      <c r="U144" s="407">
        <f t="shared" si="104"/>
        <v>1.8908909311415831</v>
      </c>
      <c r="V144" s="409">
        <f t="shared" si="105"/>
        <v>7.1509370269469668E-3</v>
      </c>
      <c r="W144" s="407">
        <f t="shared" si="106"/>
        <v>7.1509370269469668E-3</v>
      </c>
      <c r="X144" s="407">
        <f t="shared" si="107"/>
        <v>1.8908909311415831</v>
      </c>
      <c r="Y144" s="407">
        <f t="shared" si="108"/>
        <v>2.1452811080840899E-2</v>
      </c>
      <c r="Z144" s="407">
        <f t="shared" si="124"/>
        <v>0.30151923510425216</v>
      </c>
      <c r="AA144" s="407">
        <f t="shared" si="125"/>
        <v>0.14400000000000002</v>
      </c>
      <c r="AB144" s="407">
        <f t="shared" si="126"/>
        <v>0</v>
      </c>
      <c r="AC144" s="407">
        <f t="shared" si="109"/>
        <v>0.46898425229798069</v>
      </c>
      <c r="AD144" s="407">
        <f t="shared" si="110"/>
        <v>3.620022196955595</v>
      </c>
      <c r="AE144" s="407">
        <f t="shared" si="111"/>
        <v>7.8627364238707281E-2</v>
      </c>
      <c r="AF144" s="407">
        <f t="shared" si="127"/>
        <v>5.8320000000000011E-2</v>
      </c>
      <c r="AG144" s="407">
        <f t="shared" si="112"/>
        <v>0.13913533314219637</v>
      </c>
      <c r="AH144" s="407">
        <f t="shared" si="113"/>
        <v>0</v>
      </c>
      <c r="AI144">
        <f t="shared" si="128"/>
        <v>0</v>
      </c>
      <c r="AJ144" s="408">
        <f t="shared" si="129"/>
        <v>0.45314072999999999</v>
      </c>
      <c r="AK144">
        <f t="shared" si="134"/>
        <v>4.8000000000000001E-2</v>
      </c>
      <c r="AL144" s="408">
        <f t="shared" si="130"/>
        <v>0.1215</v>
      </c>
      <c r="AM144" s="408">
        <f t="shared" si="135"/>
        <v>0.31645971316818772</v>
      </c>
      <c r="AN144" s="408">
        <f t="shared" si="114"/>
        <v>0.16949999999999998</v>
      </c>
      <c r="AO144" s="408">
        <f t="shared" si="115"/>
        <v>1.524646875071785</v>
      </c>
      <c r="AP144">
        <f t="shared" si="131"/>
        <v>20.655000000000001</v>
      </c>
      <c r="AQ144" s="10">
        <f t="shared" si="116"/>
        <v>0.93125919074999475</v>
      </c>
      <c r="AR144" s="63">
        <f t="shared" si="117"/>
        <v>23.449212614899036</v>
      </c>
      <c r="AS144" s="63">
        <f t="shared" si="118"/>
        <v>6.9567666571098181</v>
      </c>
      <c r="AT144" s="10"/>
      <c r="AU144">
        <f t="shared" si="119"/>
        <v>93.125919074999473</v>
      </c>
    </row>
    <row r="145" spans="7:47" x14ac:dyDescent="0.25">
      <c r="G145">
        <v>136</v>
      </c>
      <c r="H145">
        <f t="shared" si="120"/>
        <v>4.08</v>
      </c>
      <c r="I145" s="407">
        <f t="shared" si="97"/>
        <v>0.21436999999999998</v>
      </c>
      <c r="J145" s="408">
        <f t="shared" si="121"/>
        <v>1.8250418918918916</v>
      </c>
      <c r="K145" s="408">
        <f t="shared" si="132"/>
        <v>4.9925209459459463</v>
      </c>
      <c r="L145" s="408">
        <f t="shared" si="98"/>
        <v>3.1674790540540543</v>
      </c>
      <c r="M145" s="63">
        <f t="shared" si="122"/>
        <v>0</v>
      </c>
      <c r="N145" s="407">
        <f t="shared" si="99"/>
        <v>4.1138746730541875</v>
      </c>
      <c r="O145" s="407">
        <f t="shared" si="100"/>
        <v>8.5196569627035271E-2</v>
      </c>
      <c r="P145">
        <f t="shared" si="123"/>
        <v>0.2</v>
      </c>
      <c r="Q145" s="407">
        <f t="shared" si="133"/>
        <v>0.28519656962703527</v>
      </c>
      <c r="R145" s="9">
        <f t="shared" si="101"/>
        <v>0.52684421378306379</v>
      </c>
      <c r="S145" s="9">
        <f t="shared" si="102"/>
        <v>2.7756482559669459E-3</v>
      </c>
      <c r="T145" s="9">
        <f t="shared" si="103"/>
        <v>2.7756482559669459E-3</v>
      </c>
      <c r="U145" s="407">
        <f t="shared" si="104"/>
        <v>1.9047284162481442</v>
      </c>
      <c r="V145" s="409">
        <f t="shared" si="105"/>
        <v>7.2559806793263274E-3</v>
      </c>
      <c r="W145" s="407">
        <f t="shared" si="106"/>
        <v>7.2559806793263274E-3</v>
      </c>
      <c r="X145" s="407">
        <f t="shared" si="107"/>
        <v>1.9047284162481442</v>
      </c>
      <c r="Y145" s="407">
        <f t="shared" si="108"/>
        <v>2.176794203797898E-2</v>
      </c>
      <c r="Z145" s="407">
        <f t="shared" si="124"/>
        <v>0.30376744099965997</v>
      </c>
      <c r="AA145" s="407">
        <f t="shared" si="125"/>
        <v>0.14400000000000002</v>
      </c>
      <c r="AB145" s="407">
        <f t="shared" si="126"/>
        <v>0</v>
      </c>
      <c r="AC145" s="407">
        <f t="shared" si="109"/>
        <v>0.47158848519996122</v>
      </c>
      <c r="AD145" s="407">
        <f t="shared" si="110"/>
        <v>3.6463645574645351</v>
      </c>
      <c r="AE145" s="407">
        <f t="shared" si="111"/>
        <v>7.9775846915601203E-2</v>
      </c>
      <c r="AF145" s="407">
        <f t="shared" si="127"/>
        <v>5.8751999999999999E-2</v>
      </c>
      <c r="AG145" s="407">
        <f t="shared" si="112"/>
        <v>0.14077391863210198</v>
      </c>
      <c r="AH145" s="407">
        <f t="shared" si="113"/>
        <v>0</v>
      </c>
      <c r="AI145">
        <f t="shared" si="128"/>
        <v>0</v>
      </c>
      <c r="AJ145" s="408">
        <f t="shared" si="129"/>
        <v>0.45313732800000001</v>
      </c>
      <c r="AK145">
        <f t="shared" si="134"/>
        <v>4.8000000000000001E-2</v>
      </c>
      <c r="AL145" s="408">
        <f t="shared" si="130"/>
        <v>0.1215</v>
      </c>
      <c r="AM145" s="408">
        <f t="shared" si="135"/>
        <v>0.31645971316818772</v>
      </c>
      <c r="AN145" s="408">
        <f t="shared" si="114"/>
        <v>0.16949999999999998</v>
      </c>
      <c r="AO145" s="408">
        <f t="shared" si="115"/>
        <v>1.5302279303943918</v>
      </c>
      <c r="AP145">
        <f t="shared" si="131"/>
        <v>20.808</v>
      </c>
      <c r="AQ145" s="10">
        <f t="shared" si="116"/>
        <v>0.9314973445896173</v>
      </c>
      <c r="AR145" s="63">
        <f t="shared" si="117"/>
        <v>23.57942425999806</v>
      </c>
      <c r="AS145" s="63">
        <f t="shared" si="118"/>
        <v>7.0386959316050994</v>
      </c>
      <c r="AT145" s="10"/>
      <c r="AU145">
        <f t="shared" si="119"/>
        <v>93.149734458961731</v>
      </c>
    </row>
    <row r="146" spans="7:47" x14ac:dyDescent="0.25">
      <c r="G146">
        <v>137</v>
      </c>
      <c r="H146">
        <f t="shared" si="120"/>
        <v>4.1100000000000003</v>
      </c>
      <c r="I146" s="407">
        <f t="shared" si="97"/>
        <v>0.21438374999999998</v>
      </c>
      <c r="J146" s="408">
        <f t="shared" si="121"/>
        <v>1.8251589527027023</v>
      </c>
      <c r="K146" s="408">
        <f t="shared" si="132"/>
        <v>5.0225794763513516</v>
      </c>
      <c r="L146" s="408">
        <f t="shared" si="98"/>
        <v>3.197420523648649</v>
      </c>
      <c r="M146" s="63">
        <f t="shared" si="122"/>
        <v>0</v>
      </c>
      <c r="N146" s="407">
        <f t="shared" si="99"/>
        <v>4.1436337233824823</v>
      </c>
      <c r="O146" s="407">
        <f t="shared" si="100"/>
        <v>8.644217667912478E-2</v>
      </c>
      <c r="P146">
        <f t="shared" si="123"/>
        <v>0.2</v>
      </c>
      <c r="Q146" s="407">
        <f t="shared" si="133"/>
        <v>0.2864421766791248</v>
      </c>
      <c r="R146" s="9">
        <f t="shared" si="101"/>
        <v>0.52687800632838033</v>
      </c>
      <c r="S146" s="9">
        <f t="shared" si="102"/>
        <v>2.7760043355256883E-3</v>
      </c>
      <c r="T146" s="9">
        <f t="shared" si="103"/>
        <v>2.7760043355256883E-3</v>
      </c>
      <c r="U146" s="407">
        <f t="shared" si="104"/>
        <v>1.9185684155957603</v>
      </c>
      <c r="V146" s="409">
        <f t="shared" si="105"/>
        <v>7.361809530643252E-3</v>
      </c>
      <c r="W146" s="407">
        <f t="shared" si="106"/>
        <v>7.361809530643252E-3</v>
      </c>
      <c r="X146" s="407">
        <f t="shared" si="107"/>
        <v>1.9185684155957603</v>
      </c>
      <c r="Y146" s="407">
        <f t="shared" si="108"/>
        <v>2.2085428591929756E-2</v>
      </c>
      <c r="Z146" s="407">
        <f t="shared" si="124"/>
        <v>0.30601564689506783</v>
      </c>
      <c r="AA146" s="407">
        <f t="shared" si="125"/>
        <v>0.14400000000000002</v>
      </c>
      <c r="AB146" s="407">
        <f t="shared" si="126"/>
        <v>0</v>
      </c>
      <c r="AC146" s="407">
        <f t="shared" si="109"/>
        <v>0.47419563826851435</v>
      </c>
      <c r="AD146" s="407">
        <f t="shared" si="110"/>
        <v>3.6727095812534571</v>
      </c>
      <c r="AE146" s="407">
        <f t="shared" si="111"/>
        <v>8.0932774009385672E-2</v>
      </c>
      <c r="AF146" s="407">
        <f t="shared" si="127"/>
        <v>5.9184E-2</v>
      </c>
      <c r="AG146" s="407">
        <f t="shared" si="112"/>
        <v>0.14242209708891362</v>
      </c>
      <c r="AH146" s="407">
        <f t="shared" si="113"/>
        <v>0</v>
      </c>
      <c r="AI146">
        <f t="shared" si="128"/>
        <v>0</v>
      </c>
      <c r="AJ146" s="408">
        <f t="shared" si="129"/>
        <v>0.45313392599999996</v>
      </c>
      <c r="AK146">
        <f t="shared" si="134"/>
        <v>4.8000000000000001E-2</v>
      </c>
      <c r="AL146" s="408">
        <f t="shared" si="130"/>
        <v>0.1215</v>
      </c>
      <c r="AM146" s="408">
        <f t="shared" si="135"/>
        <v>0.31645971316818772</v>
      </c>
      <c r="AN146" s="408">
        <f t="shared" si="114"/>
        <v>0.16949999999999998</v>
      </c>
      <c r="AO146" s="408">
        <f t="shared" si="115"/>
        <v>1.5358316519027218</v>
      </c>
      <c r="AP146">
        <f t="shared" si="131"/>
        <v>20.960999999999999</v>
      </c>
      <c r="AQ146" s="10">
        <f t="shared" si="116"/>
        <v>0.93173120216806948</v>
      </c>
      <c r="AR146" s="63">
        <f t="shared" si="117"/>
        <v>23.709781913425719</v>
      </c>
      <c r="AS146" s="63">
        <f t="shared" si="118"/>
        <v>7.1211048544456812</v>
      </c>
      <c r="AT146" s="10"/>
      <c r="AU146">
        <f t="shared" si="119"/>
        <v>93.17312021680695</v>
      </c>
    </row>
    <row r="147" spans="7:47" x14ac:dyDescent="0.25">
      <c r="G147">
        <v>138</v>
      </c>
      <c r="H147">
        <f t="shared" si="120"/>
        <v>4.1399999999999997</v>
      </c>
      <c r="I147" s="407">
        <f t="shared" si="97"/>
        <v>0.21439749999999999</v>
      </c>
      <c r="J147" s="408">
        <f t="shared" si="121"/>
        <v>1.8252760135135129</v>
      </c>
      <c r="K147" s="408">
        <f t="shared" si="132"/>
        <v>5.052638006756756</v>
      </c>
      <c r="L147" s="408">
        <f t="shared" si="98"/>
        <v>3.2273619932432434</v>
      </c>
      <c r="M147" s="63">
        <f t="shared" si="122"/>
        <v>0</v>
      </c>
      <c r="N147" s="407">
        <f t="shared" si="99"/>
        <v>4.1733962241551321</v>
      </c>
      <c r="O147" s="407">
        <f t="shared" si="100"/>
        <v>8.7697157052865279E-2</v>
      </c>
      <c r="P147">
        <f t="shared" si="123"/>
        <v>0.2</v>
      </c>
      <c r="Q147" s="407">
        <f t="shared" si="133"/>
        <v>0.2876971570528653</v>
      </c>
      <c r="R147" s="9">
        <f t="shared" si="101"/>
        <v>0.52691179887369688</v>
      </c>
      <c r="S147" s="9">
        <f t="shared" si="102"/>
        <v>2.776360437923152E-3</v>
      </c>
      <c r="T147" s="9">
        <f t="shared" si="103"/>
        <v>2.776360437923152E-3</v>
      </c>
      <c r="U147" s="407">
        <f t="shared" si="104"/>
        <v>1.9324108943749418</v>
      </c>
      <c r="V147" s="409">
        <f t="shared" si="105"/>
        <v>7.4684237293979258E-3</v>
      </c>
      <c r="W147" s="407">
        <f t="shared" si="106"/>
        <v>7.4684237293979258E-3</v>
      </c>
      <c r="X147" s="407">
        <f t="shared" si="107"/>
        <v>1.9324108943749418</v>
      </c>
      <c r="Y147" s="407">
        <f t="shared" si="108"/>
        <v>2.2405271188193777E-2</v>
      </c>
      <c r="Z147" s="407">
        <f t="shared" si="124"/>
        <v>0.30826385279047558</v>
      </c>
      <c r="AA147" s="407">
        <f t="shared" si="125"/>
        <v>0.14400000000000002</v>
      </c>
      <c r="AB147" s="407">
        <f t="shared" si="126"/>
        <v>0</v>
      </c>
      <c r="AC147" s="407">
        <f t="shared" si="109"/>
        <v>0.47680571625401985</v>
      </c>
      <c r="AD147" s="407">
        <f t="shared" si="110"/>
        <v>3.6990572013816374</v>
      </c>
      <c r="AE147" s="407">
        <f t="shared" si="111"/>
        <v>8.2098145074560105E-2</v>
      </c>
      <c r="AF147" s="407">
        <f t="shared" si="127"/>
        <v>5.9615999999999995E-2</v>
      </c>
      <c r="AG147" s="407">
        <f t="shared" si="112"/>
        <v>0.14407988330697238</v>
      </c>
      <c r="AH147" s="407">
        <f t="shared" si="113"/>
        <v>0</v>
      </c>
      <c r="AI147">
        <f t="shared" si="128"/>
        <v>0</v>
      </c>
      <c r="AJ147" s="408">
        <f t="shared" si="129"/>
        <v>0.45313052399999998</v>
      </c>
      <c r="AK147">
        <f t="shared" si="134"/>
        <v>4.8000000000000001E-2</v>
      </c>
      <c r="AL147" s="408">
        <f t="shared" si="130"/>
        <v>0.1215</v>
      </c>
      <c r="AM147" s="408">
        <f t="shared" si="135"/>
        <v>0.31645971316818772</v>
      </c>
      <c r="AN147" s="408">
        <f t="shared" si="114"/>
        <v>0.16949999999999998</v>
      </c>
      <c r="AO147" s="408">
        <f t="shared" si="115"/>
        <v>1.5414580647811786</v>
      </c>
      <c r="AP147">
        <f t="shared" si="131"/>
        <v>21.113999999999997</v>
      </c>
      <c r="AQ147" s="10">
        <f t="shared" si="116"/>
        <v>0.93196085197776524</v>
      </c>
      <c r="AR147" s="63">
        <f t="shared" si="117"/>
        <v>23.840285812700994</v>
      </c>
      <c r="AS147" s="63">
        <f t="shared" si="118"/>
        <v>7.203994165348619</v>
      </c>
      <c r="AT147" s="10"/>
      <c r="AU147">
        <f t="shared" si="119"/>
        <v>93.196085197776526</v>
      </c>
    </row>
    <row r="148" spans="7:47" x14ac:dyDescent="0.25">
      <c r="G148">
        <v>139</v>
      </c>
      <c r="H148">
        <f t="shared" si="120"/>
        <v>4.17</v>
      </c>
      <c r="I148" s="407">
        <f t="shared" si="97"/>
        <v>0.21441124999999997</v>
      </c>
      <c r="J148" s="408">
        <f t="shared" si="121"/>
        <v>1.8253930743243238</v>
      </c>
      <c r="K148" s="408">
        <f t="shared" si="132"/>
        <v>5.0826965371621622</v>
      </c>
      <c r="L148" s="408">
        <f t="shared" si="98"/>
        <v>3.2573034628378381</v>
      </c>
      <c r="M148" s="63">
        <f t="shared" si="122"/>
        <v>0</v>
      </c>
      <c r="N148" s="407">
        <f t="shared" si="99"/>
        <v>4.2031621020745717</v>
      </c>
      <c r="O148" s="407">
        <f t="shared" si="100"/>
        <v>8.8961516282402717E-2</v>
      </c>
      <c r="P148">
        <f t="shared" si="123"/>
        <v>0.2</v>
      </c>
      <c r="Q148" s="407">
        <f t="shared" si="133"/>
        <v>0.28896151628240274</v>
      </c>
      <c r="R148" s="9">
        <f t="shared" si="101"/>
        <v>0.52694559141901354</v>
      </c>
      <c r="S148" s="9">
        <f t="shared" si="102"/>
        <v>2.7767165631593393E-3</v>
      </c>
      <c r="T148" s="9">
        <f t="shared" si="103"/>
        <v>2.7767165631593393E-3</v>
      </c>
      <c r="U148" s="407">
        <f t="shared" si="104"/>
        <v>1.9462558187569456</v>
      </c>
      <c r="V148" s="409">
        <f t="shared" si="105"/>
        <v>7.5758234240905376E-3</v>
      </c>
      <c r="W148" s="407">
        <f t="shared" si="106"/>
        <v>7.5758234240905376E-3</v>
      </c>
      <c r="X148" s="407">
        <f t="shared" si="107"/>
        <v>1.9462558187569456</v>
      </c>
      <c r="Y148" s="407">
        <f t="shared" si="108"/>
        <v>2.2727470272271615E-2</v>
      </c>
      <c r="Z148" s="407">
        <f t="shared" si="124"/>
        <v>0.31051205868588344</v>
      </c>
      <c r="AA148" s="407">
        <f t="shared" si="125"/>
        <v>0.14400000000000002</v>
      </c>
      <c r="AB148" s="407">
        <f t="shared" si="126"/>
        <v>0</v>
      </c>
      <c r="AC148" s="407">
        <f t="shared" si="109"/>
        <v>0.47941872391731533</v>
      </c>
      <c r="AD148" s="407">
        <f t="shared" si="110"/>
        <v>3.7254073527965588</v>
      </c>
      <c r="AE148" s="407">
        <f t="shared" si="111"/>
        <v>8.3271959665623993E-2</v>
      </c>
      <c r="AF148" s="407">
        <f t="shared" si="127"/>
        <v>6.0047999999999997E-2</v>
      </c>
      <c r="AG148" s="407">
        <f t="shared" si="112"/>
        <v>0.14574729219299784</v>
      </c>
      <c r="AH148" s="407">
        <f t="shared" si="113"/>
        <v>0</v>
      </c>
      <c r="AI148">
        <f t="shared" si="128"/>
        <v>0</v>
      </c>
      <c r="AJ148" s="408">
        <f t="shared" si="129"/>
        <v>0.45312712199999999</v>
      </c>
      <c r="AK148">
        <f t="shared" si="134"/>
        <v>4.8000000000000001E-2</v>
      </c>
      <c r="AL148" s="408">
        <f t="shared" si="130"/>
        <v>0.1215</v>
      </c>
      <c r="AM148" s="408">
        <f t="shared" si="135"/>
        <v>0.31645971316818772</v>
      </c>
      <c r="AN148" s="408">
        <f t="shared" si="114"/>
        <v>0.16949999999999998</v>
      </c>
      <c r="AO148" s="408">
        <f t="shared" si="115"/>
        <v>1.5471071943799657</v>
      </c>
      <c r="AP148">
        <f t="shared" si="131"/>
        <v>21.266999999999999</v>
      </c>
      <c r="AQ148" s="10">
        <f t="shared" si="116"/>
        <v>0.93218638006745758</v>
      </c>
      <c r="AR148" s="63">
        <f t="shared" si="117"/>
        <v>23.970936195865768</v>
      </c>
      <c r="AS148" s="63">
        <f t="shared" si="118"/>
        <v>7.2873646096498916</v>
      </c>
      <c r="AT148" s="10"/>
      <c r="AU148">
        <f t="shared" si="119"/>
        <v>93.218638006745763</v>
      </c>
    </row>
    <row r="149" spans="7:47" x14ac:dyDescent="0.25">
      <c r="G149">
        <v>140</v>
      </c>
      <c r="H149">
        <f t="shared" si="120"/>
        <v>4.1999999999999993</v>
      </c>
      <c r="I149" s="407">
        <f t="shared" si="97"/>
        <v>0.21442499999999998</v>
      </c>
      <c r="J149" s="408">
        <f t="shared" si="121"/>
        <v>1.8255101351351348</v>
      </c>
      <c r="K149" s="408">
        <f t="shared" si="132"/>
        <v>5.1127550675675666</v>
      </c>
      <c r="L149" s="408">
        <f t="shared" si="98"/>
        <v>3.287244932432432</v>
      </c>
      <c r="M149" s="63">
        <f t="shared" si="122"/>
        <v>0</v>
      </c>
      <c r="N149" s="407">
        <f t="shared" si="99"/>
        <v>4.2329312858967389</v>
      </c>
      <c r="O149" s="407">
        <f t="shared" si="100"/>
        <v>9.0235259944907734E-2</v>
      </c>
      <c r="P149">
        <f t="shared" si="123"/>
        <v>0.2</v>
      </c>
      <c r="Q149" s="407">
        <f t="shared" si="133"/>
        <v>0.29023525994490773</v>
      </c>
      <c r="R149" s="9">
        <f t="shared" si="101"/>
        <v>0.52697938396433008</v>
      </c>
      <c r="S149" s="9">
        <f t="shared" si="102"/>
        <v>2.7770727112342488E-3</v>
      </c>
      <c r="T149" s="9">
        <f t="shared" si="103"/>
        <v>2.7770727112342488E-3</v>
      </c>
      <c r="U149" s="407">
        <f t="shared" si="104"/>
        <v>1.9601031558595683</v>
      </c>
      <c r="V149" s="409">
        <f t="shared" si="105"/>
        <v>7.6840087632212787E-3</v>
      </c>
      <c r="W149" s="407">
        <f t="shared" si="106"/>
        <v>7.6840087632212787E-3</v>
      </c>
      <c r="X149" s="407">
        <f t="shared" si="107"/>
        <v>1.9601031558595683</v>
      </c>
      <c r="Y149" s="407">
        <f t="shared" si="108"/>
        <v>2.3052026289663838E-2</v>
      </c>
      <c r="Z149" s="407">
        <f t="shared" si="124"/>
        <v>0.31276026458129114</v>
      </c>
      <c r="AA149" s="407">
        <f t="shared" si="125"/>
        <v>0.14400000000000002</v>
      </c>
      <c r="AB149" s="407">
        <f t="shared" si="126"/>
        <v>0</v>
      </c>
      <c r="AC149" s="407">
        <f t="shared" si="109"/>
        <v>0.48203466602972433</v>
      </c>
      <c r="AD149" s="407">
        <f t="shared" si="110"/>
        <v>3.7517599722680526</v>
      </c>
      <c r="AE149" s="407">
        <f t="shared" si="111"/>
        <v>8.445421733707667E-2</v>
      </c>
      <c r="AF149" s="407">
        <f t="shared" si="127"/>
        <v>6.0479999999999985E-2</v>
      </c>
      <c r="AG149" s="407">
        <f t="shared" si="112"/>
        <v>0.14742433876646827</v>
      </c>
      <c r="AH149" s="407">
        <f t="shared" si="113"/>
        <v>0</v>
      </c>
      <c r="AI149">
        <f t="shared" si="128"/>
        <v>0</v>
      </c>
      <c r="AJ149" s="408">
        <f t="shared" si="129"/>
        <v>0.45312371999999995</v>
      </c>
      <c r="AK149">
        <f t="shared" si="134"/>
        <v>4.8000000000000001E-2</v>
      </c>
      <c r="AL149" s="408">
        <f t="shared" si="130"/>
        <v>0.1215</v>
      </c>
      <c r="AM149" s="408">
        <f t="shared" si="135"/>
        <v>0.31645971316818772</v>
      </c>
      <c r="AN149" s="408">
        <f t="shared" si="114"/>
        <v>0.16949999999999998</v>
      </c>
      <c r="AO149" s="408">
        <f t="shared" si="115"/>
        <v>1.5527790662155558</v>
      </c>
      <c r="AP149">
        <f t="shared" si="131"/>
        <v>21.419999999999995</v>
      </c>
      <c r="AQ149" s="10">
        <f t="shared" si="116"/>
        <v>0.93240787012577331</v>
      </c>
      <c r="AR149" s="63">
        <f t="shared" si="117"/>
        <v>24.101733301486217</v>
      </c>
      <c r="AS149" s="63">
        <f t="shared" si="118"/>
        <v>7.3712169383234132</v>
      </c>
      <c r="AT149" s="10"/>
      <c r="AU149">
        <f t="shared" si="119"/>
        <v>93.240787012577329</v>
      </c>
    </row>
    <row r="150" spans="7:47" x14ac:dyDescent="0.25">
      <c r="G150">
        <v>141</v>
      </c>
      <c r="H150">
        <f t="shared" si="120"/>
        <v>4.2299999999999995</v>
      </c>
      <c r="I150" s="407">
        <f t="shared" si="97"/>
        <v>0.21443874999999998</v>
      </c>
      <c r="J150" s="408">
        <f t="shared" si="121"/>
        <v>1.8256271959459454</v>
      </c>
      <c r="K150" s="408">
        <f t="shared" si="132"/>
        <v>5.1428135979729719</v>
      </c>
      <c r="L150" s="408">
        <f t="shared" si="98"/>
        <v>3.3171864020270267</v>
      </c>
      <c r="M150" s="63">
        <f t="shared" si="122"/>
        <v>0</v>
      </c>
      <c r="N150" s="407">
        <f t="shared" si="99"/>
        <v>4.2627037063599422</v>
      </c>
      <c r="O150" s="407">
        <f t="shared" si="100"/>
        <v>9.1518393660638159E-2</v>
      </c>
      <c r="P150">
        <f t="shared" si="123"/>
        <v>0.2</v>
      </c>
      <c r="Q150" s="407">
        <f t="shared" si="133"/>
        <v>0.29151839366063814</v>
      </c>
      <c r="R150" s="9">
        <f t="shared" si="101"/>
        <v>0.52701317650964663</v>
      </c>
      <c r="S150" s="9">
        <f t="shared" si="102"/>
        <v>2.7774288821478792E-3</v>
      </c>
      <c r="T150" s="9">
        <f t="shared" si="103"/>
        <v>2.7774288821478792E-3</v>
      </c>
      <c r="U150" s="407">
        <f t="shared" si="104"/>
        <v>1.9739528737143572</v>
      </c>
      <c r="V150" s="409">
        <f t="shared" si="105"/>
        <v>7.7929798952903386E-3</v>
      </c>
      <c r="W150" s="407">
        <f t="shared" si="106"/>
        <v>7.7929798952903386E-3</v>
      </c>
      <c r="X150" s="407">
        <f t="shared" si="107"/>
        <v>1.9739528737143572</v>
      </c>
      <c r="Y150" s="407">
        <f t="shared" si="108"/>
        <v>2.3378939685871018E-2</v>
      </c>
      <c r="Z150" s="407">
        <f t="shared" si="124"/>
        <v>0.31500847047669894</v>
      </c>
      <c r="AA150" s="407">
        <f t="shared" si="125"/>
        <v>0.14400000000000002</v>
      </c>
      <c r="AB150" s="407">
        <f t="shared" si="126"/>
        <v>0</v>
      </c>
      <c r="AC150" s="407">
        <f t="shared" si="109"/>
        <v>0.48465354737308569</v>
      </c>
      <c r="AD150" s="407">
        <f t="shared" si="110"/>
        <v>3.7781149983251727</v>
      </c>
      <c r="AE150" s="407">
        <f t="shared" si="111"/>
        <v>8.5644917643417723E-2</v>
      </c>
      <c r="AF150" s="407">
        <f t="shared" si="127"/>
        <v>6.0911999999999994E-2</v>
      </c>
      <c r="AG150" s="407">
        <f t="shared" si="112"/>
        <v>0.14911103816000534</v>
      </c>
      <c r="AH150" s="407">
        <f t="shared" si="113"/>
        <v>0</v>
      </c>
      <c r="AI150">
        <f t="shared" si="128"/>
        <v>0</v>
      </c>
      <c r="AJ150" s="408">
        <f t="shared" si="129"/>
        <v>0.45312031800000002</v>
      </c>
      <c r="AK150">
        <f t="shared" si="134"/>
        <v>4.8000000000000001E-2</v>
      </c>
      <c r="AL150" s="408">
        <f t="shared" si="130"/>
        <v>0.1215</v>
      </c>
      <c r="AM150" s="408">
        <f t="shared" si="135"/>
        <v>0.31645971316818772</v>
      </c>
      <c r="AN150" s="408">
        <f t="shared" si="114"/>
        <v>0.16949999999999998</v>
      </c>
      <c r="AO150" s="408">
        <f t="shared" si="115"/>
        <v>1.5584737059711675</v>
      </c>
      <c r="AP150">
        <f t="shared" si="131"/>
        <v>21.572999999999997</v>
      </c>
      <c r="AQ150" s="10">
        <f t="shared" si="116"/>
        <v>0.93262540356134493</v>
      </c>
      <c r="AR150" s="63">
        <f t="shared" si="117"/>
        <v>24.232677368654283</v>
      </c>
      <c r="AS150" s="63">
        <f t="shared" si="118"/>
        <v>7.4555519080002668</v>
      </c>
      <c r="AT150" s="10"/>
      <c r="AU150">
        <f t="shared" si="119"/>
        <v>93.262540356134494</v>
      </c>
    </row>
    <row r="151" spans="7:47" x14ac:dyDescent="0.25">
      <c r="G151">
        <v>142</v>
      </c>
      <c r="H151">
        <f t="shared" si="120"/>
        <v>4.26</v>
      </c>
      <c r="I151" s="407">
        <f t="shared" si="97"/>
        <v>0.21445249999999996</v>
      </c>
      <c r="J151" s="408">
        <f t="shared" si="121"/>
        <v>1.8257442567567563</v>
      </c>
      <c r="K151" s="408">
        <f t="shared" si="132"/>
        <v>5.1728721283783781</v>
      </c>
      <c r="L151" s="408">
        <f t="shared" si="98"/>
        <v>3.3471278716216215</v>
      </c>
      <c r="M151" s="63">
        <f t="shared" si="122"/>
        <v>0</v>
      </c>
      <c r="N151" s="407">
        <f t="shared" si="99"/>
        <v>4.2924792961166416</v>
      </c>
      <c r="O151" s="407">
        <f t="shared" si="100"/>
        <v>9.2810923093001041E-2</v>
      </c>
      <c r="P151">
        <f t="shared" si="123"/>
        <v>0.2</v>
      </c>
      <c r="Q151" s="407">
        <f t="shared" si="133"/>
        <v>0.29281092309300105</v>
      </c>
      <c r="R151" s="9">
        <f t="shared" si="101"/>
        <v>0.52704696905496329</v>
      </c>
      <c r="S151" s="9">
        <f t="shared" si="102"/>
        <v>2.7777850759002345E-3</v>
      </c>
      <c r="T151" s="9">
        <f t="shared" si="103"/>
        <v>2.7777850759002345E-3</v>
      </c>
      <c r="U151" s="407">
        <f t="shared" si="104"/>
        <v>1.9878049412351675</v>
      </c>
      <c r="V151" s="409">
        <f t="shared" si="105"/>
        <v>7.9027369687978948E-3</v>
      </c>
      <c r="W151" s="407">
        <f t="shared" si="106"/>
        <v>7.9027369687978948E-3</v>
      </c>
      <c r="X151" s="407">
        <f t="shared" si="107"/>
        <v>1.9878049412351675</v>
      </c>
      <c r="Y151" s="407">
        <f t="shared" si="108"/>
        <v>2.3708210906393686E-2</v>
      </c>
      <c r="Z151" s="407">
        <f t="shared" si="124"/>
        <v>0.31725667637210675</v>
      </c>
      <c r="AA151" s="407">
        <f t="shared" si="125"/>
        <v>0.14400000000000002</v>
      </c>
      <c r="AB151" s="407">
        <f t="shared" si="126"/>
        <v>0</v>
      </c>
      <c r="AC151" s="407">
        <f t="shared" si="109"/>
        <v>0.48727537273978172</v>
      </c>
      <c r="AD151" s="407">
        <f t="shared" si="110"/>
        <v>3.8044723711956525</v>
      </c>
      <c r="AE151" s="407">
        <f t="shared" si="111"/>
        <v>8.6844060139146417E-2</v>
      </c>
      <c r="AF151" s="407">
        <f t="shared" si="127"/>
        <v>6.1343999999999996E-2</v>
      </c>
      <c r="AG151" s="407">
        <f t="shared" si="112"/>
        <v>0.15080740561976064</v>
      </c>
      <c r="AH151" s="407">
        <f t="shared" si="113"/>
        <v>0</v>
      </c>
      <c r="AI151">
        <f t="shared" si="128"/>
        <v>0</v>
      </c>
      <c r="AJ151" s="408">
        <f t="shared" si="129"/>
        <v>0.45311691600000004</v>
      </c>
      <c r="AK151">
        <f t="shared" si="134"/>
        <v>4.8000000000000001E-2</v>
      </c>
      <c r="AL151" s="408">
        <f t="shared" si="130"/>
        <v>0.1215</v>
      </c>
      <c r="AM151" s="408">
        <f t="shared" si="135"/>
        <v>0.31645971316818772</v>
      </c>
      <c r="AN151" s="408">
        <f t="shared" si="114"/>
        <v>0.16949999999999998</v>
      </c>
      <c r="AO151" s="408">
        <f t="shared" si="115"/>
        <v>1.5641911394972414</v>
      </c>
      <c r="AP151">
        <f t="shared" si="131"/>
        <v>21.725999999999999</v>
      </c>
      <c r="AQ151" s="10">
        <f t="shared" si="116"/>
        <v>0.93283905957969715</v>
      </c>
      <c r="AR151" s="63">
        <f t="shared" si="117"/>
        <v>24.363768636989086</v>
      </c>
      <c r="AS151" s="63">
        <f t="shared" si="118"/>
        <v>7.5403702809880322</v>
      </c>
      <c r="AT151" s="10"/>
      <c r="AU151">
        <f t="shared" si="119"/>
        <v>93.283905957969722</v>
      </c>
    </row>
    <row r="152" spans="7:47" x14ac:dyDescent="0.25">
      <c r="G152">
        <v>143</v>
      </c>
      <c r="H152">
        <f t="shared" si="120"/>
        <v>4.29</v>
      </c>
      <c r="I152" s="407">
        <f t="shared" si="97"/>
        <v>0.21446624999999997</v>
      </c>
      <c r="J152" s="408">
        <f t="shared" si="121"/>
        <v>1.8258613175675671</v>
      </c>
      <c r="K152" s="408">
        <f t="shared" si="132"/>
        <v>5.2029306587837834</v>
      </c>
      <c r="L152" s="408">
        <f t="shared" si="98"/>
        <v>3.3770693412162167</v>
      </c>
      <c r="M152" s="63">
        <f t="shared" si="122"/>
        <v>0</v>
      </c>
      <c r="N152" s="407">
        <f t="shared" si="99"/>
        <v>4.3222579896680307</v>
      </c>
      <c r="O152" s="407">
        <f t="shared" si="100"/>
        <v>9.4112853948616279E-2</v>
      </c>
      <c r="P152">
        <f t="shared" si="123"/>
        <v>0.2</v>
      </c>
      <c r="Q152" s="407">
        <f t="shared" si="133"/>
        <v>0.2941128539486163</v>
      </c>
      <c r="R152" s="9">
        <f t="shared" si="101"/>
        <v>0.52708076160027983</v>
      </c>
      <c r="S152" s="9">
        <f t="shared" si="102"/>
        <v>2.7781412924913103E-3</v>
      </c>
      <c r="T152" s="9">
        <f t="shared" si="103"/>
        <v>2.7781412924913103E-3</v>
      </c>
      <c r="U152" s="407">
        <f t="shared" si="104"/>
        <v>2.0016593281880097</v>
      </c>
      <c r="V152" s="409">
        <f t="shared" si="105"/>
        <v>8.013280132244149E-3</v>
      </c>
      <c r="W152" s="407">
        <f t="shared" si="106"/>
        <v>8.013280132244149E-3</v>
      </c>
      <c r="X152" s="407">
        <f t="shared" si="107"/>
        <v>2.0016593281880097</v>
      </c>
      <c r="Y152" s="407">
        <f t="shared" si="108"/>
        <v>2.4039840396732445E-2</v>
      </c>
      <c r="Z152" s="407">
        <f t="shared" si="124"/>
        <v>0.31950488226751461</v>
      </c>
      <c r="AA152" s="407">
        <f t="shared" si="125"/>
        <v>0.14400000000000002</v>
      </c>
      <c r="AB152" s="407">
        <f t="shared" si="126"/>
        <v>0</v>
      </c>
      <c r="AC152" s="407">
        <f t="shared" si="109"/>
        <v>0.48990014693276696</v>
      </c>
      <c r="AD152" s="407">
        <f t="shared" si="110"/>
        <v>3.8308320327478533</v>
      </c>
      <c r="AE152" s="407">
        <f t="shared" si="111"/>
        <v>8.8051644378762298E-2</v>
      </c>
      <c r="AF152" s="407">
        <f t="shared" si="127"/>
        <v>6.1775999999999998E-2</v>
      </c>
      <c r="AG152" s="407">
        <f t="shared" si="112"/>
        <v>0.1525134565058073</v>
      </c>
      <c r="AH152" s="407">
        <f t="shared" si="113"/>
        <v>0</v>
      </c>
      <c r="AI152">
        <f t="shared" si="128"/>
        <v>0</v>
      </c>
      <c r="AJ152" s="408">
        <f t="shared" si="129"/>
        <v>0.453113514</v>
      </c>
      <c r="AK152">
        <f t="shared" si="134"/>
        <v>4.8000000000000001E-2</v>
      </c>
      <c r="AL152" s="408">
        <f t="shared" si="130"/>
        <v>0.1215</v>
      </c>
      <c r="AM152" s="408">
        <f t="shared" si="135"/>
        <v>0.31645971316818772</v>
      </c>
      <c r="AN152" s="408">
        <f t="shared" si="114"/>
        <v>0.16949999999999998</v>
      </c>
      <c r="AO152" s="408">
        <f t="shared" si="115"/>
        <v>1.5699313928119261</v>
      </c>
      <c r="AP152">
        <f t="shared" si="131"/>
        <v>21.878999999999998</v>
      </c>
      <c r="AQ152" s="10">
        <f t="shared" si="116"/>
        <v>0.93304891525704337</v>
      </c>
      <c r="AR152" s="63">
        <f t="shared" si="117"/>
        <v>24.495007346638349</v>
      </c>
      <c r="AS152" s="63">
        <f t="shared" si="118"/>
        <v>7.6256728252903656</v>
      </c>
      <c r="AT152" s="10"/>
      <c r="AU152">
        <f t="shared" si="119"/>
        <v>93.304891525704335</v>
      </c>
    </row>
    <row r="153" spans="7:47" x14ac:dyDescent="0.25">
      <c r="G153">
        <v>144</v>
      </c>
      <c r="H153">
        <f t="shared" si="120"/>
        <v>4.32</v>
      </c>
      <c r="I153" s="407">
        <f t="shared" si="97"/>
        <v>0.21448</v>
      </c>
      <c r="J153" s="408">
        <f t="shared" si="121"/>
        <v>1.8259783783783781</v>
      </c>
      <c r="K153" s="408">
        <f t="shared" si="132"/>
        <v>5.2329891891891895</v>
      </c>
      <c r="L153" s="408">
        <f t="shared" si="98"/>
        <v>3.407010810810811</v>
      </c>
      <c r="M153" s="63">
        <f t="shared" si="122"/>
        <v>0</v>
      </c>
      <c r="N153" s="407">
        <f t="shared" si="99"/>
        <v>4.3520397233012602</v>
      </c>
      <c r="O153" s="407">
        <f t="shared" si="100"/>
        <v>9.5424191977379794E-2</v>
      </c>
      <c r="P153">
        <f t="shared" si="123"/>
        <v>0.2</v>
      </c>
      <c r="Q153" s="407">
        <f t="shared" si="133"/>
        <v>0.29542419197737979</v>
      </c>
      <c r="R153" s="9">
        <f t="shared" si="101"/>
        <v>0.52711455414559649</v>
      </c>
      <c r="S153" s="9">
        <f t="shared" si="102"/>
        <v>2.7784975319211096E-3</v>
      </c>
      <c r="T153" s="9">
        <f t="shared" si="103"/>
        <v>2.7784975319211096E-3</v>
      </c>
      <c r="U153" s="407">
        <f t="shared" si="104"/>
        <v>2.0155160051621133</v>
      </c>
      <c r="V153" s="409">
        <f t="shared" si="105"/>
        <v>8.1246095341292873E-3</v>
      </c>
      <c r="W153" s="407">
        <f t="shared" si="106"/>
        <v>8.1246095341292873E-3</v>
      </c>
      <c r="X153" s="407">
        <f t="shared" si="107"/>
        <v>2.0155160051621133</v>
      </c>
      <c r="Y153" s="407">
        <f t="shared" si="108"/>
        <v>2.4373828602387865E-2</v>
      </c>
      <c r="Z153" s="407">
        <f t="shared" si="124"/>
        <v>0.32175308816292242</v>
      </c>
      <c r="AA153" s="407">
        <f t="shared" si="125"/>
        <v>0.14400000000000002</v>
      </c>
      <c r="AB153" s="407">
        <f t="shared" si="126"/>
        <v>0</v>
      </c>
      <c r="AC153" s="407">
        <f t="shared" si="109"/>
        <v>0.49252787476559734</v>
      </c>
      <c r="AD153" s="407">
        <f t="shared" si="110"/>
        <v>3.8571939264350537</v>
      </c>
      <c r="AE153" s="407">
        <f t="shared" si="111"/>
        <v>8.9267669916764797E-2</v>
      </c>
      <c r="AF153" s="407">
        <f t="shared" si="127"/>
        <v>6.2207999999999999E-2</v>
      </c>
      <c r="AG153" s="407">
        <f t="shared" si="112"/>
        <v>0.15422920629253412</v>
      </c>
      <c r="AH153" s="407">
        <f t="shared" si="113"/>
        <v>0</v>
      </c>
      <c r="AI153">
        <f t="shared" si="128"/>
        <v>0</v>
      </c>
      <c r="AJ153" s="408">
        <f t="shared" si="129"/>
        <v>0.45311011200000001</v>
      </c>
      <c r="AK153">
        <f t="shared" si="134"/>
        <v>4.8000000000000001E-2</v>
      </c>
      <c r="AL153" s="408">
        <f t="shared" si="130"/>
        <v>0.1215</v>
      </c>
      <c r="AM153" s="408">
        <f t="shared" si="135"/>
        <v>0.31645971316818772</v>
      </c>
      <c r="AN153" s="408">
        <f t="shared" si="114"/>
        <v>0.16949999999999998</v>
      </c>
      <c r="AO153" s="408">
        <f t="shared" si="115"/>
        <v>1.5756944921015617</v>
      </c>
      <c r="AP153">
        <f t="shared" si="131"/>
        <v>22.032</v>
      </c>
      <c r="AQ153" s="10">
        <f t="shared" si="116"/>
        <v>0.9332550456111357</v>
      </c>
      <c r="AR153" s="63">
        <f t="shared" si="117"/>
        <v>24.626393738279866</v>
      </c>
      <c r="AS153" s="63">
        <f t="shared" si="118"/>
        <v>7.7114603146267058</v>
      </c>
      <c r="AT153" s="10"/>
      <c r="AU153">
        <f t="shared" si="119"/>
        <v>93.325504561113576</v>
      </c>
    </row>
    <row r="154" spans="7:47" x14ac:dyDescent="0.25">
      <c r="G154">
        <v>145</v>
      </c>
      <c r="H154">
        <f t="shared" si="120"/>
        <v>4.3499999999999996</v>
      </c>
      <c r="I154" s="407">
        <f t="shared" si="97"/>
        <v>0.21449374999999996</v>
      </c>
      <c r="J154" s="408">
        <f t="shared" si="121"/>
        <v>1.8260954391891886</v>
      </c>
      <c r="K154" s="408">
        <f t="shared" si="132"/>
        <v>5.2630477195945939</v>
      </c>
      <c r="L154" s="408">
        <f t="shared" si="98"/>
        <v>3.4369522804054053</v>
      </c>
      <c r="M154" s="63">
        <f t="shared" si="122"/>
        <v>0</v>
      </c>
      <c r="N154" s="407">
        <f t="shared" si="99"/>
        <v>4.3818244350291984</v>
      </c>
      <c r="O154" s="407">
        <f t="shared" si="100"/>
        <v>9.6744942972527753E-2</v>
      </c>
      <c r="P154">
        <f t="shared" si="123"/>
        <v>0.2</v>
      </c>
      <c r="Q154" s="407">
        <f t="shared" si="133"/>
        <v>0.29674494297252774</v>
      </c>
      <c r="R154" s="9">
        <f t="shared" si="101"/>
        <v>0.52714834669091304</v>
      </c>
      <c r="S154" s="9">
        <f t="shared" si="102"/>
        <v>2.7788537941896307E-3</v>
      </c>
      <c r="T154" s="9">
        <f t="shared" si="103"/>
        <v>2.7788537941896307E-3</v>
      </c>
      <c r="U154" s="407">
        <f t="shared" si="104"/>
        <v>2.0293749435421597</v>
      </c>
      <c r="V154" s="409">
        <f t="shared" si="105"/>
        <v>8.2367253229534872E-3</v>
      </c>
      <c r="W154" s="407">
        <f t="shared" si="106"/>
        <v>8.2367253229534872E-3</v>
      </c>
      <c r="X154" s="407">
        <f t="shared" si="107"/>
        <v>2.0293749435421597</v>
      </c>
      <c r="Y154" s="407">
        <f t="shared" si="108"/>
        <v>2.4710175968860465E-2</v>
      </c>
      <c r="Z154" s="407">
        <f t="shared" si="124"/>
        <v>0.32400129405833017</v>
      </c>
      <c r="AA154" s="407">
        <f t="shared" si="125"/>
        <v>0.14400000000000002</v>
      </c>
      <c r="AB154" s="407">
        <f t="shared" si="126"/>
        <v>0</v>
      </c>
      <c r="AC154" s="407">
        <f t="shared" si="109"/>
        <v>0.49515856106245887</v>
      </c>
      <c r="AD154" s="407">
        <f t="shared" si="110"/>
        <v>3.8835579972419891</v>
      </c>
      <c r="AE154" s="407">
        <f t="shared" si="111"/>
        <v>9.0492136307653251E-2</v>
      </c>
      <c r="AF154" s="407">
        <f t="shared" si="127"/>
        <v>6.2639999999999987E-2</v>
      </c>
      <c r="AG154" s="407">
        <f t="shared" si="112"/>
        <v>0.15595467056904305</v>
      </c>
      <c r="AH154" s="407">
        <f t="shared" si="113"/>
        <v>0</v>
      </c>
      <c r="AI154">
        <f t="shared" si="128"/>
        <v>0</v>
      </c>
      <c r="AJ154" s="408">
        <f t="shared" si="129"/>
        <v>0.45310671000000002</v>
      </c>
      <c r="AK154">
        <f t="shared" si="134"/>
        <v>4.8000000000000001E-2</v>
      </c>
      <c r="AL154" s="408">
        <f t="shared" si="130"/>
        <v>0.1215</v>
      </c>
      <c r="AM154" s="408">
        <f t="shared" si="135"/>
        <v>0.31645971316818772</v>
      </c>
      <c r="AN154" s="408">
        <f t="shared" si="114"/>
        <v>0.16949999999999998</v>
      </c>
      <c r="AO154" s="408">
        <f t="shared" si="115"/>
        <v>1.581480463721173</v>
      </c>
      <c r="AP154">
        <f t="shared" si="131"/>
        <v>22.184999999999995</v>
      </c>
      <c r="AQ154" s="10">
        <f t="shared" si="116"/>
        <v>0.93345752366930146</v>
      </c>
      <c r="AR154" s="63">
        <f t="shared" si="117"/>
        <v>24.757928053122942</v>
      </c>
      <c r="AS154" s="63">
        <f t="shared" si="118"/>
        <v>7.7977335284521523</v>
      </c>
      <c r="AT154" s="10"/>
      <c r="AU154">
        <f t="shared" si="119"/>
        <v>93.345752366930142</v>
      </c>
    </row>
    <row r="155" spans="7:47" x14ac:dyDescent="0.25">
      <c r="G155">
        <v>146</v>
      </c>
      <c r="H155">
        <f t="shared" si="120"/>
        <v>4.38</v>
      </c>
      <c r="I155" s="407">
        <f t="shared" si="97"/>
        <v>0.21450749999999996</v>
      </c>
      <c r="J155" s="408">
        <f t="shared" si="121"/>
        <v>1.8262124999999996</v>
      </c>
      <c r="K155" s="408">
        <f t="shared" si="132"/>
        <v>5.2931062499999992</v>
      </c>
      <c r="L155" s="408">
        <f t="shared" si="98"/>
        <v>3.4668937500000001</v>
      </c>
      <c r="M155" s="63">
        <f t="shared" si="122"/>
        <v>0</v>
      </c>
      <c r="N155" s="407">
        <f t="shared" si="99"/>
        <v>4.4116120645326111</v>
      </c>
      <c r="O155" s="407">
        <f t="shared" si="100"/>
        <v>9.807511277070137E-2</v>
      </c>
      <c r="P155">
        <f t="shared" si="123"/>
        <v>0.2</v>
      </c>
      <c r="Q155" s="407">
        <f t="shared" si="133"/>
        <v>0.29807511277070137</v>
      </c>
      <c r="R155" s="9">
        <f t="shared" si="101"/>
        <v>0.52718213923622959</v>
      </c>
      <c r="S155" s="9">
        <f t="shared" si="102"/>
        <v>2.779210079296874E-3</v>
      </c>
      <c r="T155" s="9">
        <f t="shared" si="103"/>
        <v>2.779210079296874E-3</v>
      </c>
      <c r="U155" s="407">
        <f t="shared" si="104"/>
        <v>2.0432361154816339</v>
      </c>
      <c r="V155" s="409">
        <f t="shared" si="105"/>
        <v>8.3496276472169537E-3</v>
      </c>
      <c r="W155" s="407">
        <f t="shared" si="106"/>
        <v>8.3496276472169537E-3</v>
      </c>
      <c r="X155" s="407">
        <f t="shared" si="107"/>
        <v>2.0432361154816339</v>
      </c>
      <c r="Y155" s="407">
        <f t="shared" si="108"/>
        <v>2.5048882941650863E-2</v>
      </c>
      <c r="Z155" s="407">
        <f t="shared" si="124"/>
        <v>0.32624949995373798</v>
      </c>
      <c r="AA155" s="407">
        <f t="shared" si="125"/>
        <v>0.14400000000000002</v>
      </c>
      <c r="AB155" s="407">
        <f t="shared" si="126"/>
        <v>0</v>
      </c>
      <c r="AC155" s="407">
        <f t="shared" si="109"/>
        <v>0.4977922106581974</v>
      </c>
      <c r="AD155" s="407">
        <f t="shared" si="110"/>
        <v>3.9099241916335425</v>
      </c>
      <c r="AE155" s="407">
        <f t="shared" si="111"/>
        <v>9.1725043105927259E-2</v>
      </c>
      <c r="AF155" s="407">
        <f t="shared" si="127"/>
        <v>6.3072000000000003E-2</v>
      </c>
      <c r="AG155" s="407">
        <f t="shared" si="112"/>
        <v>0.1576898650395514</v>
      </c>
      <c r="AH155" s="407">
        <f t="shared" si="113"/>
        <v>0</v>
      </c>
      <c r="AI155">
        <f t="shared" si="128"/>
        <v>0</v>
      </c>
      <c r="AJ155" s="408">
        <f t="shared" si="129"/>
        <v>0.45310330799999998</v>
      </c>
      <c r="AK155">
        <f t="shared" si="134"/>
        <v>4.8000000000000001E-2</v>
      </c>
      <c r="AL155" s="408">
        <f t="shared" si="130"/>
        <v>0.1215</v>
      </c>
      <c r="AM155" s="408">
        <f t="shared" si="135"/>
        <v>0.31645971316818772</v>
      </c>
      <c r="AN155" s="408">
        <f t="shared" si="114"/>
        <v>0.16949999999999998</v>
      </c>
      <c r="AO155" s="408">
        <f t="shared" si="115"/>
        <v>1.5872893341949641</v>
      </c>
      <c r="AP155">
        <f t="shared" si="131"/>
        <v>22.337999999999997</v>
      </c>
      <c r="AQ155" s="10">
        <f t="shared" si="116"/>
        <v>0.93365642053380116</v>
      </c>
      <c r="AR155" s="63">
        <f t="shared" si="117"/>
        <v>24.88961053290987</v>
      </c>
      <c r="AS155" s="63">
        <f t="shared" si="118"/>
        <v>7.8844932519775703</v>
      </c>
      <c r="AT155" s="10"/>
      <c r="AU155">
        <f t="shared" si="119"/>
        <v>93.365642053380114</v>
      </c>
    </row>
    <row r="156" spans="7:47" x14ac:dyDescent="0.25">
      <c r="G156">
        <v>147</v>
      </c>
      <c r="H156">
        <f t="shared" si="120"/>
        <v>4.41</v>
      </c>
      <c r="I156" s="407">
        <f t="shared" si="97"/>
        <v>0.21452125</v>
      </c>
      <c r="J156" s="408">
        <f t="shared" si="121"/>
        <v>1.8263295608108105</v>
      </c>
      <c r="K156" s="408">
        <f t="shared" si="132"/>
        <v>5.3231647804054054</v>
      </c>
      <c r="L156" s="408">
        <f t="shared" si="98"/>
        <v>3.4968352195945949</v>
      </c>
      <c r="M156" s="63">
        <f t="shared" si="122"/>
        <v>0</v>
      </c>
      <c r="N156" s="407">
        <f t="shared" si="99"/>
        <v>4.4414025531046253</v>
      </c>
      <c r="O156" s="407">
        <f t="shared" si="100"/>
        <v>9.9414707252011569E-2</v>
      </c>
      <c r="P156">
        <f t="shared" si="123"/>
        <v>0.2</v>
      </c>
      <c r="Q156" s="407">
        <f t="shared" si="133"/>
        <v>0.29941470725201158</v>
      </c>
      <c r="R156" s="9">
        <f t="shared" si="101"/>
        <v>0.52721593178154624</v>
      </c>
      <c r="S156" s="9">
        <f t="shared" si="102"/>
        <v>2.77956638724284E-3</v>
      </c>
      <c r="T156" s="9">
        <f t="shared" si="103"/>
        <v>2.77956638724284E-3</v>
      </c>
      <c r="U156" s="407">
        <f t="shared" si="104"/>
        <v>2.057099493877224</v>
      </c>
      <c r="V156" s="409">
        <f t="shared" si="105"/>
        <v>8.4633166554198627E-3</v>
      </c>
      <c r="W156" s="407">
        <f t="shared" si="106"/>
        <v>8.4633166554198627E-3</v>
      </c>
      <c r="X156" s="407">
        <f t="shared" si="107"/>
        <v>2.057099493877224</v>
      </c>
      <c r="Y156" s="407">
        <f t="shared" si="108"/>
        <v>2.5389949966259588E-2</v>
      </c>
      <c r="Z156" s="407">
        <f t="shared" si="124"/>
        <v>0.32849770584914584</v>
      </c>
      <c r="AA156" s="407">
        <f t="shared" si="125"/>
        <v>0.14400000000000002</v>
      </c>
      <c r="AB156" s="407">
        <f t="shared" si="126"/>
        <v>0</v>
      </c>
      <c r="AC156" s="407">
        <f t="shared" si="109"/>
        <v>0.50042882839834701</v>
      </c>
      <c r="AD156" s="407">
        <f t="shared" si="110"/>
        <v>3.936292457505457</v>
      </c>
      <c r="AE156" s="407">
        <f t="shared" si="111"/>
        <v>9.2966389866086102E-2</v>
      </c>
      <c r="AF156" s="407">
        <f t="shared" si="127"/>
        <v>6.3504000000000005E-2</v>
      </c>
      <c r="AG156" s="407">
        <f t="shared" si="112"/>
        <v>0.15943480552379588</v>
      </c>
      <c r="AH156" s="407">
        <f t="shared" si="113"/>
        <v>0</v>
      </c>
      <c r="AI156">
        <f t="shared" si="128"/>
        <v>0</v>
      </c>
      <c r="AJ156" s="408">
        <f t="shared" si="129"/>
        <v>0.453099906</v>
      </c>
      <c r="AK156">
        <f t="shared" si="134"/>
        <v>4.8000000000000001E-2</v>
      </c>
      <c r="AL156" s="408">
        <f t="shared" si="130"/>
        <v>0.1215</v>
      </c>
      <c r="AM156" s="408">
        <f t="shared" si="135"/>
        <v>0.31645971316818772</v>
      </c>
      <c r="AN156" s="408">
        <f t="shared" si="114"/>
        <v>0.16949999999999998</v>
      </c>
      <c r="AO156" s="408">
        <f t="shared" si="115"/>
        <v>1.5931211302168173</v>
      </c>
      <c r="AP156">
        <f t="shared" si="131"/>
        <v>22.491</v>
      </c>
      <c r="AQ156" s="10">
        <f t="shared" si="116"/>
        <v>0.93385180544462421</v>
      </c>
      <c r="AR156" s="63">
        <f t="shared" si="117"/>
        <v>25.021441419917352</v>
      </c>
      <c r="AS156" s="63">
        <f t="shared" si="118"/>
        <v>7.9717402761897942</v>
      </c>
      <c r="AT156" s="10"/>
      <c r="AU156">
        <f t="shared" si="119"/>
        <v>93.385180544462415</v>
      </c>
    </row>
    <row r="157" spans="7:47" x14ac:dyDescent="0.25">
      <c r="G157">
        <v>148</v>
      </c>
      <c r="H157">
        <f t="shared" si="120"/>
        <v>4.4399999999999995</v>
      </c>
      <c r="I157" s="407">
        <f t="shared" si="97"/>
        <v>0.214535</v>
      </c>
      <c r="J157" s="408">
        <f t="shared" si="121"/>
        <v>1.8264466216216213</v>
      </c>
      <c r="K157" s="408">
        <f t="shared" si="132"/>
        <v>5.3532233108108098</v>
      </c>
      <c r="L157" s="408">
        <f t="shared" si="98"/>
        <v>3.5267766891891887</v>
      </c>
      <c r="M157" s="63">
        <f t="shared" si="122"/>
        <v>0</v>
      </c>
      <c r="N157" s="407">
        <f t="shared" si="99"/>
        <v>4.4711958435974095</v>
      </c>
      <c r="O157" s="407">
        <f t="shared" si="100"/>
        <v>0.10076373234010513</v>
      </c>
      <c r="P157">
        <f t="shared" si="123"/>
        <v>0.2</v>
      </c>
      <c r="Q157" s="407">
        <f t="shared" si="133"/>
        <v>0.30076373234010512</v>
      </c>
      <c r="R157" s="9">
        <f t="shared" si="101"/>
        <v>0.52724972432686279</v>
      </c>
      <c r="S157" s="9">
        <f t="shared" si="102"/>
        <v>2.7799227180275283E-3</v>
      </c>
      <c r="T157" s="9">
        <f t="shared" si="103"/>
        <v>2.7799227180275283E-3</v>
      </c>
      <c r="U157" s="407">
        <f t="shared" si="104"/>
        <v>2.0709650523442455</v>
      </c>
      <c r="V157" s="409">
        <f t="shared" si="105"/>
        <v>8.5777924960624072E-3</v>
      </c>
      <c r="W157" s="407">
        <f t="shared" si="106"/>
        <v>8.5777924960624072E-3</v>
      </c>
      <c r="X157" s="407">
        <f t="shared" si="107"/>
        <v>2.0709650523442455</v>
      </c>
      <c r="Y157" s="407">
        <f t="shared" si="108"/>
        <v>2.5733377488187225E-2</v>
      </c>
      <c r="Z157" s="407">
        <f t="shared" si="124"/>
        <v>0.33074591174455348</v>
      </c>
      <c r="AA157" s="407">
        <f t="shared" si="125"/>
        <v>0.14400000000000002</v>
      </c>
      <c r="AB157" s="407">
        <f t="shared" si="126"/>
        <v>0</v>
      </c>
      <c r="AC157" s="407">
        <f t="shared" si="109"/>
        <v>0.50306841913915945</v>
      </c>
      <c r="AD157" s="407">
        <f t="shared" si="110"/>
        <v>3.9626627441370208</v>
      </c>
      <c r="AE157" s="407">
        <f t="shared" si="111"/>
        <v>9.4216176142629268E-2</v>
      </c>
      <c r="AF157" s="407">
        <f t="shared" si="127"/>
        <v>6.3935999999999993E-2</v>
      </c>
      <c r="AG157" s="407">
        <f t="shared" si="112"/>
        <v>0.16118950795744169</v>
      </c>
      <c r="AH157" s="407">
        <f t="shared" si="113"/>
        <v>0</v>
      </c>
      <c r="AI157">
        <f t="shared" si="128"/>
        <v>0</v>
      </c>
      <c r="AJ157" s="408">
        <f t="shared" si="129"/>
        <v>0.45309650400000001</v>
      </c>
      <c r="AK157">
        <f t="shared" si="134"/>
        <v>4.8000000000000001E-2</v>
      </c>
      <c r="AL157" s="408">
        <f t="shared" si="130"/>
        <v>0.1215</v>
      </c>
      <c r="AM157" s="408">
        <f t="shared" si="135"/>
        <v>0.31645971316818772</v>
      </c>
      <c r="AN157" s="408">
        <f t="shared" si="114"/>
        <v>0.16949999999999998</v>
      </c>
      <c r="AO157" s="408">
        <f t="shared" si="115"/>
        <v>1.5989758786507962</v>
      </c>
      <c r="AP157">
        <f t="shared" si="131"/>
        <v>22.643999999999995</v>
      </c>
      <c r="AQ157" s="10">
        <f t="shared" si="116"/>
        <v>0.93404374583984506</v>
      </c>
      <c r="AR157" s="63">
        <f t="shared" si="117"/>
        <v>25.153420956957973</v>
      </c>
      <c r="AS157" s="63">
        <f t="shared" si="118"/>
        <v>8.0594753978720846</v>
      </c>
      <c r="AT157" s="10"/>
      <c r="AU157">
        <f t="shared" si="119"/>
        <v>93.404374583984506</v>
      </c>
    </row>
    <row r="158" spans="7:47" x14ac:dyDescent="0.25">
      <c r="G158">
        <v>149</v>
      </c>
      <c r="H158">
        <f t="shared" si="120"/>
        <v>4.47</v>
      </c>
      <c r="I158" s="407">
        <f t="shared" si="97"/>
        <v>0.21454874999999998</v>
      </c>
      <c r="J158" s="408">
        <f t="shared" si="121"/>
        <v>1.8265636824324318</v>
      </c>
      <c r="K158" s="408">
        <f t="shared" si="132"/>
        <v>5.383281841216216</v>
      </c>
      <c r="L158" s="408">
        <f t="shared" si="98"/>
        <v>3.5567181587837839</v>
      </c>
      <c r="M158" s="63">
        <f t="shared" si="122"/>
        <v>0</v>
      </c>
      <c r="N158" s="407">
        <f t="shared" si="99"/>
        <v>4.5009918803709361</v>
      </c>
      <c r="O158" s="407">
        <f t="shared" si="100"/>
        <v>0.10212219400223056</v>
      </c>
      <c r="P158">
        <f t="shared" si="123"/>
        <v>0.2</v>
      </c>
      <c r="Q158" s="407">
        <f t="shared" si="133"/>
        <v>0.30212219400223056</v>
      </c>
      <c r="R158" s="9">
        <f t="shared" si="101"/>
        <v>0.52728351687217934</v>
      </c>
      <c r="S158" s="9">
        <f t="shared" si="102"/>
        <v>2.7802790716509383E-3</v>
      </c>
      <c r="T158" s="9">
        <f t="shared" si="103"/>
        <v>2.7802790716509383E-3</v>
      </c>
      <c r="U158" s="407">
        <f t="shared" si="104"/>
        <v>2.0848327651930232</v>
      </c>
      <c r="V158" s="409">
        <f t="shared" si="105"/>
        <v>8.6930553176447749E-3</v>
      </c>
      <c r="W158" s="407">
        <f t="shared" si="106"/>
        <v>8.6930553176447749E-3</v>
      </c>
      <c r="X158" s="407">
        <f t="shared" si="107"/>
        <v>2.0848327651930232</v>
      </c>
      <c r="Y158" s="407">
        <f t="shared" si="108"/>
        <v>2.6079165952934327E-2</v>
      </c>
      <c r="Z158" s="407">
        <f t="shared" si="124"/>
        <v>0.33299411763996145</v>
      </c>
      <c r="AA158" s="407">
        <f t="shared" si="125"/>
        <v>0.14400000000000002</v>
      </c>
      <c r="AB158" s="407">
        <f t="shared" si="126"/>
        <v>0</v>
      </c>
      <c r="AC158" s="407">
        <f t="shared" si="109"/>
        <v>0.50571098774763434</v>
      </c>
      <c r="AD158" s="407">
        <f t="shared" si="110"/>
        <v>3.9890350021455951</v>
      </c>
      <c r="AE158" s="407">
        <f t="shared" si="111"/>
        <v>9.5474401490056246E-2</v>
      </c>
      <c r="AF158" s="407">
        <f t="shared" si="127"/>
        <v>6.4367999999999995E-2</v>
      </c>
      <c r="AG158" s="407">
        <f t="shared" si="112"/>
        <v>0.16295398839249442</v>
      </c>
      <c r="AH158" s="407">
        <f t="shared" si="113"/>
        <v>0</v>
      </c>
      <c r="AI158">
        <f t="shared" si="128"/>
        <v>0</v>
      </c>
      <c r="AJ158" s="408">
        <f t="shared" si="129"/>
        <v>0.45309310199999997</v>
      </c>
      <c r="AK158">
        <f t="shared" si="134"/>
        <v>4.8000000000000001E-2</v>
      </c>
      <c r="AL158" s="408">
        <f t="shared" si="130"/>
        <v>0.1215</v>
      </c>
      <c r="AM158" s="408">
        <f t="shared" si="135"/>
        <v>0.31645971316818772</v>
      </c>
      <c r="AN158" s="408">
        <f t="shared" si="114"/>
        <v>0.16949999999999998</v>
      </c>
      <c r="AO158" s="408">
        <f t="shared" si="115"/>
        <v>1.604853606531655</v>
      </c>
      <c r="AP158">
        <f t="shared" si="131"/>
        <v>22.796999999999997</v>
      </c>
      <c r="AQ158" s="10">
        <f t="shared" si="116"/>
        <v>0.93423230741364316</v>
      </c>
      <c r="AR158" s="63">
        <f t="shared" si="117"/>
        <v>25.285549387381717</v>
      </c>
      <c r="AS158" s="63">
        <f t="shared" si="118"/>
        <v>8.1476994196247219</v>
      </c>
      <c r="AT158" s="10"/>
      <c r="AU158">
        <f t="shared" si="119"/>
        <v>93.423230741364321</v>
      </c>
    </row>
    <row r="159" spans="7:47" x14ac:dyDescent="0.25">
      <c r="G159">
        <v>150</v>
      </c>
      <c r="H159">
        <f t="shared" si="120"/>
        <v>4.5</v>
      </c>
      <c r="I159" s="407">
        <f t="shared" si="97"/>
        <v>0.21456249999999999</v>
      </c>
      <c r="J159" s="408">
        <f t="shared" si="121"/>
        <v>1.8266807432432428</v>
      </c>
      <c r="K159" s="408">
        <f t="shared" si="132"/>
        <v>5.4133403716216213</v>
      </c>
      <c r="L159" s="408">
        <f t="shared" si="98"/>
        <v>3.5866596283783787</v>
      </c>
      <c r="M159" s="63">
        <f t="shared" si="122"/>
        <v>0</v>
      </c>
      <c r="N159" s="407">
        <f t="shared" si="99"/>
        <v>4.5307906092437449</v>
      </c>
      <c r="O159" s="407">
        <f t="shared" si="100"/>
        <v>0.10349009824930473</v>
      </c>
      <c r="P159">
        <f t="shared" si="123"/>
        <v>0.2</v>
      </c>
      <c r="Q159" s="407">
        <f t="shared" si="133"/>
        <v>0.30349009824930473</v>
      </c>
      <c r="R159" s="9">
        <f t="shared" si="101"/>
        <v>0.52731730941749599</v>
      </c>
      <c r="S159" s="9">
        <f t="shared" si="102"/>
        <v>2.7806354481130719E-3</v>
      </c>
      <c r="T159" s="9">
        <f t="shared" si="103"/>
        <v>2.7806354481130719E-3</v>
      </c>
      <c r="U159" s="407">
        <f t="shared" si="104"/>
        <v>2.0987026074061981</v>
      </c>
      <c r="V159" s="409">
        <f t="shared" si="105"/>
        <v>8.8091052686671504E-3</v>
      </c>
      <c r="W159" s="407">
        <f t="shared" si="106"/>
        <v>8.8091052686671504E-3</v>
      </c>
      <c r="X159" s="407">
        <f t="shared" si="107"/>
        <v>2.0987026074061981</v>
      </c>
      <c r="Y159" s="407">
        <f t="shared" si="108"/>
        <v>2.6427315806001449E-2</v>
      </c>
      <c r="Z159" s="407">
        <f t="shared" si="124"/>
        <v>0.33524232353536926</v>
      </c>
      <c r="AA159" s="407">
        <f t="shared" si="125"/>
        <v>0.14400000000000002</v>
      </c>
      <c r="AB159" s="407">
        <f t="shared" si="126"/>
        <v>0</v>
      </c>
      <c r="AC159" s="407">
        <f t="shared" si="109"/>
        <v>0.50835653910154721</v>
      </c>
      <c r="AD159" s="407">
        <f t="shared" si="110"/>
        <v>4.0154091834429195</v>
      </c>
      <c r="AE159" s="407">
        <f t="shared" si="111"/>
        <v>9.6741065462866399E-2</v>
      </c>
      <c r="AF159" s="407">
        <f t="shared" si="127"/>
        <v>6.4799999999999996E-2</v>
      </c>
      <c r="AG159" s="407">
        <f t="shared" si="112"/>
        <v>0.16472826299771565</v>
      </c>
      <c r="AH159" s="407">
        <f t="shared" si="113"/>
        <v>0</v>
      </c>
      <c r="AI159">
        <f t="shared" si="128"/>
        <v>0</v>
      </c>
      <c r="AJ159" s="408">
        <f t="shared" si="129"/>
        <v>0.45308969999999998</v>
      </c>
      <c r="AK159">
        <f t="shared" si="134"/>
        <v>4.8000000000000001E-2</v>
      </c>
      <c r="AL159" s="408">
        <f t="shared" si="130"/>
        <v>0.1215</v>
      </c>
      <c r="AM159" s="408">
        <f t="shared" si="135"/>
        <v>0.31645971316818772</v>
      </c>
      <c r="AN159" s="408">
        <f t="shared" si="114"/>
        <v>0.16949999999999998</v>
      </c>
      <c r="AO159" s="408">
        <f t="shared" si="115"/>
        <v>1.6107543410653478</v>
      </c>
      <c r="AP159">
        <f t="shared" si="131"/>
        <v>22.95</v>
      </c>
      <c r="AQ159" s="10">
        <f t="shared" si="116"/>
        <v>0.93441755417209715</v>
      </c>
      <c r="AR159" s="63">
        <f t="shared" si="117"/>
        <v>25.417826955077359</v>
      </c>
      <c r="AS159" s="63">
        <f t="shared" si="118"/>
        <v>8.2364131498857827</v>
      </c>
      <c r="AT159" s="10"/>
      <c r="AU159">
        <f t="shared" si="119"/>
        <v>93.44175541720972</v>
      </c>
    </row>
    <row r="160" spans="7:47" x14ac:dyDescent="0.25">
      <c r="G160">
        <v>151</v>
      </c>
      <c r="H160">
        <f t="shared" si="120"/>
        <v>4.53</v>
      </c>
      <c r="I160" s="407">
        <f t="shared" si="97"/>
        <v>0.21457625</v>
      </c>
      <c r="J160" s="408">
        <f t="shared" si="121"/>
        <v>1.8267978040540538</v>
      </c>
      <c r="K160" s="408">
        <f t="shared" si="132"/>
        <v>5.4433989020270275</v>
      </c>
      <c r="L160" s="408">
        <f t="shared" si="98"/>
        <v>3.6166010979729735</v>
      </c>
      <c r="M160" s="63">
        <f t="shared" si="122"/>
        <v>0</v>
      </c>
      <c r="N160" s="407">
        <f t="shared" si="99"/>
        <v>4.5605919774456245</v>
      </c>
      <c r="O160" s="407">
        <f t="shared" si="100"/>
        <v>0.10486745113598021</v>
      </c>
      <c r="P160">
        <f t="shared" si="123"/>
        <v>0.2</v>
      </c>
      <c r="Q160" s="407">
        <f t="shared" si="133"/>
        <v>0.30486745113598024</v>
      </c>
      <c r="R160" s="9">
        <f t="shared" si="101"/>
        <v>0.52735110196281265</v>
      </c>
      <c r="S160" s="9">
        <f t="shared" si="102"/>
        <v>2.7809918474139285E-3</v>
      </c>
      <c r="T160" s="9">
        <f t="shared" si="103"/>
        <v>2.7809918474139285E-3</v>
      </c>
      <c r="U160" s="407">
        <f t="shared" si="104"/>
        <v>2.1125745546169168</v>
      </c>
      <c r="V160" s="409">
        <f t="shared" si="105"/>
        <v>8.9259424976297283E-3</v>
      </c>
      <c r="W160" s="407">
        <f t="shared" si="106"/>
        <v>8.9259424976297283E-3</v>
      </c>
      <c r="X160" s="407">
        <f t="shared" si="107"/>
        <v>2.1125745546169168</v>
      </c>
      <c r="Y160" s="407">
        <f t="shared" si="108"/>
        <v>2.6777827492889185E-2</v>
      </c>
      <c r="Z160" s="407">
        <f t="shared" si="124"/>
        <v>0.33749052943077706</v>
      </c>
      <c r="AA160" s="407">
        <f t="shared" si="125"/>
        <v>0.14400000000000002</v>
      </c>
      <c r="AB160" s="407">
        <f t="shared" si="126"/>
        <v>0</v>
      </c>
      <c r="AC160" s="407">
        <f t="shared" si="109"/>
        <v>0.51100507808948037</v>
      </c>
      <c r="AD160" s="407">
        <f t="shared" si="110"/>
        <v>4.0417852411931197</v>
      </c>
      <c r="AE160" s="407">
        <f t="shared" si="111"/>
        <v>9.8016167615559147E-2</v>
      </c>
      <c r="AF160" s="407">
        <f t="shared" si="127"/>
        <v>6.5231999999999998E-2</v>
      </c>
      <c r="AG160" s="407">
        <f t="shared" si="112"/>
        <v>0.16651234805904222</v>
      </c>
      <c r="AH160" s="407">
        <f t="shared" si="113"/>
        <v>0</v>
      </c>
      <c r="AI160">
        <f t="shared" si="128"/>
        <v>0</v>
      </c>
      <c r="AJ160" s="408">
        <f t="shared" si="129"/>
        <v>0.453086298</v>
      </c>
      <c r="AK160">
        <f t="shared" si="134"/>
        <v>4.8000000000000001E-2</v>
      </c>
      <c r="AL160" s="408">
        <f t="shared" si="130"/>
        <v>0.1215</v>
      </c>
      <c r="AM160" s="408">
        <f t="shared" si="135"/>
        <v>0.31645971316818772</v>
      </c>
      <c r="AN160" s="408">
        <f t="shared" si="114"/>
        <v>0.16949999999999998</v>
      </c>
      <c r="AO160" s="408">
        <f t="shared" si="115"/>
        <v>1.6166781096295466</v>
      </c>
      <c r="AP160">
        <f t="shared" si="131"/>
        <v>23.102999999999998</v>
      </c>
      <c r="AQ160" s="10">
        <f t="shared" si="116"/>
        <v>0.93459954848684823</v>
      </c>
      <c r="AR160" s="63">
        <f t="shared" si="117"/>
        <v>25.550253904474019</v>
      </c>
      <c r="AS160" s="63">
        <f t="shared" si="118"/>
        <v>8.3256174029521102</v>
      </c>
      <c r="AT160" s="10"/>
      <c r="AU160">
        <f t="shared" si="119"/>
        <v>93.459954848684816</v>
      </c>
    </row>
    <row r="161" spans="7:47" x14ac:dyDescent="0.25">
      <c r="G161">
        <v>152</v>
      </c>
      <c r="H161">
        <f t="shared" si="120"/>
        <v>4.5600000000000005</v>
      </c>
      <c r="I161" s="407">
        <f t="shared" si="97"/>
        <v>0.21458999999999998</v>
      </c>
      <c r="J161" s="408">
        <f t="shared" si="121"/>
        <v>1.8269148648648643</v>
      </c>
      <c r="K161" s="408">
        <f t="shared" si="132"/>
        <v>5.4734574324324328</v>
      </c>
      <c r="L161" s="408">
        <f t="shared" si="98"/>
        <v>3.6465425675675682</v>
      </c>
      <c r="M161" s="63">
        <f t="shared" si="122"/>
        <v>0</v>
      </c>
      <c r="N161" s="407">
        <f t="shared" si="99"/>
        <v>4.5903959335721094</v>
      </c>
      <c r="O161" s="407">
        <f t="shared" si="100"/>
        <v>0.10625425876071297</v>
      </c>
      <c r="P161">
        <f t="shared" si="123"/>
        <v>0.2</v>
      </c>
      <c r="Q161" s="407">
        <f t="shared" si="133"/>
        <v>0.30625425876071299</v>
      </c>
      <c r="R161" s="9">
        <f t="shared" si="101"/>
        <v>0.52738489450812909</v>
      </c>
      <c r="S161" s="9">
        <f t="shared" si="102"/>
        <v>2.7813482695535048E-3</v>
      </c>
      <c r="T161" s="9">
        <f t="shared" si="103"/>
        <v>2.7813482695535048E-3</v>
      </c>
      <c r="U161" s="407">
        <f t="shared" si="104"/>
        <v>2.1264485830878557</v>
      </c>
      <c r="V161" s="409">
        <f t="shared" si="105"/>
        <v>9.0435671530326982E-3</v>
      </c>
      <c r="W161" s="407">
        <f t="shared" si="106"/>
        <v>9.0435671530326982E-3</v>
      </c>
      <c r="X161" s="407">
        <f t="shared" si="107"/>
        <v>2.1264485830878557</v>
      </c>
      <c r="Y161" s="407">
        <f t="shared" si="108"/>
        <v>2.7130701459098096E-2</v>
      </c>
      <c r="Z161" s="407">
        <f t="shared" si="124"/>
        <v>0.33973873532618487</v>
      </c>
      <c r="AA161" s="407">
        <f t="shared" si="125"/>
        <v>0.14400000000000002</v>
      </c>
      <c r="AB161" s="407">
        <f t="shared" si="126"/>
        <v>0</v>
      </c>
      <c r="AC161" s="407">
        <f t="shared" si="109"/>
        <v>0.51365660961085191</v>
      </c>
      <c r="AD161" s="407">
        <f t="shared" si="110"/>
        <v>4.0681631297723309</v>
      </c>
      <c r="AE161" s="407">
        <f t="shared" si="111"/>
        <v>9.9299707502634033E-2</v>
      </c>
      <c r="AF161" s="407">
        <f t="shared" si="127"/>
        <v>6.5664E-2</v>
      </c>
      <c r="AG161" s="407">
        <f t="shared" si="112"/>
        <v>0.16830625998000948</v>
      </c>
      <c r="AH161" s="407">
        <f t="shared" si="113"/>
        <v>0</v>
      </c>
      <c r="AI161">
        <f t="shared" si="128"/>
        <v>0</v>
      </c>
      <c r="AJ161" s="408">
        <f t="shared" si="129"/>
        <v>0.45308289599999996</v>
      </c>
      <c r="AK161">
        <f t="shared" si="134"/>
        <v>4.8000000000000001E-2</v>
      </c>
      <c r="AL161" s="408">
        <f t="shared" si="130"/>
        <v>0.1215</v>
      </c>
      <c r="AM161" s="408">
        <f t="shared" si="135"/>
        <v>0.31645971316818772</v>
      </c>
      <c r="AN161" s="408">
        <f t="shared" si="114"/>
        <v>0.16949999999999998</v>
      </c>
      <c r="AO161" s="408">
        <f t="shared" si="115"/>
        <v>1.6226249397741606</v>
      </c>
      <c r="AP161">
        <f t="shared" si="131"/>
        <v>23.256</v>
      </c>
      <c r="AQ161" s="10">
        <f t="shared" si="116"/>
        <v>0.93477835114672991</v>
      </c>
      <c r="AR161" s="63">
        <f t="shared" si="117"/>
        <v>25.682830480542595</v>
      </c>
      <c r="AS161" s="63">
        <f t="shared" si="118"/>
        <v>8.4153129990004736</v>
      </c>
      <c r="AT161" s="10"/>
      <c r="AU161">
        <f t="shared" si="119"/>
        <v>93.477835114672985</v>
      </c>
    </row>
    <row r="162" spans="7:47" x14ac:dyDescent="0.25">
      <c r="G162">
        <v>153</v>
      </c>
      <c r="H162">
        <f t="shared" si="120"/>
        <v>4.59</v>
      </c>
      <c r="I162" s="407">
        <f t="shared" si="97"/>
        <v>0.21460374999999998</v>
      </c>
      <c r="J162" s="408">
        <f t="shared" si="121"/>
        <v>1.8270319256756751</v>
      </c>
      <c r="K162" s="408">
        <f t="shared" si="132"/>
        <v>5.5035159628378372</v>
      </c>
      <c r="L162" s="408">
        <f t="shared" si="98"/>
        <v>3.6764840371621625</v>
      </c>
      <c r="M162" s="63">
        <f t="shared" si="122"/>
        <v>0</v>
      </c>
      <c r="N162" s="407">
        <f t="shared" si="99"/>
        <v>4.6202024275407219</v>
      </c>
      <c r="O162" s="407">
        <f t="shared" si="100"/>
        <v>0.10765052726583027</v>
      </c>
      <c r="P162">
        <f t="shared" si="123"/>
        <v>0.2</v>
      </c>
      <c r="Q162" s="407">
        <f t="shared" si="133"/>
        <v>0.30765052726583031</v>
      </c>
      <c r="R162" s="9">
        <f t="shared" si="101"/>
        <v>0.52741868705344574</v>
      </c>
      <c r="S162" s="9">
        <f t="shared" si="102"/>
        <v>2.7817047145318051E-3</v>
      </c>
      <c r="T162" s="9">
        <f t="shared" si="103"/>
        <v>2.7817047145318051E-3</v>
      </c>
      <c r="U162" s="407">
        <f t="shared" si="104"/>
        <v>2.1403246696910543</v>
      </c>
      <c r="V162" s="409">
        <f t="shared" si="105"/>
        <v>9.1619793833762411E-3</v>
      </c>
      <c r="W162" s="407">
        <f t="shared" si="106"/>
        <v>9.1619793833762411E-3</v>
      </c>
      <c r="X162" s="407">
        <f t="shared" si="107"/>
        <v>2.1403246696910543</v>
      </c>
      <c r="Y162" s="407">
        <f t="shared" si="108"/>
        <v>2.7485938150128727E-2</v>
      </c>
      <c r="Z162" s="407">
        <f t="shared" si="124"/>
        <v>0.34198694122159268</v>
      </c>
      <c r="AA162" s="407">
        <f t="shared" si="125"/>
        <v>0.14400000000000002</v>
      </c>
      <c r="AB162" s="407">
        <f t="shared" si="126"/>
        <v>0</v>
      </c>
      <c r="AC162" s="407">
        <f t="shared" si="109"/>
        <v>0.51631113857594557</v>
      </c>
      <c r="AD162" s="407">
        <f t="shared" si="110"/>
        <v>4.0945428047298584</v>
      </c>
      <c r="AE162" s="407">
        <f t="shared" si="111"/>
        <v>0.10059168467859034</v>
      </c>
      <c r="AF162" s="407">
        <f t="shared" si="127"/>
        <v>6.6096000000000002E-2</v>
      </c>
      <c r="AG162" s="407">
        <f t="shared" si="112"/>
        <v>0.17011001528217734</v>
      </c>
      <c r="AH162" s="407">
        <f t="shared" si="113"/>
        <v>0</v>
      </c>
      <c r="AI162">
        <f t="shared" si="128"/>
        <v>0</v>
      </c>
      <c r="AJ162" s="408">
        <f t="shared" si="129"/>
        <v>0.45307949400000003</v>
      </c>
      <c r="AK162">
        <f t="shared" si="134"/>
        <v>4.8000000000000001E-2</v>
      </c>
      <c r="AL162" s="408">
        <f t="shared" si="130"/>
        <v>0.1215</v>
      </c>
      <c r="AM162" s="408">
        <f t="shared" si="135"/>
        <v>0.31645971316818772</v>
      </c>
      <c r="AN162" s="408">
        <f t="shared" si="114"/>
        <v>0.16949999999999998</v>
      </c>
      <c r="AO162" s="408">
        <f t="shared" si="115"/>
        <v>1.6285948592218613</v>
      </c>
      <c r="AP162">
        <f t="shared" si="131"/>
        <v>23.408999999999999</v>
      </c>
      <c r="AQ162" s="10">
        <f t="shared" si="116"/>
        <v>0.93495402140745087</v>
      </c>
      <c r="AR162" s="63">
        <f t="shared" si="117"/>
        <v>25.815556928797278</v>
      </c>
      <c r="AS162" s="63">
        <f t="shared" si="118"/>
        <v>8.5055007641088665</v>
      </c>
      <c r="AT162" s="10"/>
      <c r="AU162">
        <f t="shared" si="119"/>
        <v>93.495402140745085</v>
      </c>
    </row>
    <row r="163" spans="7:47" x14ac:dyDescent="0.25">
      <c r="G163">
        <v>154</v>
      </c>
      <c r="H163">
        <f t="shared" si="120"/>
        <v>4.62</v>
      </c>
      <c r="I163" s="407">
        <f t="shared" si="97"/>
        <v>0.21461750000000002</v>
      </c>
      <c r="J163" s="408">
        <f t="shared" si="121"/>
        <v>1.8271489864864865</v>
      </c>
      <c r="K163" s="408">
        <f t="shared" si="132"/>
        <v>5.5335744932432434</v>
      </c>
      <c r="L163" s="408">
        <f t="shared" si="98"/>
        <v>3.7064255067567569</v>
      </c>
      <c r="M163" s="63">
        <f t="shared" si="122"/>
        <v>0</v>
      </c>
      <c r="N163" s="407">
        <f t="shared" si="99"/>
        <v>4.650011410548891</v>
      </c>
      <c r="O163" s="407">
        <f t="shared" si="100"/>
        <v>0.10905626283760009</v>
      </c>
      <c r="P163">
        <f t="shared" si="123"/>
        <v>0.2</v>
      </c>
      <c r="Q163" s="407">
        <f t="shared" si="133"/>
        <v>0.30905626283760013</v>
      </c>
      <c r="R163" s="9">
        <f t="shared" si="101"/>
        <v>0.52745247959876251</v>
      </c>
      <c r="S163" s="9">
        <f t="shared" si="102"/>
        <v>2.7820611823488302E-3</v>
      </c>
      <c r="T163" s="9">
        <f t="shared" si="103"/>
        <v>2.7820611823488302E-3</v>
      </c>
      <c r="U163" s="407">
        <f t="shared" si="104"/>
        <v>2.1542027918885158</v>
      </c>
      <c r="V163" s="409">
        <f t="shared" si="105"/>
        <v>9.2811793371605517E-3</v>
      </c>
      <c r="W163" s="407">
        <f t="shared" si="106"/>
        <v>9.2811793371605517E-3</v>
      </c>
      <c r="X163" s="407">
        <f t="shared" si="107"/>
        <v>2.1542027918885158</v>
      </c>
      <c r="Y163" s="407">
        <f t="shared" si="108"/>
        <v>2.7843538011481657E-2</v>
      </c>
      <c r="Z163" s="407">
        <f t="shared" si="124"/>
        <v>0.34423514711700054</v>
      </c>
      <c r="AA163" s="407">
        <f t="shared" si="125"/>
        <v>0.14400000000000002</v>
      </c>
      <c r="AB163" s="407">
        <f t="shared" si="126"/>
        <v>0</v>
      </c>
      <c r="AC163" s="407">
        <f t="shared" si="109"/>
        <v>0.51896866990594104</v>
      </c>
      <c r="AD163" s="407">
        <f t="shared" si="110"/>
        <v>4.1209242227508396</v>
      </c>
      <c r="AE163" s="407">
        <f t="shared" si="111"/>
        <v>0.10189209869792767</v>
      </c>
      <c r="AF163" s="407">
        <f t="shared" si="127"/>
        <v>6.6528000000000004E-2</v>
      </c>
      <c r="AG163" s="407">
        <f t="shared" si="112"/>
        <v>0.17192363060556126</v>
      </c>
      <c r="AH163" s="407">
        <f t="shared" si="113"/>
        <v>0</v>
      </c>
      <c r="AI163">
        <f t="shared" si="128"/>
        <v>0</v>
      </c>
      <c r="AJ163" s="408">
        <f t="shared" si="129"/>
        <v>0.45307609200000004</v>
      </c>
      <c r="AK163">
        <f t="shared" si="134"/>
        <v>4.8000000000000001E-2</v>
      </c>
      <c r="AL163" s="408">
        <f t="shared" si="130"/>
        <v>0.1215</v>
      </c>
      <c r="AM163" s="408">
        <f t="shared" si="135"/>
        <v>0.31645971316818772</v>
      </c>
      <c r="AN163" s="408">
        <f t="shared" si="114"/>
        <v>0.16949999999999998</v>
      </c>
      <c r="AO163" s="408">
        <f t="shared" si="115"/>
        <v>1.6345878958686118</v>
      </c>
      <c r="AP163">
        <f t="shared" si="131"/>
        <v>23.561999999999998</v>
      </c>
      <c r="AQ163" s="10">
        <f t="shared" si="116"/>
        <v>0.93512661703941946</v>
      </c>
      <c r="AR163" s="63">
        <f t="shared" si="117"/>
        <v>25.948433495297053</v>
      </c>
      <c r="AS163" s="63">
        <f t="shared" si="118"/>
        <v>8.5961815302780629</v>
      </c>
      <c r="AT163" s="10"/>
      <c r="AU163">
        <f t="shared" si="119"/>
        <v>93.512661703941944</v>
      </c>
    </row>
    <row r="164" spans="7:47" x14ac:dyDescent="0.25">
      <c r="G164">
        <v>155</v>
      </c>
      <c r="H164">
        <f t="shared" si="120"/>
        <v>4.6500000000000004</v>
      </c>
      <c r="I164" s="407">
        <f t="shared" si="97"/>
        <v>0.21463124999999997</v>
      </c>
      <c r="J164" s="408">
        <f t="shared" si="121"/>
        <v>1.8272660472972966</v>
      </c>
      <c r="K164" s="408">
        <f t="shared" si="132"/>
        <v>5.5636330236486486</v>
      </c>
      <c r="L164" s="408">
        <f t="shared" si="98"/>
        <v>3.7363669763513521</v>
      </c>
      <c r="M164" s="63">
        <f t="shared" si="122"/>
        <v>0</v>
      </c>
      <c r="N164" s="407">
        <f t="shared" si="99"/>
        <v>4.6798228350334439</v>
      </c>
      <c r="O164" s="407">
        <f t="shared" si="100"/>
        <v>0.11047147170629962</v>
      </c>
      <c r="P164">
        <f t="shared" si="123"/>
        <v>0.2</v>
      </c>
      <c r="Q164" s="407">
        <f t="shared" si="133"/>
        <v>0.31047147170629963</v>
      </c>
      <c r="R164" s="9">
        <f t="shared" si="101"/>
        <v>0.52748627214407884</v>
      </c>
      <c r="S164" s="9">
        <f t="shared" si="102"/>
        <v>2.7824176730045719E-3</v>
      </c>
      <c r="T164" s="9">
        <f t="shared" si="103"/>
        <v>2.7824176730045719E-3</v>
      </c>
      <c r="U164" s="407">
        <f t="shared" si="104"/>
        <v>2.1680829277135381</v>
      </c>
      <c r="V164" s="409">
        <f t="shared" si="105"/>
        <v>9.4011671628858144E-3</v>
      </c>
      <c r="W164" s="407">
        <f t="shared" si="106"/>
        <v>9.4011671628858144E-3</v>
      </c>
      <c r="X164" s="407">
        <f t="shared" si="107"/>
        <v>2.1680829277135381</v>
      </c>
      <c r="Y164" s="407">
        <f t="shared" si="108"/>
        <v>2.8203501488657443E-2</v>
      </c>
      <c r="Z164" s="407">
        <f t="shared" si="124"/>
        <v>0.34648335301240835</v>
      </c>
      <c r="AA164" s="407">
        <f t="shared" si="125"/>
        <v>0.14400000000000002</v>
      </c>
      <c r="AB164" s="407">
        <f t="shared" si="126"/>
        <v>0</v>
      </c>
      <c r="AC164" s="407">
        <f t="shared" si="109"/>
        <v>0.52162920853294292</v>
      </c>
      <c r="AD164" s="407">
        <f t="shared" si="110"/>
        <v>4.1473073416202899</v>
      </c>
      <c r="AE164" s="407">
        <f t="shared" si="111"/>
        <v>0.10320094911514534</v>
      </c>
      <c r="AF164" s="407">
        <f t="shared" si="127"/>
        <v>6.6960000000000006E-2</v>
      </c>
      <c r="AG164" s="407">
        <f t="shared" si="112"/>
        <v>0.17374712270906559</v>
      </c>
      <c r="AH164" s="407">
        <f t="shared" si="113"/>
        <v>0</v>
      </c>
      <c r="AI164">
        <f t="shared" si="128"/>
        <v>0</v>
      </c>
      <c r="AJ164" s="408">
        <f t="shared" si="129"/>
        <v>0.45307269</v>
      </c>
      <c r="AK164">
        <f t="shared" si="134"/>
        <v>4.8000000000000001E-2</v>
      </c>
      <c r="AL164" s="408">
        <f t="shared" si="130"/>
        <v>0.1215</v>
      </c>
      <c r="AM164" s="408">
        <f t="shared" si="135"/>
        <v>0.31645971316818772</v>
      </c>
      <c r="AN164" s="408">
        <f t="shared" si="114"/>
        <v>0.16949999999999998</v>
      </c>
      <c r="AO164" s="408">
        <f t="shared" si="115"/>
        <v>1.6406040777841986</v>
      </c>
      <c r="AP164">
        <f t="shared" si="131"/>
        <v>23.715</v>
      </c>
      <c r="AQ164" s="10">
        <f t="shared" si="116"/>
        <v>0.93529619437378553</v>
      </c>
      <c r="AR164" s="63">
        <f t="shared" si="117"/>
        <v>26.081460426647148</v>
      </c>
      <c r="AS164" s="63">
        <f t="shared" si="118"/>
        <v>8.68735613545328</v>
      </c>
      <c r="AT164" s="10"/>
      <c r="AU164">
        <f t="shared" si="119"/>
        <v>93.529619437378557</v>
      </c>
    </row>
    <row r="165" spans="7:47" x14ac:dyDescent="0.25">
      <c r="G165">
        <v>156</v>
      </c>
      <c r="H165">
        <f t="shared" si="120"/>
        <v>4.68</v>
      </c>
      <c r="I165" s="407">
        <f t="shared" si="97"/>
        <v>0.21464499999999997</v>
      </c>
      <c r="J165" s="408">
        <f t="shared" si="121"/>
        <v>1.8273831081081076</v>
      </c>
      <c r="K165" s="408">
        <f t="shared" si="132"/>
        <v>5.5936915540540539</v>
      </c>
      <c r="L165" s="408">
        <f t="shared" si="98"/>
        <v>3.7663084459459459</v>
      </c>
      <c r="M165" s="63">
        <f t="shared" si="122"/>
        <v>0</v>
      </c>
      <c r="N165" s="407">
        <f t="shared" si="99"/>
        <v>4.7096366546316393</v>
      </c>
      <c r="O165" s="407">
        <f t="shared" si="100"/>
        <v>0.11189616014628563</v>
      </c>
      <c r="P165">
        <f t="shared" si="123"/>
        <v>0.2</v>
      </c>
      <c r="Q165" s="407">
        <f t="shared" si="133"/>
        <v>0.31189616014628563</v>
      </c>
      <c r="R165" s="9">
        <f t="shared" si="101"/>
        <v>0.5275200646893955</v>
      </c>
      <c r="S165" s="9">
        <f t="shared" si="102"/>
        <v>2.7827741864990402E-3</v>
      </c>
      <c r="T165" s="9">
        <f t="shared" si="103"/>
        <v>2.7827741864990402E-3</v>
      </c>
      <c r="U165" s="407">
        <f t="shared" si="104"/>
        <v>2.1819650557527512</v>
      </c>
      <c r="V165" s="409">
        <f t="shared" si="105"/>
        <v>9.5219430090522136E-3</v>
      </c>
      <c r="W165" s="407">
        <f t="shared" si="106"/>
        <v>9.5219430090522136E-3</v>
      </c>
      <c r="X165" s="407">
        <f t="shared" si="107"/>
        <v>2.1819650557527512</v>
      </c>
      <c r="Y165" s="407">
        <f t="shared" si="108"/>
        <v>2.8565829027156642E-2</v>
      </c>
      <c r="Z165" s="407">
        <f t="shared" si="124"/>
        <v>0.3487315589078161</v>
      </c>
      <c r="AA165" s="407">
        <f t="shared" si="125"/>
        <v>0.14400000000000002</v>
      </c>
      <c r="AB165" s="407">
        <f t="shared" si="126"/>
        <v>0</v>
      </c>
      <c r="AC165" s="407">
        <f t="shared" si="109"/>
        <v>0.52429275940001208</v>
      </c>
      <c r="AD165" s="407">
        <f t="shared" si="110"/>
        <v>4.1736921201885258</v>
      </c>
      <c r="AE165" s="407">
        <f t="shared" si="111"/>
        <v>0.10451823548474276</v>
      </c>
      <c r="AF165" s="407">
        <f t="shared" si="127"/>
        <v>6.7391999999999994E-2</v>
      </c>
      <c r="AG165" s="407">
        <f t="shared" si="112"/>
        <v>0.17558050847092171</v>
      </c>
      <c r="AH165" s="407">
        <f t="shared" si="113"/>
        <v>0</v>
      </c>
      <c r="AI165">
        <f t="shared" si="128"/>
        <v>0</v>
      </c>
      <c r="AJ165" s="408">
        <f t="shared" si="129"/>
        <v>0.45306928800000001</v>
      </c>
      <c r="AK165">
        <f t="shared" si="134"/>
        <v>4.8000000000000001E-2</v>
      </c>
      <c r="AL165" s="408">
        <f t="shared" si="130"/>
        <v>0.1215</v>
      </c>
      <c r="AM165" s="408">
        <f t="shared" si="135"/>
        <v>0.31645971316818772</v>
      </c>
      <c r="AN165" s="408">
        <f t="shared" si="114"/>
        <v>0.16949999999999998</v>
      </c>
      <c r="AO165" s="408">
        <f t="shared" si="115"/>
        <v>1.6466434332127706</v>
      </c>
      <c r="AP165">
        <f t="shared" si="131"/>
        <v>23.867999999999999</v>
      </c>
      <c r="AQ165" s="10">
        <f t="shared" si="116"/>
        <v>0.93546280834678208</v>
      </c>
      <c r="AR165" s="63">
        <f t="shared" si="117"/>
        <v>26.214637970000602</v>
      </c>
      <c r="AS165" s="63">
        <f t="shared" si="118"/>
        <v>8.7790254235460861</v>
      </c>
      <c r="AT165" s="10"/>
      <c r="AU165">
        <f t="shared" si="119"/>
        <v>93.546280834678214</v>
      </c>
    </row>
    <row r="166" spans="7:47" x14ac:dyDescent="0.25">
      <c r="G166">
        <v>157</v>
      </c>
      <c r="H166">
        <f t="shared" si="120"/>
        <v>4.71</v>
      </c>
      <c r="I166" s="407">
        <f t="shared" si="97"/>
        <v>0.21465875000000001</v>
      </c>
      <c r="J166" s="408">
        <f t="shared" si="121"/>
        <v>1.8275001689189188</v>
      </c>
      <c r="K166" s="408">
        <f t="shared" si="132"/>
        <v>5.6237500844594592</v>
      </c>
      <c r="L166" s="408">
        <f t="shared" si="98"/>
        <v>3.7962499155405407</v>
      </c>
      <c r="M166" s="63">
        <f t="shared" si="122"/>
        <v>0</v>
      </c>
      <c r="N166" s="407">
        <f t="shared" si="99"/>
        <v>4.7394528241436502</v>
      </c>
      <c r="O166" s="407">
        <f t="shared" si="100"/>
        <v>0.11333033447606468</v>
      </c>
      <c r="P166">
        <f t="shared" si="123"/>
        <v>0.2</v>
      </c>
      <c r="Q166" s="407">
        <f t="shared" si="133"/>
        <v>0.31333033447606468</v>
      </c>
      <c r="R166" s="9">
        <f t="shared" si="101"/>
        <v>0.52755385723471215</v>
      </c>
      <c r="S166" s="9">
        <f t="shared" si="102"/>
        <v>2.7831307228322307E-3</v>
      </c>
      <c r="T166" s="9">
        <f t="shared" si="103"/>
        <v>2.7831307228322307E-3</v>
      </c>
      <c r="U166" s="407">
        <f t="shared" si="104"/>
        <v>2.1958491551288253</v>
      </c>
      <c r="V166" s="409">
        <f t="shared" si="105"/>
        <v>9.6435070241599526E-3</v>
      </c>
      <c r="W166" s="407">
        <f t="shared" si="106"/>
        <v>9.6435070241599526E-3</v>
      </c>
      <c r="X166" s="407">
        <f t="shared" si="107"/>
        <v>2.1958491551288253</v>
      </c>
      <c r="Y166" s="407">
        <f t="shared" si="108"/>
        <v>2.8930521072479856E-2</v>
      </c>
      <c r="Z166" s="407">
        <f t="shared" si="124"/>
        <v>0.3509797648032239</v>
      </c>
      <c r="AA166" s="407">
        <f t="shared" si="125"/>
        <v>0.14400000000000002</v>
      </c>
      <c r="AB166" s="407">
        <f t="shared" si="126"/>
        <v>0</v>
      </c>
      <c r="AC166" s="407">
        <f t="shared" si="109"/>
        <v>0.526959327461195</v>
      </c>
      <c r="AD166" s="407">
        <f t="shared" si="110"/>
        <v>4.2000785183378708</v>
      </c>
      <c r="AE166" s="407">
        <f t="shared" si="111"/>
        <v>0.10584395736121946</v>
      </c>
      <c r="AF166" s="407">
        <f t="shared" si="127"/>
        <v>6.7823999999999995E-2</v>
      </c>
      <c r="AG166" s="407">
        <f t="shared" si="112"/>
        <v>0.17742380488912954</v>
      </c>
      <c r="AH166" s="407">
        <f t="shared" si="113"/>
        <v>0</v>
      </c>
      <c r="AI166">
        <f t="shared" si="128"/>
        <v>0</v>
      </c>
      <c r="AJ166" s="408">
        <f t="shared" si="129"/>
        <v>0.45306588600000003</v>
      </c>
      <c r="AK166">
        <f t="shared" si="134"/>
        <v>4.8000000000000001E-2</v>
      </c>
      <c r="AL166" s="408">
        <f t="shared" si="130"/>
        <v>0.1215</v>
      </c>
      <c r="AM166" s="408">
        <f t="shared" si="135"/>
        <v>0.31645971316818772</v>
      </c>
      <c r="AN166" s="408">
        <f t="shared" si="114"/>
        <v>0.16949999999999998</v>
      </c>
      <c r="AO166" s="408">
        <f t="shared" si="115"/>
        <v>1.6527059905733814</v>
      </c>
      <c r="AP166">
        <f t="shared" si="131"/>
        <v>24.020999999999997</v>
      </c>
      <c r="AQ166" s="10">
        <f t="shared" si="116"/>
        <v>0.93562651254243523</v>
      </c>
      <c r="AR166" s="63">
        <f t="shared" si="117"/>
        <v>26.347966373059752</v>
      </c>
      <c r="AS166" s="63">
        <f t="shared" si="118"/>
        <v>8.8711902444564767</v>
      </c>
      <c r="AT166" s="10"/>
      <c r="AU166">
        <f t="shared" si="119"/>
        <v>93.562651254243519</v>
      </c>
    </row>
    <row r="167" spans="7:47" x14ac:dyDescent="0.25">
      <c r="G167">
        <v>158</v>
      </c>
      <c r="H167">
        <f t="shared" si="120"/>
        <v>4.74</v>
      </c>
      <c r="I167" s="407">
        <f t="shared" si="97"/>
        <v>0.21467249999999996</v>
      </c>
      <c r="J167" s="408">
        <f t="shared" si="121"/>
        <v>1.8276172297297291</v>
      </c>
      <c r="K167" s="408">
        <f t="shared" si="132"/>
        <v>5.6538086148648645</v>
      </c>
      <c r="L167" s="408">
        <f t="shared" si="98"/>
        <v>3.8261913851351359</v>
      </c>
      <c r="M167" s="63">
        <f t="shared" si="122"/>
        <v>0</v>
      </c>
      <c r="N167" s="407">
        <f t="shared" si="99"/>
        <v>4.7692712994964346</v>
      </c>
      <c r="O167" s="407">
        <f t="shared" si="100"/>
        <v>0.11477400105836363</v>
      </c>
      <c r="P167">
        <f t="shared" si="123"/>
        <v>0.2</v>
      </c>
      <c r="Q167" s="407">
        <f t="shared" si="133"/>
        <v>0.31477400105836362</v>
      </c>
      <c r="R167" s="9">
        <f t="shared" si="101"/>
        <v>0.52758764978002859</v>
      </c>
      <c r="S167" s="9">
        <f t="shared" si="102"/>
        <v>2.7834872820041412E-3</v>
      </c>
      <c r="T167" s="9">
        <f t="shared" si="103"/>
        <v>2.7834872820041412E-3</v>
      </c>
      <c r="U167" s="407">
        <f t="shared" si="104"/>
        <v>2.209735205483816</v>
      </c>
      <c r="V167" s="409">
        <f t="shared" si="105"/>
        <v>9.7658593567092056E-3</v>
      </c>
      <c r="W167" s="407">
        <f t="shared" si="106"/>
        <v>9.7658593567092056E-3</v>
      </c>
      <c r="X167" s="407">
        <f t="shared" si="107"/>
        <v>2.209735205483816</v>
      </c>
      <c r="Y167" s="407">
        <f t="shared" si="108"/>
        <v>2.9297578070127617E-2</v>
      </c>
      <c r="Z167" s="407">
        <f t="shared" si="124"/>
        <v>0.35322797069863171</v>
      </c>
      <c r="AA167" s="407">
        <f t="shared" si="125"/>
        <v>0.14400000000000002</v>
      </c>
      <c r="AB167" s="407">
        <f t="shared" si="126"/>
        <v>0</v>
      </c>
      <c r="AC167" s="407">
        <f t="shared" si="109"/>
        <v>0.52962891768155385</v>
      </c>
      <c r="AD167" s="407">
        <f t="shared" si="110"/>
        <v>4.2264664969505921</v>
      </c>
      <c r="AE167" s="407">
        <f t="shared" si="111"/>
        <v>0.10717811429907487</v>
      </c>
      <c r="AF167" s="407">
        <f t="shared" si="127"/>
        <v>6.8255999999999997E-2</v>
      </c>
      <c r="AG167" s="407">
        <f t="shared" si="112"/>
        <v>0.1792770290819026</v>
      </c>
      <c r="AH167" s="407">
        <f t="shared" si="113"/>
        <v>0</v>
      </c>
      <c r="AI167">
        <f t="shared" si="128"/>
        <v>0</v>
      </c>
      <c r="AJ167" s="408">
        <f t="shared" si="129"/>
        <v>0.45306248399999999</v>
      </c>
      <c r="AK167">
        <f t="shared" si="134"/>
        <v>4.8000000000000001E-2</v>
      </c>
      <c r="AL167" s="408">
        <f t="shared" si="130"/>
        <v>0.1215</v>
      </c>
      <c r="AM167" s="408">
        <f t="shared" si="135"/>
        <v>0.31645971316818772</v>
      </c>
      <c r="AN167" s="408">
        <f t="shared" si="114"/>
        <v>0.16949999999999998</v>
      </c>
      <c r="AO167" s="408">
        <f t="shared" si="115"/>
        <v>1.6587917784605333</v>
      </c>
      <c r="AP167">
        <f t="shared" si="131"/>
        <v>24.173999999999999</v>
      </c>
      <c r="AQ167" s="10">
        <f t="shared" si="116"/>
        <v>0.93578735923371481</v>
      </c>
      <c r="AR167" s="63">
        <f t="shared" si="117"/>
        <v>26.481445884077694</v>
      </c>
      <c r="AS167" s="63">
        <f t="shared" si="118"/>
        <v>8.9638514540951295</v>
      </c>
      <c r="AT167" s="10"/>
      <c r="AU167">
        <f t="shared" si="119"/>
        <v>93.578735923371482</v>
      </c>
    </row>
    <row r="168" spans="7:47" x14ac:dyDescent="0.25">
      <c r="G168">
        <v>159</v>
      </c>
      <c r="H168">
        <f t="shared" si="120"/>
        <v>4.7700000000000005</v>
      </c>
      <c r="I168" s="407">
        <f t="shared" si="97"/>
        <v>0.21468625</v>
      </c>
      <c r="J168" s="408">
        <f t="shared" si="121"/>
        <v>1.8277342905405403</v>
      </c>
      <c r="K168" s="408">
        <f t="shared" si="132"/>
        <v>5.6838671452702707</v>
      </c>
      <c r="L168" s="408">
        <f t="shared" si="98"/>
        <v>3.8561328547297302</v>
      </c>
      <c r="M168" s="63">
        <f t="shared" si="122"/>
        <v>0</v>
      </c>
      <c r="N168" s="407">
        <f t="shared" si="99"/>
        <v>4.7990920377089541</v>
      </c>
      <c r="O168" s="407">
        <f t="shared" si="100"/>
        <v>0.11622716630020162</v>
      </c>
      <c r="P168">
        <f t="shared" si="123"/>
        <v>0.2</v>
      </c>
      <c r="Q168" s="407">
        <f t="shared" si="133"/>
        <v>0.31622716630020165</v>
      </c>
      <c r="R168" s="9">
        <f t="shared" si="101"/>
        <v>0.52762144232534536</v>
      </c>
      <c r="S168" s="9">
        <f t="shared" si="102"/>
        <v>2.7838438640147771E-3</v>
      </c>
      <c r="T168" s="9">
        <f t="shared" si="103"/>
        <v>2.7838438640147771E-3</v>
      </c>
      <c r="U168" s="407">
        <f t="shared" si="104"/>
        <v>2.2236231869631342</v>
      </c>
      <c r="V168" s="409">
        <f t="shared" si="105"/>
        <v>9.8890001552001724E-3</v>
      </c>
      <c r="W168" s="407">
        <f t="shared" si="106"/>
        <v>9.8890001552001724E-3</v>
      </c>
      <c r="X168" s="407">
        <f t="shared" si="107"/>
        <v>2.2236231869631342</v>
      </c>
      <c r="Y168" s="407">
        <f t="shared" si="108"/>
        <v>2.9667000465600515E-2</v>
      </c>
      <c r="Z168" s="407">
        <f t="shared" si="124"/>
        <v>0.35547617659403957</v>
      </c>
      <c r="AA168" s="407">
        <f t="shared" si="125"/>
        <v>0.14400000000000002</v>
      </c>
      <c r="AB168" s="407">
        <f t="shared" si="126"/>
        <v>0</v>
      </c>
      <c r="AC168" s="407">
        <f t="shared" si="109"/>
        <v>0.53230153503719779</v>
      </c>
      <c r="AD168" s="407">
        <f t="shared" si="110"/>
        <v>4.2528560178780328</v>
      </c>
      <c r="AE168" s="407">
        <f t="shared" si="111"/>
        <v>0.10852070585280839</v>
      </c>
      <c r="AF168" s="407">
        <f t="shared" si="127"/>
        <v>6.8687999999999999E-2</v>
      </c>
      <c r="AG168" s="407">
        <f t="shared" si="112"/>
        <v>0.18114019828811723</v>
      </c>
      <c r="AH168" s="407">
        <f t="shared" si="113"/>
        <v>0</v>
      </c>
      <c r="AI168">
        <f t="shared" si="128"/>
        <v>0</v>
      </c>
      <c r="AJ168" s="408">
        <f t="shared" si="129"/>
        <v>0.453059082</v>
      </c>
      <c r="AK168">
        <f t="shared" si="134"/>
        <v>4.8000000000000001E-2</v>
      </c>
      <c r="AL168" s="408">
        <f t="shared" si="130"/>
        <v>0.1215</v>
      </c>
      <c r="AM168" s="408">
        <f t="shared" si="135"/>
        <v>0.31645971316818772</v>
      </c>
      <c r="AN168" s="408">
        <f t="shared" si="114"/>
        <v>0.16949999999999998</v>
      </c>
      <c r="AO168" s="408">
        <f t="shared" si="115"/>
        <v>1.6649008256447317</v>
      </c>
      <c r="AP168">
        <f t="shared" si="131"/>
        <v>24.327000000000002</v>
      </c>
      <c r="AQ168" s="10">
        <f t="shared" si="116"/>
        <v>0.93594539942218968</v>
      </c>
      <c r="AR168" s="63">
        <f t="shared" si="117"/>
        <v>26.615076751859888</v>
      </c>
      <c r="AS168" s="63">
        <f t="shared" si="118"/>
        <v>9.057009914405862</v>
      </c>
      <c r="AT168" s="10"/>
      <c r="AU168">
        <f t="shared" si="119"/>
        <v>93.594539942218972</v>
      </c>
    </row>
    <row r="169" spans="7:47" x14ac:dyDescent="0.25">
      <c r="G169">
        <v>160</v>
      </c>
      <c r="H169">
        <f t="shared" si="120"/>
        <v>4.8000000000000007</v>
      </c>
      <c r="I169" s="407">
        <f t="shared" si="97"/>
        <v>0.2147</v>
      </c>
      <c r="J169" s="408">
        <f t="shared" si="121"/>
        <v>1.8278513513513512</v>
      </c>
      <c r="K169" s="408">
        <f t="shared" si="132"/>
        <v>5.713925675675676</v>
      </c>
      <c r="L169" s="408">
        <f t="shared" si="98"/>
        <v>3.886074324324325</v>
      </c>
      <c r="M169" s="63">
        <f t="shared" si="122"/>
        <v>0</v>
      </c>
      <c r="N169" s="407">
        <f t="shared" si="99"/>
        <v>4.8289149968586544</v>
      </c>
      <c r="O169" s="407">
        <f t="shared" si="100"/>
        <v>0.11768983665296139</v>
      </c>
      <c r="P169">
        <f t="shared" si="123"/>
        <v>0.2</v>
      </c>
      <c r="Q169" s="407">
        <f t="shared" si="133"/>
        <v>0.31768983665296141</v>
      </c>
      <c r="R169" s="9">
        <f t="shared" si="101"/>
        <v>0.52765523487066202</v>
      </c>
      <c r="S169" s="9">
        <f t="shared" si="102"/>
        <v>2.7842004688641347E-3</v>
      </c>
      <c r="T169" s="9">
        <f t="shared" si="103"/>
        <v>2.7842004688641347E-3</v>
      </c>
      <c r="U169" s="407">
        <f t="shared" si="104"/>
        <v>2.2375130802000944</v>
      </c>
      <c r="V169" s="409">
        <f t="shared" si="105"/>
        <v>1.0012929568133029E-2</v>
      </c>
      <c r="W169" s="407">
        <f t="shared" si="106"/>
        <v>1.0012929568133029E-2</v>
      </c>
      <c r="X169" s="407">
        <f t="shared" si="107"/>
        <v>2.2375130802000944</v>
      </c>
      <c r="Y169" s="407">
        <f t="shared" si="108"/>
        <v>3.0038788704399084E-2</v>
      </c>
      <c r="Z169" s="407">
        <f t="shared" si="124"/>
        <v>0.35772438248944738</v>
      </c>
      <c r="AA169" s="407">
        <f t="shared" si="125"/>
        <v>0.14400000000000002</v>
      </c>
      <c r="AB169" s="407">
        <f t="shared" si="126"/>
        <v>0</v>
      </c>
      <c r="AC169" s="407">
        <f t="shared" si="109"/>
        <v>0.53497718451531251</v>
      </c>
      <c r="AD169" s="407">
        <f t="shared" si="110"/>
        <v>4.2792470439108685</v>
      </c>
      <c r="AE169" s="407">
        <f t="shared" si="111"/>
        <v>0.10987173157691944</v>
      </c>
      <c r="AF169" s="407">
        <f t="shared" si="127"/>
        <v>6.9120000000000015E-2</v>
      </c>
      <c r="AG169" s="407">
        <f t="shared" si="112"/>
        <v>0.18301332986776531</v>
      </c>
      <c r="AH169" s="407">
        <f t="shared" si="113"/>
        <v>0</v>
      </c>
      <c r="AI169">
        <f t="shared" si="128"/>
        <v>0</v>
      </c>
      <c r="AJ169" s="408">
        <f t="shared" si="129"/>
        <v>0.45305568000000002</v>
      </c>
      <c r="AK169">
        <f t="shared" si="134"/>
        <v>4.8000000000000001E-2</v>
      </c>
      <c r="AL169" s="408">
        <f t="shared" si="130"/>
        <v>0.1215</v>
      </c>
      <c r="AM169" s="408">
        <f t="shared" si="135"/>
        <v>0.31645971316818772</v>
      </c>
      <c r="AN169" s="408">
        <f t="shared" si="114"/>
        <v>0.16949999999999998</v>
      </c>
      <c r="AO169" s="408">
        <f t="shared" si="115"/>
        <v>1.6710331610730365</v>
      </c>
      <c r="AP169">
        <f t="shared" si="131"/>
        <v>24.48</v>
      </c>
      <c r="AQ169" s="10">
        <f t="shared" si="116"/>
        <v>0.9361006828762527</v>
      </c>
      <c r="AR169" s="63">
        <f t="shared" si="117"/>
        <v>26.748859225765624</v>
      </c>
      <c r="AS169" s="63">
        <f t="shared" si="118"/>
        <v>9.1506664933882647</v>
      </c>
      <c r="AT169" s="10"/>
      <c r="AU169">
        <f t="shared" si="119"/>
        <v>93.610068287625268</v>
      </c>
    </row>
    <row r="170" spans="7:47" x14ac:dyDescent="0.25">
      <c r="G170">
        <v>161</v>
      </c>
      <c r="H170">
        <f t="shared" si="120"/>
        <v>4.83</v>
      </c>
      <c r="I170" s="407">
        <f t="shared" si="97"/>
        <v>0.21471374999999995</v>
      </c>
      <c r="J170" s="408">
        <f t="shared" si="121"/>
        <v>1.8279684121621613</v>
      </c>
      <c r="K170" s="408">
        <f t="shared" si="132"/>
        <v>5.7439842060810804</v>
      </c>
      <c r="L170" s="408">
        <f t="shared" si="98"/>
        <v>3.9160157939189193</v>
      </c>
      <c r="M170" s="63">
        <f t="shared" si="122"/>
        <v>0</v>
      </c>
      <c r="N170" s="407">
        <f t="shared" si="99"/>
        <v>4.8587401360491818</v>
      </c>
      <c r="O170" s="407">
        <f t="shared" si="100"/>
        <v>0.11916201861246208</v>
      </c>
      <c r="P170">
        <f t="shared" si="123"/>
        <v>0.2</v>
      </c>
      <c r="Q170" s="407">
        <f t="shared" si="133"/>
        <v>0.31916201861246207</v>
      </c>
      <c r="R170" s="9">
        <f t="shared" si="101"/>
        <v>0.52768902741597834</v>
      </c>
      <c r="S170" s="9">
        <f t="shared" si="102"/>
        <v>2.7845570965522115E-3</v>
      </c>
      <c r="T170" s="9">
        <f t="shared" si="103"/>
        <v>2.7845570965522115E-3</v>
      </c>
      <c r="U170" s="407">
        <f t="shared" si="104"/>
        <v>2.2514048663010353</v>
      </c>
      <c r="V170" s="409">
        <f t="shared" si="105"/>
        <v>1.0137647744007966E-2</v>
      </c>
      <c r="W170" s="407">
        <f t="shared" si="106"/>
        <v>1.0137647744007966E-2</v>
      </c>
      <c r="X170" s="407">
        <f t="shared" si="107"/>
        <v>2.2514048663010353</v>
      </c>
      <c r="Y170" s="407">
        <f t="shared" si="108"/>
        <v>3.0412943232023898E-2</v>
      </c>
      <c r="Z170" s="407">
        <f t="shared" si="124"/>
        <v>0.35997258838485507</v>
      </c>
      <c r="AA170" s="407">
        <f t="shared" si="125"/>
        <v>0.14400000000000002</v>
      </c>
      <c r="AB170" s="407">
        <f t="shared" si="126"/>
        <v>0</v>
      </c>
      <c r="AC170" s="407">
        <f t="shared" si="109"/>
        <v>0.53765587111419111</v>
      </c>
      <c r="AD170" s="407">
        <f t="shared" si="110"/>
        <v>4.305639538750456</v>
      </c>
      <c r="AE170" s="407">
        <f t="shared" si="111"/>
        <v>0.11123119102590744</v>
      </c>
      <c r="AF170" s="407">
        <f t="shared" si="127"/>
        <v>6.9552000000000003E-2</v>
      </c>
      <c r="AG170" s="407">
        <f t="shared" si="112"/>
        <v>0.18489644130241126</v>
      </c>
      <c r="AH170" s="407">
        <f t="shared" si="113"/>
        <v>0</v>
      </c>
      <c r="AI170">
        <f t="shared" si="128"/>
        <v>0</v>
      </c>
      <c r="AJ170" s="408">
        <f t="shared" si="129"/>
        <v>0.45305227799999997</v>
      </c>
      <c r="AK170">
        <f t="shared" si="134"/>
        <v>4.8000000000000001E-2</v>
      </c>
      <c r="AL170" s="408">
        <f t="shared" si="130"/>
        <v>0.1215</v>
      </c>
      <c r="AM170" s="408">
        <f t="shared" si="135"/>
        <v>0.31645971316818772</v>
      </c>
      <c r="AN170" s="408">
        <f t="shared" si="114"/>
        <v>0.16949999999999998</v>
      </c>
      <c r="AO170" s="408">
        <f t="shared" si="115"/>
        <v>1.6771888138696245</v>
      </c>
      <c r="AP170">
        <f t="shared" si="131"/>
        <v>24.632999999999999</v>
      </c>
      <c r="AQ170" s="10">
        <f t="shared" si="116"/>
        <v>0.93625325816797333</v>
      </c>
      <c r="AR170" s="63">
        <f t="shared" si="117"/>
        <v>26.882793555709554</v>
      </c>
      <c r="AS170" s="63">
        <f t="shared" si="118"/>
        <v>9.2448220651205624</v>
      </c>
      <c r="AT170" s="10"/>
      <c r="AU170">
        <f t="shared" si="119"/>
        <v>93.625325816797329</v>
      </c>
    </row>
    <row r="171" spans="7:47" x14ac:dyDescent="0.25">
      <c r="G171">
        <v>162</v>
      </c>
      <c r="H171">
        <f t="shared" si="120"/>
        <v>4.8600000000000003</v>
      </c>
      <c r="I171" s="407">
        <f t="shared" si="97"/>
        <v>0.21472749999999999</v>
      </c>
      <c r="J171" s="408">
        <f t="shared" si="121"/>
        <v>1.8280854729729727</v>
      </c>
      <c r="K171" s="408">
        <f t="shared" si="132"/>
        <v>5.7740427364864866</v>
      </c>
      <c r="L171" s="408">
        <f t="shared" si="98"/>
        <v>3.9459572635135141</v>
      </c>
      <c r="M171" s="63">
        <f t="shared" si="122"/>
        <v>0</v>
      </c>
      <c r="N171" s="407">
        <f t="shared" si="99"/>
        <v>4.8885674153792644</v>
      </c>
      <c r="O171" s="407">
        <f t="shared" si="100"/>
        <v>0.1206437187190323</v>
      </c>
      <c r="P171">
        <f t="shared" si="123"/>
        <v>0.2</v>
      </c>
      <c r="Q171" s="407">
        <f t="shared" si="133"/>
        <v>0.3206437187190323</v>
      </c>
      <c r="R171" s="9">
        <f t="shared" si="101"/>
        <v>0.52772281996129511</v>
      </c>
      <c r="S171" s="9">
        <f t="shared" si="102"/>
        <v>2.7849137470790149E-3</v>
      </c>
      <c r="T171" s="9">
        <f t="shared" si="103"/>
        <v>2.7849137470790149E-3</v>
      </c>
      <c r="U171" s="407">
        <f t="shared" si="104"/>
        <v>2.2652985268309762</v>
      </c>
      <c r="V171" s="409">
        <f t="shared" si="105"/>
        <v>1.0263154831325181E-2</v>
      </c>
      <c r="W171" s="407">
        <f t="shared" si="106"/>
        <v>1.0263154831325181E-2</v>
      </c>
      <c r="X171" s="407">
        <f t="shared" si="107"/>
        <v>2.2652985268309762</v>
      </c>
      <c r="Y171" s="407">
        <f t="shared" si="108"/>
        <v>3.0789464493975544E-2</v>
      </c>
      <c r="Z171" s="407">
        <f t="shared" si="124"/>
        <v>0.36222079428026305</v>
      </c>
      <c r="AA171" s="407">
        <f t="shared" si="125"/>
        <v>0.14400000000000002</v>
      </c>
      <c r="AB171" s="407">
        <f t="shared" si="126"/>
        <v>0</v>
      </c>
      <c r="AC171" s="407">
        <f t="shared" si="109"/>
        <v>0.54033759984326546</v>
      </c>
      <c r="AD171" s="407">
        <f t="shared" si="110"/>
        <v>4.3320334669812182</v>
      </c>
      <c r="AE171" s="407">
        <f t="shared" si="111"/>
        <v>0.11259908375427187</v>
      </c>
      <c r="AF171" s="407">
        <f t="shared" si="127"/>
        <v>6.9984000000000005E-2</v>
      </c>
      <c r="AG171" s="407">
        <f t="shared" si="112"/>
        <v>0.18678955019565247</v>
      </c>
      <c r="AH171" s="407">
        <f t="shared" si="113"/>
        <v>0</v>
      </c>
      <c r="AI171">
        <f t="shared" si="128"/>
        <v>0</v>
      </c>
      <c r="AJ171" s="408">
        <f t="shared" si="129"/>
        <v>0.45304887599999999</v>
      </c>
      <c r="AK171">
        <f t="shared" si="134"/>
        <v>4.8000000000000001E-2</v>
      </c>
      <c r="AL171" s="408">
        <f t="shared" si="130"/>
        <v>0.1215</v>
      </c>
      <c r="AM171" s="408">
        <f t="shared" si="135"/>
        <v>0.31645971316818772</v>
      </c>
      <c r="AN171" s="408">
        <f t="shared" si="114"/>
        <v>0.16949999999999998</v>
      </c>
      <c r="AO171" s="408">
        <f t="shared" si="115"/>
        <v>1.6833678133363543</v>
      </c>
      <c r="AP171">
        <f t="shared" si="131"/>
        <v>24.786000000000001</v>
      </c>
      <c r="AQ171" s="10">
        <f t="shared" si="116"/>
        <v>0.93640317270863549</v>
      </c>
      <c r="AR171" s="63">
        <f t="shared" si="117"/>
        <v>27.016879992163272</v>
      </c>
      <c r="AS171" s="63">
        <f t="shared" si="118"/>
        <v>9.3394775097826237</v>
      </c>
      <c r="AT171" s="10"/>
      <c r="AU171">
        <f t="shared" si="119"/>
        <v>93.640317270863548</v>
      </c>
    </row>
    <row r="172" spans="7:47" x14ac:dyDescent="0.25">
      <c r="G172">
        <v>163</v>
      </c>
      <c r="H172">
        <f t="shared" si="120"/>
        <v>4.8899999999999997</v>
      </c>
      <c r="I172" s="407">
        <f t="shared" si="97"/>
        <v>0.21474124999999999</v>
      </c>
      <c r="J172" s="408">
        <f t="shared" si="121"/>
        <v>1.8282025337837835</v>
      </c>
      <c r="K172" s="408">
        <f t="shared" si="132"/>
        <v>5.804101266891891</v>
      </c>
      <c r="L172" s="408">
        <f t="shared" si="98"/>
        <v>3.9758987331081079</v>
      </c>
      <c r="M172" s="63">
        <f t="shared" si="122"/>
        <v>0</v>
      </c>
      <c r="N172" s="407">
        <f t="shared" si="99"/>
        <v>4.9183967959127139</v>
      </c>
      <c r="O172" s="407">
        <f t="shared" si="100"/>
        <v>0.12213494355758332</v>
      </c>
      <c r="P172">
        <f t="shared" si="123"/>
        <v>0.2</v>
      </c>
      <c r="Q172" s="407">
        <f t="shared" si="133"/>
        <v>0.32213494355758332</v>
      </c>
      <c r="R172" s="9">
        <f t="shared" si="101"/>
        <v>0.52775661250661166</v>
      </c>
      <c r="S172" s="9">
        <f t="shared" si="102"/>
        <v>2.7852704204445384E-3</v>
      </c>
      <c r="T172" s="9">
        <f t="shared" si="103"/>
        <v>2.7852704204445384E-3</v>
      </c>
      <c r="U172" s="407">
        <f t="shared" si="104"/>
        <v>2.2791940437997877</v>
      </c>
      <c r="V172" s="409">
        <f t="shared" si="105"/>
        <v>1.0389450978584859E-2</v>
      </c>
      <c r="W172" s="407">
        <f t="shared" si="106"/>
        <v>1.0389450978584859E-2</v>
      </c>
      <c r="X172" s="407">
        <f t="shared" si="107"/>
        <v>2.2791940437997877</v>
      </c>
      <c r="Y172" s="407">
        <f t="shared" si="108"/>
        <v>3.1168352935754574E-2</v>
      </c>
      <c r="Z172" s="407">
        <f t="shared" si="124"/>
        <v>0.36446900017567069</v>
      </c>
      <c r="AA172" s="407">
        <f t="shared" si="125"/>
        <v>0.14400000000000002</v>
      </c>
      <c r="AB172" s="407">
        <f t="shared" si="126"/>
        <v>0</v>
      </c>
      <c r="AC172" s="407">
        <f t="shared" si="109"/>
        <v>0.54302237572313539</v>
      </c>
      <c r="AD172" s="407">
        <f t="shared" si="110"/>
        <v>4.3584287940440216</v>
      </c>
      <c r="AE172" s="407">
        <f t="shared" si="111"/>
        <v>0.11397540931651215</v>
      </c>
      <c r="AF172" s="407">
        <f t="shared" si="127"/>
        <v>7.0415999999999992E-2</v>
      </c>
      <c r="AG172" s="407">
        <f t="shared" si="112"/>
        <v>0.18869267427358397</v>
      </c>
      <c r="AH172" s="407">
        <f t="shared" si="113"/>
        <v>0</v>
      </c>
      <c r="AI172">
        <f t="shared" si="128"/>
        <v>0</v>
      </c>
      <c r="AJ172" s="408">
        <f t="shared" si="129"/>
        <v>0.453045474</v>
      </c>
      <c r="AK172">
        <f t="shared" si="134"/>
        <v>4.8000000000000001E-2</v>
      </c>
      <c r="AL172" s="408">
        <f t="shared" si="130"/>
        <v>0.1215</v>
      </c>
      <c r="AM172" s="408">
        <f t="shared" si="135"/>
        <v>0.31645971316818772</v>
      </c>
      <c r="AN172" s="408">
        <f t="shared" si="114"/>
        <v>0.16949999999999998</v>
      </c>
      <c r="AO172" s="408">
        <f t="shared" si="115"/>
        <v>1.6895701889533321</v>
      </c>
      <c r="AP172">
        <f t="shared" si="131"/>
        <v>24.938999999999997</v>
      </c>
      <c r="AQ172" s="10">
        <f t="shared" si="116"/>
        <v>0.93655047278301717</v>
      </c>
      <c r="AR172" s="63">
        <f t="shared" si="117"/>
        <v>27.151118786156768</v>
      </c>
      <c r="AS172" s="63">
        <f t="shared" si="118"/>
        <v>9.4346337136791991</v>
      </c>
      <c r="AT172" s="10"/>
      <c r="AU172">
        <f t="shared" si="119"/>
        <v>93.655047278301723</v>
      </c>
    </row>
    <row r="173" spans="7:47" x14ac:dyDescent="0.25">
      <c r="G173">
        <v>164</v>
      </c>
      <c r="H173">
        <f t="shared" si="120"/>
        <v>4.92</v>
      </c>
      <c r="I173" s="407">
        <f t="shared" si="97"/>
        <v>0.214755</v>
      </c>
      <c r="J173" s="408">
        <f t="shared" si="121"/>
        <v>1.8283195945945945</v>
      </c>
      <c r="K173" s="408">
        <f t="shared" si="132"/>
        <v>5.8341597972972972</v>
      </c>
      <c r="L173" s="408">
        <f t="shared" si="98"/>
        <v>4.0058402027027027</v>
      </c>
      <c r="M173" s="63">
        <f t="shared" si="122"/>
        <v>0</v>
      </c>
      <c r="N173" s="407">
        <f t="shared" si="99"/>
        <v>4.9482282396495085</v>
      </c>
      <c r="O173" s="407">
        <f t="shared" si="100"/>
        <v>0.12363569975768336</v>
      </c>
      <c r="P173">
        <f t="shared" si="123"/>
        <v>0.2</v>
      </c>
      <c r="Q173" s="407">
        <f t="shared" si="133"/>
        <v>0.32363569975768336</v>
      </c>
      <c r="R173" s="9">
        <f t="shared" si="101"/>
        <v>0.52779040505192831</v>
      </c>
      <c r="S173" s="9">
        <f t="shared" si="102"/>
        <v>2.7856271166487858E-3</v>
      </c>
      <c r="T173" s="9">
        <f t="shared" si="103"/>
        <v>2.7856271166487858E-3</v>
      </c>
      <c r="U173" s="407">
        <f t="shared" si="104"/>
        <v>2.2930913996488651</v>
      </c>
      <c r="V173" s="409">
        <f t="shared" si="105"/>
        <v>1.0516536334287183E-2</v>
      </c>
      <c r="W173" s="407">
        <f t="shared" si="106"/>
        <v>1.0516536334287183E-2</v>
      </c>
      <c r="X173" s="407">
        <f t="shared" si="107"/>
        <v>2.2930913996488651</v>
      </c>
      <c r="Y173" s="407">
        <f t="shared" si="108"/>
        <v>3.1549609002861551E-2</v>
      </c>
      <c r="Z173" s="407">
        <f t="shared" si="124"/>
        <v>0.36671720607107855</v>
      </c>
      <c r="AA173" s="407">
        <f t="shared" si="125"/>
        <v>0.14400000000000002</v>
      </c>
      <c r="AB173" s="407">
        <f t="shared" si="126"/>
        <v>0</v>
      </c>
      <c r="AC173" s="407">
        <f t="shared" si="109"/>
        <v>0.54571020378560153</v>
      </c>
      <c r="AD173" s="407">
        <f t="shared" si="110"/>
        <v>4.3848254862105156</v>
      </c>
      <c r="AE173" s="407">
        <f t="shared" si="111"/>
        <v>0.11536016726712771</v>
      </c>
      <c r="AF173" s="407">
        <f t="shared" si="127"/>
        <v>7.0847999999999994E-2</v>
      </c>
      <c r="AG173" s="407">
        <f t="shared" si="112"/>
        <v>0.19060583138526654</v>
      </c>
      <c r="AH173" s="407">
        <f t="shared" si="113"/>
        <v>0</v>
      </c>
      <c r="AI173">
        <f t="shared" si="128"/>
        <v>0</v>
      </c>
      <c r="AJ173" s="408">
        <f t="shared" si="129"/>
        <v>0.45304207199999996</v>
      </c>
      <c r="AK173">
        <f t="shared" si="134"/>
        <v>4.8000000000000001E-2</v>
      </c>
      <c r="AL173" s="408">
        <f t="shared" si="130"/>
        <v>0.1215</v>
      </c>
      <c r="AM173" s="408">
        <f t="shared" si="135"/>
        <v>0.31645971316818772</v>
      </c>
      <c r="AN173" s="408">
        <f t="shared" si="114"/>
        <v>0.16949999999999998</v>
      </c>
      <c r="AO173" s="408">
        <f t="shared" si="115"/>
        <v>1.6957959703794874</v>
      </c>
      <c r="AP173">
        <f t="shared" si="131"/>
        <v>25.091999999999999</v>
      </c>
      <c r="AQ173" s="10">
        <f t="shared" si="116"/>
        <v>0.9366952035824595</v>
      </c>
      <c r="AR173" s="63">
        <f t="shared" si="117"/>
        <v>27.285510189280078</v>
      </c>
      <c r="AS173" s="63">
        <f t="shared" si="118"/>
        <v>9.5302915692633263</v>
      </c>
      <c r="AT173" s="10"/>
      <c r="AU173">
        <f t="shared" si="119"/>
        <v>93.669520358245947</v>
      </c>
    </row>
    <row r="174" spans="7:47" x14ac:dyDescent="0.25">
      <c r="G174">
        <v>165</v>
      </c>
      <c r="H174">
        <f t="shared" si="120"/>
        <v>4.9499999999999993</v>
      </c>
      <c r="I174" s="407">
        <f t="shared" ref="I174:I209" si="136">(Vout+Rdcr*H174+RdsonBot*H174)/(Vin-RdsonTop*H174+RdsonBot*H174)</f>
        <v>0.21476874999999998</v>
      </c>
      <c r="J174" s="408">
        <f t="shared" si="121"/>
        <v>1.828436655405405</v>
      </c>
      <c r="K174" s="408">
        <f t="shared" si="132"/>
        <v>5.8642183277027016</v>
      </c>
      <c r="L174" s="408">
        <f t="shared" ref="L174:L209" si="137">H174-J174/2</f>
        <v>4.035781672297297</v>
      </c>
      <c r="M174" s="63">
        <f t="shared" si="122"/>
        <v>0</v>
      </c>
      <c r="N174" s="407">
        <f t="shared" ref="N174:N209" si="138">SQRT(H174^2+(J174^2)/12)</f>
        <v>4.9780617094979016</v>
      </c>
      <c r="O174" s="407">
        <f t="shared" ref="O174:O209" si="139">(N174^2*Rdcr*(1+Ltc*Ta-Ltc*25))/(1-N174^2*Rdcr*Ltc*ThetaCa)</f>
        <v>0.12514599399363216</v>
      </c>
      <c r="P174">
        <f t="shared" si="123"/>
        <v>0.2</v>
      </c>
      <c r="Q174" s="407">
        <f t="shared" si="133"/>
        <v>0.3251459939936322</v>
      </c>
      <c r="R174" s="9">
        <f t="shared" ref="R174:R209" si="140">J174/(2*SQRT(3))</f>
        <v>0.52782419759724486</v>
      </c>
      <c r="S174" s="9">
        <f t="shared" ref="S174:S209" si="141">RCoutEsr*R174^2</f>
        <v>2.7859838356917538E-3</v>
      </c>
      <c r="T174" s="9">
        <f t="shared" ref="T174:T209" si="142">S174</f>
        <v>2.7859838356917538E-3</v>
      </c>
      <c r="U174" s="407">
        <f t="shared" ref="U174:U209" si="143">SQRT(I174)*SQRT(H174^2+(J174^2)/12)</f>
        <v>2.3069905772382713</v>
      </c>
      <c r="V174" s="409">
        <f t="shared" ref="V174:V209" si="144">RCinEsr*U174^2</f>
        <v>1.0644411046932345E-2</v>
      </c>
      <c r="W174" s="407">
        <f t="shared" ref="W174:W209" si="145">V174</f>
        <v>1.0644411046932345E-2</v>
      </c>
      <c r="X174" s="407">
        <f t="shared" ref="X174:X209" si="146">SQRT(I174)*SQRT(H174^2+(J174^2)/12)</f>
        <v>2.3069905772382713</v>
      </c>
      <c r="Y174" s="407">
        <f t="shared" ref="Y174:Y209" si="147">RdsonTop*X174^2</f>
        <v>3.1933233140797032E-2</v>
      </c>
      <c r="Z174" s="407">
        <f t="shared" si="124"/>
        <v>0.3689654119664863</v>
      </c>
      <c r="AA174" s="407">
        <f t="shared" si="125"/>
        <v>0.14400000000000002</v>
      </c>
      <c r="AB174" s="407">
        <f t="shared" si="126"/>
        <v>0</v>
      </c>
      <c r="AC174" s="407">
        <f t="shared" ref="AC174:AC209" si="148">(AB174+AA174+Z174+Y174*(1+RdsonTopTc*Ta-RdsonTopTc*25))/(1-Y174*RdsonTopTc*ThetaJaTop)</f>
        <v>0.54840108907369478</v>
      </c>
      <c r="AD174" s="407">
        <f t="shared" ref="AD174:AD209" si="149">SQRT(1-I174)*SQRT(H174^2+(J174^2)/12)</f>
        <v>4.4112235105583801</v>
      </c>
      <c r="AE174" s="407">
        <f t="shared" ref="AE174:AE209" si="150">RdsonBot*AD174^2</f>
        <v>0.11675335716061799</v>
      </c>
      <c r="AF174" s="407">
        <f t="shared" si="127"/>
        <v>7.1279999999999982E-2</v>
      </c>
      <c r="AG174" s="407">
        <f t="shared" ref="AG174:AG209" si="151">(AF174+AE174*(1+RdsonBotTc*Ta-RdsonBotTc*25))/(1-AE174*RdsonBotTc*ThetaJaBot)</f>
        <v>0.19252903950319952</v>
      </c>
      <c r="AH174" s="407">
        <f t="shared" ref="AH174:AH209" si="152">IF(RDSON_sense=1, 0, AD174^2*Rshunt)</f>
        <v>0</v>
      </c>
      <c r="AI174">
        <f t="shared" si="128"/>
        <v>0</v>
      </c>
      <c r="AJ174" s="408">
        <f t="shared" si="129"/>
        <v>0.45303867000000003</v>
      </c>
      <c r="AK174">
        <f t="shared" si="134"/>
        <v>4.8000000000000001E-2</v>
      </c>
      <c r="AL174" s="408">
        <f t="shared" si="130"/>
        <v>0.1215</v>
      </c>
      <c r="AM174" s="408">
        <f t="shared" si="135"/>
        <v>0.31645971316818772</v>
      </c>
      <c r="AN174" s="408">
        <f t="shared" ref="AN174:AN209" si="153">SUM(AK174:AL174)</f>
        <v>0.16949999999999998</v>
      </c>
      <c r="AO174" s="408">
        <f t="shared" ref="AO174:AO209" si="154">SUM(Q174,T174,W174,AC174,AJ174,AI174,AG174,AN174, AH174)</f>
        <v>1.7020451874531506</v>
      </c>
      <c r="AP174">
        <f t="shared" si="131"/>
        <v>25.244999999999994</v>
      </c>
      <c r="AQ174" s="10">
        <f t="shared" ref="AQ174:AQ209" si="155">AP174/(AP174+AO174)</f>
        <v>0.93683740923677805</v>
      </c>
      <c r="AR174" s="63">
        <f t="shared" ref="AR174:AR209" si="156">ThetaJaTop*AC174</f>
        <v>27.420054453684738</v>
      </c>
      <c r="AS174" s="63">
        <f t="shared" ref="AS174:AS209" si="157">AG174*ThetaJaBot</f>
        <v>9.6264519751599753</v>
      </c>
      <c r="AT174" s="10"/>
      <c r="AU174">
        <f t="shared" ref="AU174:AU209" si="158">AQ174*100</f>
        <v>93.683740923677803</v>
      </c>
    </row>
    <row r="175" spans="7:47" x14ac:dyDescent="0.25">
      <c r="G175">
        <v>166</v>
      </c>
      <c r="H175">
        <f t="shared" si="120"/>
        <v>4.9799999999999995</v>
      </c>
      <c r="I175" s="407">
        <f t="shared" si="136"/>
        <v>0.21478249999999999</v>
      </c>
      <c r="J175" s="408">
        <f t="shared" si="121"/>
        <v>1.828553716216216</v>
      </c>
      <c r="K175" s="408">
        <f t="shared" si="132"/>
        <v>5.8942768581081078</v>
      </c>
      <c r="L175" s="408">
        <f t="shared" si="137"/>
        <v>4.0657231418918913</v>
      </c>
      <c r="M175" s="63">
        <f t="shared" si="122"/>
        <v>0</v>
      </c>
      <c r="N175" s="407">
        <f t="shared" si="138"/>
        <v>5.0078971692475216</v>
      </c>
      <c r="O175" s="407">
        <f t="shared" si="139"/>
        <v>0.12666583298453607</v>
      </c>
      <c r="P175">
        <f t="shared" si="123"/>
        <v>0.2</v>
      </c>
      <c r="Q175" s="407">
        <f t="shared" si="133"/>
        <v>0.32666583298453611</v>
      </c>
      <c r="R175" s="9">
        <f t="shared" si="140"/>
        <v>0.52785799014256141</v>
      </c>
      <c r="S175" s="9">
        <f t="shared" si="141"/>
        <v>2.7863405775734448E-3</v>
      </c>
      <c r="T175" s="9">
        <f t="shared" si="142"/>
        <v>2.7863405775734448E-3</v>
      </c>
      <c r="U175" s="407">
        <f t="shared" si="143"/>
        <v>2.3208915598343376</v>
      </c>
      <c r="V175" s="409">
        <f t="shared" si="144"/>
        <v>1.0773075265020528E-2</v>
      </c>
      <c r="W175" s="407">
        <f t="shared" si="145"/>
        <v>1.0773075265020528E-2</v>
      </c>
      <c r="X175" s="407">
        <f t="shared" si="146"/>
        <v>2.3208915598343376</v>
      </c>
      <c r="Y175" s="407">
        <f t="shared" si="147"/>
        <v>3.2319225795061586E-2</v>
      </c>
      <c r="Z175" s="407">
        <f t="shared" si="124"/>
        <v>0.37121361786189416</v>
      </c>
      <c r="AA175" s="407">
        <f t="shared" si="125"/>
        <v>0.14400000000000002</v>
      </c>
      <c r="AB175" s="407">
        <f t="shared" si="126"/>
        <v>0</v>
      </c>
      <c r="AC175" s="407">
        <f t="shared" si="148"/>
        <v>0.55109503664170811</v>
      </c>
      <c r="AD175" s="407">
        <f t="shared" si="149"/>
        <v>4.4376228349474536</v>
      </c>
      <c r="AE175" s="407">
        <f t="shared" si="150"/>
        <v>0.11815497855148245</v>
      </c>
      <c r="AF175" s="407">
        <f t="shared" si="127"/>
        <v>7.1711999999999998E-2</v>
      </c>
      <c r="AG175" s="407">
        <f t="shared" si="151"/>
        <v>0.1944623167237968</v>
      </c>
      <c r="AH175" s="407">
        <f t="shared" si="152"/>
        <v>0</v>
      </c>
      <c r="AI175">
        <f t="shared" si="128"/>
        <v>0</v>
      </c>
      <c r="AJ175" s="408">
        <f t="shared" si="129"/>
        <v>0.45303526800000005</v>
      </c>
      <c r="AK175">
        <f t="shared" si="134"/>
        <v>4.8000000000000001E-2</v>
      </c>
      <c r="AL175" s="408">
        <f t="shared" si="130"/>
        <v>0.1215</v>
      </c>
      <c r="AM175" s="408">
        <f t="shared" si="135"/>
        <v>0.31645971316818772</v>
      </c>
      <c r="AN175" s="408">
        <f t="shared" si="153"/>
        <v>0.16949999999999998</v>
      </c>
      <c r="AO175" s="408">
        <f t="shared" si="154"/>
        <v>1.7083178701926351</v>
      </c>
      <c r="AP175">
        <f t="shared" si="131"/>
        <v>25.397999999999996</v>
      </c>
      <c r="AQ175" s="10">
        <f t="shared" si="155"/>
        <v>0.93697713284506345</v>
      </c>
      <c r="AR175" s="63">
        <f t="shared" si="156"/>
        <v>27.554751832085405</v>
      </c>
      <c r="AS175" s="63">
        <f t="shared" si="157"/>
        <v>9.7231158361898391</v>
      </c>
      <c r="AT175" s="10"/>
      <c r="AU175">
        <f t="shared" si="158"/>
        <v>93.697713284506349</v>
      </c>
    </row>
    <row r="176" spans="7:47" x14ac:dyDescent="0.25">
      <c r="G176">
        <v>167</v>
      </c>
      <c r="H176">
        <f t="shared" si="120"/>
        <v>5.01</v>
      </c>
      <c r="I176" s="407">
        <f t="shared" si="136"/>
        <v>0.21479624999999999</v>
      </c>
      <c r="J176" s="408">
        <f t="shared" si="121"/>
        <v>1.828670777027027</v>
      </c>
      <c r="K176" s="408">
        <f t="shared" si="132"/>
        <v>5.924335388513513</v>
      </c>
      <c r="L176" s="408">
        <f t="shared" si="137"/>
        <v>4.0956646114864865</v>
      </c>
      <c r="M176" s="63">
        <f t="shared" si="122"/>
        <v>0</v>
      </c>
      <c r="N176" s="407">
        <f t="shared" si="138"/>
        <v>5.0377345835434184</v>
      </c>
      <c r="O176" s="407">
        <f t="shared" si="139"/>
        <v>0.1281952234943837</v>
      </c>
      <c r="P176">
        <f t="shared" si="123"/>
        <v>0.2</v>
      </c>
      <c r="Q176" s="407">
        <f t="shared" si="133"/>
        <v>0.32819522349438368</v>
      </c>
      <c r="R176" s="9">
        <f t="shared" si="140"/>
        <v>0.52789178268787806</v>
      </c>
      <c r="S176" s="9">
        <f t="shared" si="141"/>
        <v>2.7866973422938589E-3</v>
      </c>
      <c r="T176" s="9">
        <f t="shared" si="142"/>
        <v>2.7866973422938589E-3</v>
      </c>
      <c r="U176" s="407">
        <f t="shared" si="143"/>
        <v>2.3347943310977022</v>
      </c>
      <c r="V176" s="409">
        <f t="shared" si="144"/>
        <v>1.0902529137051933E-2</v>
      </c>
      <c r="W176" s="407">
        <f t="shared" si="145"/>
        <v>1.0902529137051933E-2</v>
      </c>
      <c r="X176" s="407">
        <f t="shared" si="146"/>
        <v>2.3347943310977022</v>
      </c>
      <c r="Y176" s="407">
        <f t="shared" si="147"/>
        <v>3.27075874111558E-2</v>
      </c>
      <c r="Z176" s="407">
        <f t="shared" si="124"/>
        <v>0.37346182375730197</v>
      </c>
      <c r="AA176" s="407">
        <f t="shared" si="125"/>
        <v>0.14400000000000002</v>
      </c>
      <c r="AB176" s="407">
        <f t="shared" si="126"/>
        <v>0</v>
      </c>
      <c r="AC176" s="407">
        <f t="shared" si="148"/>
        <v>0.55379205155522693</v>
      </c>
      <c r="AD176" s="407">
        <f t="shared" si="149"/>
        <v>4.4640234279967004</v>
      </c>
      <c r="AE176" s="407">
        <f t="shared" si="150"/>
        <v>0.11956503099422047</v>
      </c>
      <c r="AF176" s="407">
        <f t="shared" si="127"/>
        <v>7.2144E-2</v>
      </c>
      <c r="AG176" s="407">
        <f t="shared" si="151"/>
        <v>0.1964056812678672</v>
      </c>
      <c r="AH176" s="407">
        <f t="shared" si="152"/>
        <v>0</v>
      </c>
      <c r="AI176">
        <f t="shared" si="128"/>
        <v>0</v>
      </c>
      <c r="AJ176" s="408">
        <f t="shared" si="129"/>
        <v>0.45303186600000001</v>
      </c>
      <c r="AK176">
        <f t="shared" si="134"/>
        <v>4.8000000000000001E-2</v>
      </c>
      <c r="AL176" s="408">
        <f t="shared" si="130"/>
        <v>0.1215</v>
      </c>
      <c r="AM176" s="408">
        <f t="shared" si="135"/>
        <v>0.31645971316818772</v>
      </c>
      <c r="AN176" s="408">
        <f t="shared" si="153"/>
        <v>0.16949999999999998</v>
      </c>
      <c r="AO176" s="408">
        <f t="shared" si="154"/>
        <v>1.7146140487968236</v>
      </c>
      <c r="AP176">
        <f t="shared" si="131"/>
        <v>25.550999999999998</v>
      </c>
      <c r="AQ176" s="10">
        <f t="shared" si="155"/>
        <v>0.93711441650541205</v>
      </c>
      <c r="AR176" s="63">
        <f t="shared" si="156"/>
        <v>27.689602577761345</v>
      </c>
      <c r="AS176" s="63">
        <f t="shared" si="157"/>
        <v>9.8202840633933608</v>
      </c>
      <c r="AT176" s="10"/>
      <c r="AU176">
        <f t="shared" si="158"/>
        <v>93.711441650541204</v>
      </c>
    </row>
    <row r="177" spans="7:47" x14ac:dyDescent="0.25">
      <c r="G177">
        <v>168</v>
      </c>
      <c r="H177">
        <f t="shared" si="120"/>
        <v>5.04</v>
      </c>
      <c r="I177" s="407">
        <f t="shared" si="136"/>
        <v>0.21480999999999997</v>
      </c>
      <c r="J177" s="408">
        <f t="shared" si="121"/>
        <v>1.8287878378378373</v>
      </c>
      <c r="K177" s="408">
        <f t="shared" si="132"/>
        <v>5.9543939189189183</v>
      </c>
      <c r="L177" s="408">
        <f t="shared" si="137"/>
        <v>4.1256060810810817</v>
      </c>
      <c r="M177" s="63">
        <f t="shared" si="122"/>
        <v>0</v>
      </c>
      <c r="N177" s="407">
        <f t="shared" si="138"/>
        <v>5.0675739178610213</v>
      </c>
      <c r="O177" s="407">
        <f t="shared" si="139"/>
        <v>0.12973417233212242</v>
      </c>
      <c r="P177">
        <f t="shared" si="123"/>
        <v>0.2</v>
      </c>
      <c r="Q177" s="407">
        <f t="shared" si="133"/>
        <v>0.32973417233212243</v>
      </c>
      <c r="R177" s="9">
        <f t="shared" si="140"/>
        <v>0.5279255752331945</v>
      </c>
      <c r="S177" s="9">
        <f t="shared" si="141"/>
        <v>2.7870541298529931E-3</v>
      </c>
      <c r="T177" s="9">
        <f t="shared" si="142"/>
        <v>2.7870541298529931E-3</v>
      </c>
      <c r="U177" s="407">
        <f t="shared" si="143"/>
        <v>2.3486988750717646</v>
      </c>
      <c r="V177" s="409">
        <f t="shared" si="144"/>
        <v>1.1032772811526745E-2</v>
      </c>
      <c r="W177" s="407">
        <f t="shared" si="145"/>
        <v>1.1032772811526745E-2</v>
      </c>
      <c r="X177" s="407">
        <f t="shared" si="146"/>
        <v>2.3486988750717646</v>
      </c>
      <c r="Y177" s="407">
        <f t="shared" si="147"/>
        <v>3.3098318434580234E-2</v>
      </c>
      <c r="Z177" s="407">
        <f t="shared" si="124"/>
        <v>0.37571002965270978</v>
      </c>
      <c r="AA177" s="407">
        <f t="shared" si="125"/>
        <v>0.14400000000000002</v>
      </c>
      <c r="AB177" s="407">
        <f t="shared" si="126"/>
        <v>0</v>
      </c>
      <c r="AC177" s="407">
        <f t="shared" si="148"/>
        <v>0.556492138891162</v>
      </c>
      <c r="AD177" s="407">
        <f t="shared" si="149"/>
        <v>4.4904252590619889</v>
      </c>
      <c r="AE177" s="407">
        <f t="shared" si="150"/>
        <v>0.12098351404333159</v>
      </c>
      <c r="AF177" s="407">
        <f t="shared" si="127"/>
        <v>7.2576000000000002E-2</v>
      </c>
      <c r="AG177" s="407">
        <f t="shared" si="151"/>
        <v>0.19835915148109898</v>
      </c>
      <c r="AH177" s="407">
        <f t="shared" si="152"/>
        <v>0</v>
      </c>
      <c r="AI177">
        <f t="shared" si="128"/>
        <v>0</v>
      </c>
      <c r="AJ177" s="408">
        <f t="shared" si="129"/>
        <v>0.45302846400000002</v>
      </c>
      <c r="AK177">
        <f t="shared" si="134"/>
        <v>4.8000000000000001E-2</v>
      </c>
      <c r="AL177" s="408">
        <f t="shared" si="130"/>
        <v>0.1215</v>
      </c>
      <c r="AM177" s="408">
        <f t="shared" si="135"/>
        <v>0.31645971316818772</v>
      </c>
      <c r="AN177" s="408">
        <f t="shared" si="153"/>
        <v>0.16949999999999998</v>
      </c>
      <c r="AO177" s="408">
        <f t="shared" si="154"/>
        <v>1.7209337536457632</v>
      </c>
      <c r="AP177">
        <f t="shared" si="131"/>
        <v>25.703999999999997</v>
      </c>
      <c r="AQ177" s="10">
        <f t="shared" si="155"/>
        <v>0.93724930134363627</v>
      </c>
      <c r="AR177" s="63">
        <f t="shared" si="156"/>
        <v>27.824606944558099</v>
      </c>
      <c r="AS177" s="63">
        <f t="shared" si="157"/>
        <v>9.9179575740549488</v>
      </c>
      <c r="AT177" s="10"/>
      <c r="AU177">
        <f t="shared" si="158"/>
        <v>93.724930134363632</v>
      </c>
    </row>
    <row r="178" spans="7:47" x14ac:dyDescent="0.25">
      <c r="G178">
        <v>169</v>
      </c>
      <c r="H178">
        <f t="shared" si="120"/>
        <v>5.07</v>
      </c>
      <c r="I178" s="407">
        <f t="shared" si="136"/>
        <v>0.21482375000000001</v>
      </c>
      <c r="J178" s="408">
        <f t="shared" si="121"/>
        <v>1.8289048986486482</v>
      </c>
      <c r="K178" s="408">
        <f t="shared" si="132"/>
        <v>5.9844524493243245</v>
      </c>
      <c r="L178" s="408">
        <f t="shared" si="137"/>
        <v>4.155547550675676</v>
      </c>
      <c r="M178" s="63">
        <f t="shared" si="122"/>
        <v>0</v>
      </c>
      <c r="N178" s="407">
        <f t="shared" si="138"/>
        <v>5.0974151384819626</v>
      </c>
      <c r="O178" s="407">
        <f t="shared" si="139"/>
        <v>0.1312826863517346</v>
      </c>
      <c r="P178">
        <f t="shared" si="123"/>
        <v>0.2</v>
      </c>
      <c r="Q178" s="407">
        <f t="shared" si="133"/>
        <v>0.33128268635173463</v>
      </c>
      <c r="R178" s="9">
        <f t="shared" si="140"/>
        <v>0.52795936777851116</v>
      </c>
      <c r="S178" s="9">
        <f t="shared" si="141"/>
        <v>2.7874109402508517E-3</v>
      </c>
      <c r="T178" s="9">
        <f t="shared" si="142"/>
        <v>2.7874109402508517E-3</v>
      </c>
      <c r="U178" s="407">
        <f t="shared" si="143"/>
        <v>2.3626051761715439</v>
      </c>
      <c r="V178" s="409">
        <f t="shared" si="144"/>
        <v>1.1163806436945145E-2</v>
      </c>
      <c r="W178" s="407">
        <f t="shared" si="145"/>
        <v>1.1163806436945145E-2</v>
      </c>
      <c r="X178" s="407">
        <f t="shared" si="146"/>
        <v>2.3626051761715439</v>
      </c>
      <c r="Y178" s="407">
        <f t="shared" si="147"/>
        <v>3.3491419310835435E-2</v>
      </c>
      <c r="Z178" s="407">
        <f t="shared" si="124"/>
        <v>0.37795823554811758</v>
      </c>
      <c r="AA178" s="407">
        <f t="shared" si="125"/>
        <v>0.14400000000000002</v>
      </c>
      <c r="AB178" s="407">
        <f t="shared" si="126"/>
        <v>0</v>
      </c>
      <c r="AC178" s="407">
        <f t="shared" si="148"/>
        <v>0.55919530373777937</v>
      </c>
      <c r="AD178" s="407">
        <f t="shared" si="149"/>
        <v>4.5168282982146346</v>
      </c>
      <c r="AE178" s="407">
        <f t="shared" si="150"/>
        <v>0.12241042725331508</v>
      </c>
      <c r="AF178" s="407">
        <f t="shared" si="127"/>
        <v>7.3008000000000003E-2</v>
      </c>
      <c r="AG178" s="407">
        <f t="shared" si="151"/>
        <v>0.20032274583454796</v>
      </c>
      <c r="AH178" s="407">
        <f t="shared" si="152"/>
        <v>0</v>
      </c>
      <c r="AI178">
        <f t="shared" si="128"/>
        <v>0</v>
      </c>
      <c r="AJ178" s="408">
        <f t="shared" si="129"/>
        <v>0.45302506200000003</v>
      </c>
      <c r="AK178">
        <f t="shared" si="134"/>
        <v>4.8000000000000001E-2</v>
      </c>
      <c r="AL178" s="408">
        <f t="shared" si="130"/>
        <v>0.1215</v>
      </c>
      <c r="AM178" s="408">
        <f t="shared" si="135"/>
        <v>0.31645971316818772</v>
      </c>
      <c r="AN178" s="408">
        <f t="shared" si="153"/>
        <v>0.16949999999999998</v>
      </c>
      <c r="AO178" s="408">
        <f t="shared" si="154"/>
        <v>1.727277015301258</v>
      </c>
      <c r="AP178">
        <f t="shared" si="131"/>
        <v>25.856999999999999</v>
      </c>
      <c r="AQ178" s="10">
        <f t="shared" si="155"/>
        <v>0.93738182754098931</v>
      </c>
      <c r="AR178" s="63">
        <f t="shared" si="156"/>
        <v>27.959765186888969</v>
      </c>
      <c r="AS178" s="63">
        <f t="shared" si="157"/>
        <v>10.016137291727398</v>
      </c>
      <c r="AT178" s="10"/>
      <c r="AU178">
        <f t="shared" si="158"/>
        <v>93.738182754098929</v>
      </c>
    </row>
    <row r="179" spans="7:47" x14ac:dyDescent="0.25">
      <c r="G179">
        <v>170</v>
      </c>
      <c r="H179">
        <f t="shared" si="120"/>
        <v>5.0999999999999996</v>
      </c>
      <c r="I179" s="407">
        <f t="shared" si="136"/>
        <v>0.21483749999999999</v>
      </c>
      <c r="J179" s="408">
        <f t="shared" si="121"/>
        <v>1.8290219594594592</v>
      </c>
      <c r="K179" s="408">
        <f t="shared" si="132"/>
        <v>6.0145109797297289</v>
      </c>
      <c r="L179" s="408">
        <f t="shared" si="137"/>
        <v>4.1854890202702704</v>
      </c>
      <c r="M179" s="63">
        <f t="shared" si="122"/>
        <v>0</v>
      </c>
      <c r="N179" s="407">
        <f t="shared" si="138"/>
        <v>5.1272582124707489</v>
      </c>
      <c r="O179" s="407">
        <f t="shared" si="139"/>
        <v>0.13284077245231551</v>
      </c>
      <c r="P179">
        <f t="shared" si="123"/>
        <v>0.2</v>
      </c>
      <c r="Q179" s="407">
        <f t="shared" si="133"/>
        <v>0.33284077245231553</v>
      </c>
      <c r="R179" s="9">
        <f t="shared" si="140"/>
        <v>0.52799316032382781</v>
      </c>
      <c r="S179" s="9">
        <f t="shared" si="141"/>
        <v>2.7877677734874334E-3</v>
      </c>
      <c r="T179" s="9">
        <f t="shared" si="142"/>
        <v>2.7877677734874334E-3</v>
      </c>
      <c r="U179" s="407">
        <f t="shared" si="143"/>
        <v>2.3765132191729248</v>
      </c>
      <c r="V179" s="409">
        <f t="shared" si="144"/>
        <v>1.1295630161807317E-2</v>
      </c>
      <c r="W179" s="407">
        <f t="shared" si="145"/>
        <v>1.1295630161807317E-2</v>
      </c>
      <c r="X179" s="407">
        <f t="shared" si="146"/>
        <v>2.3765132191729248</v>
      </c>
      <c r="Y179" s="407">
        <f t="shared" si="147"/>
        <v>3.3886890485421949E-2</v>
      </c>
      <c r="Z179" s="407">
        <f t="shared" si="124"/>
        <v>0.38020644144352533</v>
      </c>
      <c r="AA179" s="407">
        <f t="shared" si="125"/>
        <v>0.14400000000000002</v>
      </c>
      <c r="AB179" s="407">
        <f t="shared" si="126"/>
        <v>0</v>
      </c>
      <c r="AC179" s="407">
        <f t="shared" si="148"/>
        <v>0.56190155119473217</v>
      </c>
      <c r="AD179" s="407">
        <f t="shared" si="149"/>
        <v>4.5432325162207006</v>
      </c>
      <c r="AE179" s="407">
        <f t="shared" si="150"/>
        <v>0.12384577017867048</v>
      </c>
      <c r="AF179" s="407">
        <f t="shared" si="127"/>
        <v>7.3439999999999991E-2</v>
      </c>
      <c r="AG179" s="407">
        <f t="shared" si="151"/>
        <v>0.20229648292513028</v>
      </c>
      <c r="AH179" s="407">
        <f t="shared" si="152"/>
        <v>0</v>
      </c>
      <c r="AI179">
        <f t="shared" si="128"/>
        <v>0</v>
      </c>
      <c r="AJ179" s="408">
        <f t="shared" si="129"/>
        <v>0.45302165999999999</v>
      </c>
      <c r="AK179">
        <f t="shared" si="134"/>
        <v>4.8000000000000001E-2</v>
      </c>
      <c r="AL179" s="408">
        <f t="shared" si="130"/>
        <v>0.1215</v>
      </c>
      <c r="AM179" s="408">
        <f t="shared" si="135"/>
        <v>0.31645971316818772</v>
      </c>
      <c r="AN179" s="408">
        <f t="shared" si="153"/>
        <v>0.16949999999999998</v>
      </c>
      <c r="AO179" s="408">
        <f t="shared" si="154"/>
        <v>1.7336438645074728</v>
      </c>
      <c r="AP179">
        <f t="shared" si="131"/>
        <v>26.009999999999998</v>
      </c>
      <c r="AQ179" s="10">
        <f t="shared" si="155"/>
        <v>0.93751203436094677</v>
      </c>
      <c r="AR179" s="63">
        <f t="shared" si="156"/>
        <v>28.095077559736609</v>
      </c>
      <c r="AS179" s="63">
        <f t="shared" si="157"/>
        <v>10.114824146256513</v>
      </c>
      <c r="AT179" s="10"/>
      <c r="AU179">
        <f t="shared" si="158"/>
        <v>93.75120343609467</v>
      </c>
    </row>
    <row r="180" spans="7:47" x14ac:dyDescent="0.25">
      <c r="G180">
        <v>171</v>
      </c>
      <c r="H180">
        <f t="shared" si="120"/>
        <v>5.13</v>
      </c>
      <c r="I180" s="407">
        <f t="shared" si="136"/>
        <v>0.21485124999999997</v>
      </c>
      <c r="J180" s="408">
        <f t="shared" si="121"/>
        <v>1.8291390202702698</v>
      </c>
      <c r="K180" s="408">
        <f t="shared" si="132"/>
        <v>6.0445695101351351</v>
      </c>
      <c r="L180" s="408">
        <f t="shared" si="137"/>
        <v>4.2154304898648647</v>
      </c>
      <c r="M180" s="63">
        <f t="shared" si="122"/>
        <v>0</v>
      </c>
      <c r="N180" s="407">
        <f t="shared" si="138"/>
        <v>5.1571031076522287</v>
      </c>
      <c r="O180" s="407">
        <f t="shared" si="139"/>
        <v>0.13440843757815088</v>
      </c>
      <c r="P180">
        <f t="shared" si="123"/>
        <v>0.2</v>
      </c>
      <c r="Q180" s="407">
        <f t="shared" si="133"/>
        <v>0.33440843757815086</v>
      </c>
      <c r="R180" s="9">
        <f t="shared" si="140"/>
        <v>0.52802695286914436</v>
      </c>
      <c r="S180" s="9">
        <f t="shared" si="141"/>
        <v>2.788124629562736E-3</v>
      </c>
      <c r="T180" s="9">
        <f t="shared" si="142"/>
        <v>2.788124629562736E-3</v>
      </c>
      <c r="U180" s="407">
        <f t="shared" si="143"/>
        <v>2.3904229892022735</v>
      </c>
      <c r="V180" s="409">
        <f t="shared" si="144"/>
        <v>1.1428244134613465E-2</v>
      </c>
      <c r="W180" s="407">
        <f t="shared" si="145"/>
        <v>1.1428244134613465E-2</v>
      </c>
      <c r="X180" s="407">
        <f t="shared" si="146"/>
        <v>2.3904229892022735</v>
      </c>
      <c r="Y180" s="407">
        <f t="shared" si="147"/>
        <v>3.4284732403840397E-2</v>
      </c>
      <c r="Z180" s="407">
        <f t="shared" si="124"/>
        <v>0.3824546473389332</v>
      </c>
      <c r="AA180" s="407">
        <f t="shared" si="125"/>
        <v>0.14400000000000002</v>
      </c>
      <c r="AB180" s="407">
        <f t="shared" si="126"/>
        <v>0</v>
      </c>
      <c r="AC180" s="407">
        <f t="shared" si="148"/>
        <v>0.56461088637309298</v>
      </c>
      <c r="AD180" s="407">
        <f t="shared" si="149"/>
        <v>4.569637884520998</v>
      </c>
      <c r="AE180" s="407">
        <f t="shared" si="150"/>
        <v>0.12528954237389725</v>
      </c>
      <c r="AF180" s="407">
        <f t="shared" si="127"/>
        <v>7.3871999999999993E-2</v>
      </c>
      <c r="AG180" s="407">
        <f t="shared" si="151"/>
        <v>0.20428038147611885</v>
      </c>
      <c r="AH180" s="407">
        <f t="shared" si="152"/>
        <v>0</v>
      </c>
      <c r="AI180">
        <f t="shared" si="128"/>
        <v>0</v>
      </c>
      <c r="AJ180" s="408">
        <f t="shared" si="129"/>
        <v>0.45301825800000001</v>
      </c>
      <c r="AK180">
        <f t="shared" si="134"/>
        <v>4.8000000000000001E-2</v>
      </c>
      <c r="AL180" s="408">
        <f t="shared" si="130"/>
        <v>0.1215</v>
      </c>
      <c r="AM180" s="408">
        <f t="shared" si="135"/>
        <v>0.31645971316818772</v>
      </c>
      <c r="AN180" s="408">
        <f t="shared" si="153"/>
        <v>0.16949999999999998</v>
      </c>
      <c r="AO180" s="408">
        <f t="shared" si="154"/>
        <v>1.740034332191539</v>
      </c>
      <c r="AP180">
        <f t="shared" si="131"/>
        <v>26.162999999999997</v>
      </c>
      <c r="AQ180" s="10">
        <f t="shared" si="155"/>
        <v>0.93763996017508133</v>
      </c>
      <c r="AR180" s="63">
        <f t="shared" si="156"/>
        <v>28.230544318654648</v>
      </c>
      <c r="AS180" s="63">
        <f t="shared" si="157"/>
        <v>10.214019073805943</v>
      </c>
      <c r="AT180" s="10"/>
      <c r="AU180">
        <f t="shared" si="158"/>
        <v>93.763996017508134</v>
      </c>
    </row>
    <row r="181" spans="7:47" x14ac:dyDescent="0.25">
      <c r="G181">
        <v>172</v>
      </c>
      <c r="H181">
        <f t="shared" si="120"/>
        <v>5.16</v>
      </c>
      <c r="I181" s="407">
        <f t="shared" si="136"/>
        <v>0.214865</v>
      </c>
      <c r="J181" s="408">
        <f t="shared" si="121"/>
        <v>1.8292560810810807</v>
      </c>
      <c r="K181" s="408">
        <f t="shared" si="132"/>
        <v>6.0746280405405404</v>
      </c>
      <c r="L181" s="408">
        <f t="shared" si="137"/>
        <v>4.2453719594594599</v>
      </c>
      <c r="M181" s="63">
        <f t="shared" si="122"/>
        <v>0</v>
      </c>
      <c r="N181" s="407">
        <f t="shared" si="138"/>
        <v>5.1869497925898296</v>
      </c>
      <c r="O181" s="407">
        <f t="shared" si="139"/>
        <v>0.13598568871879524</v>
      </c>
      <c r="P181">
        <f t="shared" si="123"/>
        <v>0.2</v>
      </c>
      <c r="Q181" s="407">
        <f t="shared" si="133"/>
        <v>0.33598568871879525</v>
      </c>
      <c r="R181" s="9">
        <f t="shared" si="140"/>
        <v>0.52806074541446091</v>
      </c>
      <c r="S181" s="9">
        <f t="shared" si="141"/>
        <v>2.7884815084767613E-3</v>
      </c>
      <c r="T181" s="9">
        <f t="shared" si="142"/>
        <v>2.7884815084767613E-3</v>
      </c>
      <c r="U181" s="407">
        <f t="shared" si="143"/>
        <v>2.4043344717264041</v>
      </c>
      <c r="V181" s="409">
        <f t="shared" si="144"/>
        <v>1.1561648503863774E-2</v>
      </c>
      <c r="W181" s="407">
        <f t="shared" si="145"/>
        <v>1.1561648503863774E-2</v>
      </c>
      <c r="X181" s="407">
        <f t="shared" si="146"/>
        <v>2.4043344717264041</v>
      </c>
      <c r="Y181" s="407">
        <f t="shared" si="147"/>
        <v>3.468494551159132E-2</v>
      </c>
      <c r="Z181" s="407">
        <f t="shared" si="124"/>
        <v>0.38470285323434106</v>
      </c>
      <c r="AA181" s="407">
        <f t="shared" si="125"/>
        <v>0.14400000000000002</v>
      </c>
      <c r="AB181" s="407">
        <f t="shared" si="126"/>
        <v>0</v>
      </c>
      <c r="AC181" s="407">
        <f t="shared" si="148"/>
        <v>0.56732331439538419</v>
      </c>
      <c r="AD181" s="407">
        <f t="shared" si="149"/>
        <v>4.5960443752117746</v>
      </c>
      <c r="AE181" s="407">
        <f t="shared" si="150"/>
        <v>0.12674174339349475</v>
      </c>
      <c r="AF181" s="407">
        <f t="shared" si="127"/>
        <v>7.4303999999999995E-2</v>
      </c>
      <c r="AG181" s="407">
        <f t="shared" si="151"/>
        <v>0.20627446033764379</v>
      </c>
      <c r="AH181" s="407">
        <f t="shared" si="152"/>
        <v>0</v>
      </c>
      <c r="AI181">
        <f t="shared" si="128"/>
        <v>0</v>
      </c>
      <c r="AJ181" s="408">
        <f t="shared" si="129"/>
        <v>0.45301485600000002</v>
      </c>
      <c r="AK181">
        <f t="shared" si="134"/>
        <v>4.8000000000000001E-2</v>
      </c>
      <c r="AL181" s="408">
        <f t="shared" si="130"/>
        <v>0.1215</v>
      </c>
      <c r="AM181" s="408">
        <f t="shared" si="135"/>
        <v>0.31645971316818772</v>
      </c>
      <c r="AN181" s="408">
        <f t="shared" si="153"/>
        <v>0.16949999999999998</v>
      </c>
      <c r="AO181" s="408">
        <f t="shared" si="154"/>
        <v>1.7464484494641639</v>
      </c>
      <c r="AP181">
        <f t="shared" si="131"/>
        <v>26.315999999999999</v>
      </c>
      <c r="AQ181" s="10">
        <f t="shared" si="155"/>
        <v>0.93776564248806626</v>
      </c>
      <c r="AR181" s="63">
        <f t="shared" si="156"/>
        <v>28.36616571976921</v>
      </c>
      <c r="AS181" s="63">
        <f t="shared" si="157"/>
        <v>10.313723016882189</v>
      </c>
      <c r="AT181" s="10"/>
      <c r="AU181">
        <f t="shared" si="158"/>
        <v>93.776564248806622</v>
      </c>
    </row>
    <row r="182" spans="7:47" x14ac:dyDescent="0.25">
      <c r="G182">
        <v>173</v>
      </c>
      <c r="H182">
        <f t="shared" si="120"/>
        <v>5.1899999999999995</v>
      </c>
      <c r="I182" s="407">
        <f t="shared" si="136"/>
        <v>0.21487874999999998</v>
      </c>
      <c r="J182" s="408">
        <f t="shared" si="121"/>
        <v>1.8293731418918915</v>
      </c>
      <c r="K182" s="408">
        <f t="shared" si="132"/>
        <v>6.1046865709459457</v>
      </c>
      <c r="L182" s="408">
        <f t="shared" si="137"/>
        <v>4.2753134290540533</v>
      </c>
      <c r="M182" s="63">
        <f t="shared" si="122"/>
        <v>0</v>
      </c>
      <c r="N182" s="407">
        <f t="shared" si="138"/>
        <v>5.2167982365645447</v>
      </c>
      <c r="O182" s="407">
        <f t="shared" si="139"/>
        <v>0.13757253290915117</v>
      </c>
      <c r="P182">
        <f t="shared" si="123"/>
        <v>0.2</v>
      </c>
      <c r="Q182" s="407">
        <f t="shared" si="133"/>
        <v>0.33757253290915118</v>
      </c>
      <c r="R182" s="9">
        <f t="shared" si="140"/>
        <v>0.52809453795977757</v>
      </c>
      <c r="S182" s="9">
        <f t="shared" si="141"/>
        <v>2.7888384102295093E-3</v>
      </c>
      <c r="T182" s="9">
        <f t="shared" si="142"/>
        <v>2.7888384102295093E-3</v>
      </c>
      <c r="U182" s="407">
        <f t="shared" si="143"/>
        <v>2.4182476525428922</v>
      </c>
      <c r="V182" s="409">
        <f t="shared" si="144"/>
        <v>1.1695843418058419E-2</v>
      </c>
      <c r="W182" s="407">
        <f t="shared" si="145"/>
        <v>1.1695843418058419E-2</v>
      </c>
      <c r="X182" s="407">
        <f t="shared" si="146"/>
        <v>2.4182476525428922</v>
      </c>
      <c r="Y182" s="407">
        <f t="shared" si="147"/>
        <v>3.5087530254175256E-2</v>
      </c>
      <c r="Z182" s="407">
        <f t="shared" si="124"/>
        <v>0.38695105912974881</v>
      </c>
      <c r="AA182" s="407">
        <f t="shared" si="125"/>
        <v>0.14400000000000002</v>
      </c>
      <c r="AB182" s="407">
        <f t="shared" si="126"/>
        <v>0</v>
      </c>
      <c r="AC182" s="407">
        <f t="shared" si="148"/>
        <v>0.57003884039561126</v>
      </c>
      <c r="AD182" s="407">
        <f t="shared" si="149"/>
        <v>4.6224519610260675</v>
      </c>
      <c r="AE182" s="407">
        <f t="shared" si="150"/>
        <v>0.12820237279196242</v>
      </c>
      <c r="AF182" s="407">
        <f t="shared" si="127"/>
        <v>7.4735999999999997E-2</v>
      </c>
      <c r="AG182" s="407">
        <f t="shared" si="151"/>
        <v>0.2082787384871975</v>
      </c>
      <c r="AH182" s="407">
        <f t="shared" si="152"/>
        <v>0</v>
      </c>
      <c r="AI182">
        <f t="shared" si="128"/>
        <v>0</v>
      </c>
      <c r="AJ182" s="408">
        <f t="shared" si="129"/>
        <v>0.45301145399999998</v>
      </c>
      <c r="AK182">
        <f t="shared" si="134"/>
        <v>4.8000000000000001E-2</v>
      </c>
      <c r="AL182" s="408">
        <f t="shared" si="130"/>
        <v>0.1215</v>
      </c>
      <c r="AM182" s="408">
        <f t="shared" si="135"/>
        <v>0.31645971316818772</v>
      </c>
      <c r="AN182" s="408">
        <f t="shared" si="153"/>
        <v>0.16949999999999998</v>
      </c>
      <c r="AO182" s="408">
        <f t="shared" si="154"/>
        <v>1.7528862476202478</v>
      </c>
      <c r="AP182">
        <f t="shared" si="131"/>
        <v>26.468999999999994</v>
      </c>
      <c r="AQ182" s="10">
        <f t="shared" si="155"/>
        <v>0.93788911796184227</v>
      </c>
      <c r="AR182" s="63">
        <f t="shared" si="156"/>
        <v>28.501942019780564</v>
      </c>
      <c r="AS182" s="63">
        <f t="shared" si="157"/>
        <v>10.413936924359875</v>
      </c>
      <c r="AT182" s="10"/>
      <c r="AU182">
        <f t="shared" si="158"/>
        <v>93.788911796184223</v>
      </c>
    </row>
    <row r="183" spans="7:47" x14ac:dyDescent="0.25">
      <c r="G183">
        <v>174</v>
      </c>
      <c r="H183">
        <f t="shared" si="120"/>
        <v>5.22</v>
      </c>
      <c r="I183" s="407">
        <f t="shared" si="136"/>
        <v>0.21489249999999996</v>
      </c>
      <c r="J183" s="408">
        <f t="shared" si="121"/>
        <v>1.829490202702702</v>
      </c>
      <c r="K183" s="408">
        <f t="shared" si="132"/>
        <v>6.134745101351351</v>
      </c>
      <c r="L183" s="408">
        <f t="shared" si="137"/>
        <v>4.3052548986486485</v>
      </c>
      <c r="M183" s="63">
        <f t="shared" si="122"/>
        <v>0</v>
      </c>
      <c r="N183" s="407">
        <f t="shared" si="138"/>
        <v>5.2466484095546271</v>
      </c>
      <c r="O183" s="407">
        <f t="shared" si="139"/>
        <v>0.13916897722954877</v>
      </c>
      <c r="P183">
        <f t="shared" si="123"/>
        <v>0.2</v>
      </c>
      <c r="Q183" s="407">
        <f t="shared" si="133"/>
        <v>0.33916897722954875</v>
      </c>
      <c r="R183" s="9">
        <f t="shared" si="140"/>
        <v>0.528128330505094</v>
      </c>
      <c r="S183" s="9">
        <f t="shared" si="141"/>
        <v>2.7891953348209782E-3</v>
      </c>
      <c r="T183" s="9">
        <f t="shared" si="142"/>
        <v>2.7891953348209782E-3</v>
      </c>
      <c r="U183" s="407">
        <f t="shared" si="143"/>
        <v>2.4321625177707182</v>
      </c>
      <c r="V183" s="409">
        <f t="shared" si="144"/>
        <v>1.1830829025697598E-2</v>
      </c>
      <c r="W183" s="407">
        <f t="shared" si="145"/>
        <v>1.1830829025697598E-2</v>
      </c>
      <c r="X183" s="407">
        <f t="shared" si="146"/>
        <v>2.4321625177707182</v>
      </c>
      <c r="Y183" s="407">
        <f t="shared" si="147"/>
        <v>3.5492487077092794E-2</v>
      </c>
      <c r="Z183" s="407">
        <f t="shared" si="124"/>
        <v>0.38919926502515662</v>
      </c>
      <c r="AA183" s="407">
        <f t="shared" si="125"/>
        <v>0.14400000000000002</v>
      </c>
      <c r="AB183" s="407">
        <f t="shared" si="126"/>
        <v>0</v>
      </c>
      <c r="AC183" s="407">
        <f t="shared" si="148"/>
        <v>0.57275746951929385</v>
      </c>
      <c r="AD183" s="407">
        <f t="shared" si="149"/>
        <v>4.648860615315682</v>
      </c>
      <c r="AE183" s="407">
        <f t="shared" si="150"/>
        <v>0.12967143012379981</v>
      </c>
      <c r="AF183" s="407">
        <f t="shared" si="127"/>
        <v>7.5167999999999999E-2</v>
      </c>
      <c r="AG183" s="407">
        <f t="shared" si="151"/>
        <v>0.2102932350301436</v>
      </c>
      <c r="AH183" s="407">
        <f t="shared" si="152"/>
        <v>0</v>
      </c>
      <c r="AI183">
        <f t="shared" si="128"/>
        <v>0</v>
      </c>
      <c r="AJ183" s="408">
        <f t="shared" si="129"/>
        <v>0.45300805199999999</v>
      </c>
      <c r="AK183">
        <f t="shared" si="134"/>
        <v>4.8000000000000001E-2</v>
      </c>
      <c r="AL183" s="408">
        <f t="shared" si="130"/>
        <v>0.1215</v>
      </c>
      <c r="AM183" s="408">
        <f t="shared" si="135"/>
        <v>0.31645971316818772</v>
      </c>
      <c r="AN183" s="408">
        <f t="shared" si="153"/>
        <v>0.16949999999999998</v>
      </c>
      <c r="AO183" s="408">
        <f t="shared" si="154"/>
        <v>1.7593477581395047</v>
      </c>
      <c r="AP183">
        <f t="shared" si="131"/>
        <v>26.621999999999996</v>
      </c>
      <c r="AQ183" s="10">
        <f t="shared" si="155"/>
        <v>0.93801042243897881</v>
      </c>
      <c r="AR183" s="63">
        <f t="shared" si="156"/>
        <v>28.637873475964692</v>
      </c>
      <c r="AS183" s="63">
        <f t="shared" si="157"/>
        <v>10.51466175150718</v>
      </c>
      <c r="AT183" s="10"/>
      <c r="AU183">
        <f t="shared" si="158"/>
        <v>93.801042243897882</v>
      </c>
    </row>
    <row r="184" spans="7:47" x14ac:dyDescent="0.25">
      <c r="G184">
        <v>175</v>
      </c>
      <c r="H184">
        <f t="shared" si="120"/>
        <v>5.25</v>
      </c>
      <c r="I184" s="407">
        <f t="shared" si="136"/>
        <v>0.21490624999999999</v>
      </c>
      <c r="J184" s="408">
        <f t="shared" si="121"/>
        <v>1.829607263513513</v>
      </c>
      <c r="K184" s="408">
        <f t="shared" si="132"/>
        <v>6.1648036317567563</v>
      </c>
      <c r="L184" s="408">
        <f t="shared" si="137"/>
        <v>4.3351963682432437</v>
      </c>
      <c r="M184" s="63">
        <f t="shared" si="122"/>
        <v>0</v>
      </c>
      <c r="N184" s="407">
        <f t="shared" si="138"/>
        <v>5.2765002822159612</v>
      </c>
      <c r="O184" s="407">
        <f t="shared" si="139"/>
        <v>0.1407750288058254</v>
      </c>
      <c r="P184">
        <f t="shared" si="123"/>
        <v>0.2</v>
      </c>
      <c r="Q184" s="407">
        <f t="shared" si="133"/>
        <v>0.34077502880582544</v>
      </c>
      <c r="R184" s="9">
        <f t="shared" si="140"/>
        <v>0.52816212305041066</v>
      </c>
      <c r="S184" s="9">
        <f t="shared" si="141"/>
        <v>2.7895522822511715E-3</v>
      </c>
      <c r="T184" s="9">
        <f t="shared" si="142"/>
        <v>2.7895522822511715E-3</v>
      </c>
      <c r="U184" s="407">
        <f t="shared" si="143"/>
        <v>2.4460790538412192</v>
      </c>
      <c r="V184" s="409">
        <f t="shared" si="144"/>
        <v>1.1966605475281509E-2</v>
      </c>
      <c r="W184" s="407">
        <f t="shared" si="145"/>
        <v>1.1966605475281509E-2</v>
      </c>
      <c r="X184" s="407">
        <f t="shared" si="146"/>
        <v>2.4460790538412192</v>
      </c>
      <c r="Y184" s="407">
        <f t="shared" si="147"/>
        <v>3.5899816425844527E-2</v>
      </c>
      <c r="Z184" s="407">
        <f t="shared" si="124"/>
        <v>0.39144747092056442</v>
      </c>
      <c r="AA184" s="407">
        <f t="shared" si="125"/>
        <v>0.14400000000000002</v>
      </c>
      <c r="AB184" s="407">
        <f t="shared" si="126"/>
        <v>0</v>
      </c>
      <c r="AC184" s="407">
        <f t="shared" si="148"/>
        <v>0.57547920692349774</v>
      </c>
      <c r="AD184" s="407">
        <f t="shared" si="149"/>
        <v>4.6752703120337724</v>
      </c>
      <c r="AE184" s="407">
        <f t="shared" si="150"/>
        <v>0.1311489149435062</v>
      </c>
      <c r="AF184" s="407">
        <f t="shared" si="127"/>
        <v>7.5600000000000001E-2</v>
      </c>
      <c r="AG184" s="407">
        <f t="shared" si="151"/>
        <v>0.21231796920022999</v>
      </c>
      <c r="AH184" s="407">
        <f t="shared" si="152"/>
        <v>0</v>
      </c>
      <c r="AI184">
        <f t="shared" si="128"/>
        <v>0</v>
      </c>
      <c r="AJ184" s="408">
        <f t="shared" si="129"/>
        <v>0.45300464999999995</v>
      </c>
      <c r="AK184">
        <f t="shared" si="134"/>
        <v>4.8000000000000001E-2</v>
      </c>
      <c r="AL184" s="408">
        <f t="shared" si="130"/>
        <v>0.1215</v>
      </c>
      <c r="AM184" s="408">
        <f t="shared" si="135"/>
        <v>0.31645971316818772</v>
      </c>
      <c r="AN184" s="408">
        <f t="shared" si="153"/>
        <v>0.16949999999999998</v>
      </c>
      <c r="AO184" s="408">
        <f t="shared" si="154"/>
        <v>1.7658330126870858</v>
      </c>
      <c r="AP184">
        <f t="shared" si="131"/>
        <v>26.774999999999999</v>
      </c>
      <c r="AQ184" s="10">
        <f t="shared" si="155"/>
        <v>0.93812959096526261</v>
      </c>
      <c r="AR184" s="63">
        <f t="shared" si="156"/>
        <v>28.773960346174889</v>
      </c>
      <c r="AS184" s="63">
        <f t="shared" si="157"/>
        <v>10.615898460011501</v>
      </c>
      <c r="AT184" s="10"/>
      <c r="AU184">
        <f t="shared" si="158"/>
        <v>93.812959096526257</v>
      </c>
    </row>
    <row r="185" spans="7:47" x14ac:dyDescent="0.25">
      <c r="G185">
        <v>176</v>
      </c>
      <c r="H185">
        <f t="shared" si="120"/>
        <v>5.28</v>
      </c>
      <c r="I185" s="407">
        <f t="shared" si="136"/>
        <v>0.21491999999999997</v>
      </c>
      <c r="J185" s="408">
        <f t="shared" si="121"/>
        <v>1.829724324324324</v>
      </c>
      <c r="K185" s="408">
        <f t="shared" si="132"/>
        <v>6.1948621621621625</v>
      </c>
      <c r="L185" s="408">
        <f t="shared" si="137"/>
        <v>4.365137837837838</v>
      </c>
      <c r="M185" s="63">
        <f t="shared" si="122"/>
        <v>0</v>
      </c>
      <c r="N185" s="407">
        <f t="shared" si="138"/>
        <v>5.3063538258631056</v>
      </c>
      <c r="O185" s="407">
        <f t="shared" si="139"/>
        <v>0.14239069480940678</v>
      </c>
      <c r="P185">
        <f t="shared" si="123"/>
        <v>0.2</v>
      </c>
      <c r="Q185" s="407">
        <f t="shared" si="133"/>
        <v>0.34239069480940676</v>
      </c>
      <c r="R185" s="9">
        <f t="shared" si="140"/>
        <v>0.52819591559572732</v>
      </c>
      <c r="S185" s="9">
        <f t="shared" si="141"/>
        <v>2.789909252520087E-3</v>
      </c>
      <c r="T185" s="9">
        <f t="shared" si="142"/>
        <v>2.789909252520087E-3</v>
      </c>
      <c r="U185" s="407">
        <f t="shared" si="143"/>
        <v>2.4599972474893468</v>
      </c>
      <c r="V185" s="409">
        <f t="shared" si="144"/>
        <v>1.2103172915310325E-2</v>
      </c>
      <c r="W185" s="407">
        <f t="shared" si="145"/>
        <v>1.2103172915310325E-2</v>
      </c>
      <c r="X185" s="407">
        <f t="shared" si="146"/>
        <v>2.4599972474893468</v>
      </c>
      <c r="Y185" s="407">
        <f t="shared" si="147"/>
        <v>3.6309518745930976E-2</v>
      </c>
      <c r="Z185" s="407">
        <f t="shared" si="124"/>
        <v>0.39369567681597217</v>
      </c>
      <c r="AA185" s="407">
        <f t="shared" si="125"/>
        <v>0.14400000000000002</v>
      </c>
      <c r="AB185" s="407">
        <f t="shared" si="126"/>
        <v>0</v>
      </c>
      <c r="AC185" s="407">
        <f t="shared" si="148"/>
        <v>0.57820405777686779</v>
      </c>
      <c r="AD185" s="407">
        <f t="shared" si="149"/>
        <v>4.7016810257180204</v>
      </c>
      <c r="AE185" s="407">
        <f t="shared" si="150"/>
        <v>0.13263482680558114</v>
      </c>
      <c r="AF185" s="407">
        <f t="shared" si="127"/>
        <v>7.6032000000000002E-2</v>
      </c>
      <c r="AG185" s="407">
        <f t="shared" si="151"/>
        <v>0.2143529603601064</v>
      </c>
      <c r="AH185" s="407">
        <f t="shared" si="152"/>
        <v>0</v>
      </c>
      <c r="AI185">
        <f t="shared" si="128"/>
        <v>0</v>
      </c>
      <c r="AJ185" s="408">
        <f t="shared" si="129"/>
        <v>0.45300124799999997</v>
      </c>
      <c r="AK185">
        <f t="shared" si="134"/>
        <v>4.8000000000000001E-2</v>
      </c>
      <c r="AL185" s="408">
        <f t="shared" si="130"/>
        <v>0.1215</v>
      </c>
      <c r="AM185" s="408">
        <f t="shared" si="135"/>
        <v>0.31645971316818772</v>
      </c>
      <c r="AN185" s="408">
        <f t="shared" si="153"/>
        <v>0.16949999999999998</v>
      </c>
      <c r="AO185" s="408">
        <f t="shared" si="154"/>
        <v>1.7723420431142112</v>
      </c>
      <c r="AP185">
        <f t="shared" si="131"/>
        <v>26.928000000000001</v>
      </c>
      <c r="AQ185" s="10">
        <f t="shared" si="155"/>
        <v>0.93824665781154226</v>
      </c>
      <c r="AR185" s="63">
        <f t="shared" si="156"/>
        <v>28.91020288884339</v>
      </c>
      <c r="AS185" s="63">
        <f t="shared" si="157"/>
        <v>10.71764801800532</v>
      </c>
      <c r="AT185" s="10"/>
      <c r="AU185">
        <f t="shared" si="158"/>
        <v>93.824665781154224</v>
      </c>
    </row>
    <row r="186" spans="7:47" x14ac:dyDescent="0.25">
      <c r="G186">
        <v>177</v>
      </c>
      <c r="H186">
        <f t="shared" si="120"/>
        <v>5.3100000000000005</v>
      </c>
      <c r="I186" s="407">
        <f t="shared" si="136"/>
        <v>0.21493375000000001</v>
      </c>
      <c r="J186" s="408">
        <f t="shared" si="121"/>
        <v>1.8298413851351349</v>
      </c>
      <c r="K186" s="408">
        <f t="shared" si="132"/>
        <v>6.2249206925675677</v>
      </c>
      <c r="L186" s="408">
        <f t="shared" si="137"/>
        <v>4.3950793074324332</v>
      </c>
      <c r="M186" s="63">
        <f t="shared" si="122"/>
        <v>0</v>
      </c>
      <c r="N186" s="407">
        <f t="shared" si="138"/>
        <v>5.3362090124509534</v>
      </c>
      <c r="O186" s="407">
        <f t="shared" si="139"/>
        <v>0.14401598245738786</v>
      </c>
      <c r="P186">
        <f t="shared" si="123"/>
        <v>0.2</v>
      </c>
      <c r="Q186" s="407">
        <f t="shared" si="133"/>
        <v>0.34401598245738785</v>
      </c>
      <c r="R186" s="9">
        <f t="shared" si="140"/>
        <v>0.52822970814104397</v>
      </c>
      <c r="S186" s="9">
        <f t="shared" si="141"/>
        <v>2.7902662456277252E-3</v>
      </c>
      <c r="T186" s="9">
        <f t="shared" si="142"/>
        <v>2.7902662456277252E-3</v>
      </c>
      <c r="U186" s="407">
        <f t="shared" si="143"/>
        <v>2.4739170857452195</v>
      </c>
      <c r="V186" s="409">
        <f t="shared" si="144"/>
        <v>1.2240531494284239E-2</v>
      </c>
      <c r="W186" s="407">
        <f t="shared" si="145"/>
        <v>1.2240531494284239E-2</v>
      </c>
      <c r="X186" s="407">
        <f t="shared" si="146"/>
        <v>2.4739170857452195</v>
      </c>
      <c r="Y186" s="407">
        <f t="shared" si="147"/>
        <v>3.6721594482852719E-2</v>
      </c>
      <c r="Z186" s="407">
        <f t="shared" si="124"/>
        <v>0.39594388271138004</v>
      </c>
      <c r="AA186" s="407">
        <f t="shared" si="125"/>
        <v>0.14400000000000002</v>
      </c>
      <c r="AB186" s="407">
        <f t="shared" si="126"/>
        <v>0</v>
      </c>
      <c r="AC186" s="407">
        <f t="shared" si="148"/>
        <v>0.58093202725965887</v>
      </c>
      <c r="AD186" s="407">
        <f t="shared" si="149"/>
        <v>4.7280927314743586</v>
      </c>
      <c r="AE186" s="407">
        <f t="shared" si="150"/>
        <v>0.13412916526452398</v>
      </c>
      <c r="AF186" s="407">
        <f t="shared" si="127"/>
        <v>7.6464000000000004E-2</v>
      </c>
      <c r="AG186" s="407">
        <f t="shared" si="151"/>
        <v>0.21639822800184591</v>
      </c>
      <c r="AH186" s="407">
        <f t="shared" si="152"/>
        <v>0</v>
      </c>
      <c r="AI186">
        <f t="shared" si="128"/>
        <v>0</v>
      </c>
      <c r="AJ186" s="408">
        <f t="shared" si="129"/>
        <v>0.45299784599999998</v>
      </c>
      <c r="AK186">
        <f t="shared" si="134"/>
        <v>4.8000000000000001E-2</v>
      </c>
      <c r="AL186" s="408">
        <f t="shared" si="130"/>
        <v>0.1215</v>
      </c>
      <c r="AM186" s="408">
        <f t="shared" si="135"/>
        <v>0.31645971316818772</v>
      </c>
      <c r="AN186" s="408">
        <f t="shared" si="153"/>
        <v>0.16949999999999998</v>
      </c>
      <c r="AO186" s="408">
        <f t="shared" si="154"/>
        <v>1.7788748814588045</v>
      </c>
      <c r="AP186">
        <f t="shared" si="131"/>
        <v>27.081</v>
      </c>
      <c r="AQ186" s="10">
        <f t="shared" si="155"/>
        <v>0.93836165649485703</v>
      </c>
      <c r="AR186" s="63">
        <f t="shared" si="156"/>
        <v>29.046601362982944</v>
      </c>
      <c r="AS186" s="63">
        <f t="shared" si="157"/>
        <v>10.819911400092295</v>
      </c>
      <c r="AT186" s="10"/>
      <c r="AU186">
        <f t="shared" si="158"/>
        <v>93.836165649485707</v>
      </c>
    </row>
    <row r="187" spans="7:47" x14ac:dyDescent="0.25">
      <c r="G187">
        <v>178</v>
      </c>
      <c r="H187">
        <f t="shared" si="120"/>
        <v>5.34</v>
      </c>
      <c r="I187" s="407">
        <f t="shared" si="136"/>
        <v>0.21494749999999999</v>
      </c>
      <c r="J187" s="408">
        <f t="shared" si="121"/>
        <v>1.8299584459459455</v>
      </c>
      <c r="K187" s="408">
        <f t="shared" si="132"/>
        <v>6.2549792229729722</v>
      </c>
      <c r="L187" s="408">
        <f t="shared" si="137"/>
        <v>4.4250207770270276</v>
      </c>
      <c r="M187" s="63">
        <f t="shared" si="122"/>
        <v>0</v>
      </c>
      <c r="N187" s="407">
        <f t="shared" si="138"/>
        <v>5.3660658145570119</v>
      </c>
      <c r="O187" s="407">
        <f t="shared" si="139"/>
        <v>0.14565089901261485</v>
      </c>
      <c r="P187">
        <f t="shared" si="123"/>
        <v>0.2</v>
      </c>
      <c r="Q187" s="407">
        <f t="shared" si="133"/>
        <v>0.34565089901261487</v>
      </c>
      <c r="R187" s="9">
        <f t="shared" si="140"/>
        <v>0.52826350068636041</v>
      </c>
      <c r="S187" s="9">
        <f t="shared" si="141"/>
        <v>2.790623261574083E-3</v>
      </c>
      <c r="T187" s="9">
        <f t="shared" si="142"/>
        <v>2.790623261574083E-3</v>
      </c>
      <c r="U187" s="407">
        <f t="shared" si="143"/>
        <v>2.4878385559259506</v>
      </c>
      <c r="V187" s="409">
        <f t="shared" si="144"/>
        <v>1.2378681360703438E-2</v>
      </c>
      <c r="W187" s="407">
        <f t="shared" si="145"/>
        <v>1.2378681360703438E-2</v>
      </c>
      <c r="X187" s="407">
        <f t="shared" si="146"/>
        <v>2.4878385559259506</v>
      </c>
      <c r="Y187" s="407">
        <f t="shared" si="147"/>
        <v>3.7136044082110319E-2</v>
      </c>
      <c r="Z187" s="407">
        <f t="shared" si="124"/>
        <v>0.39819208860678779</v>
      </c>
      <c r="AA187" s="407">
        <f t="shared" si="125"/>
        <v>0.14400000000000002</v>
      </c>
      <c r="AB187" s="407">
        <f t="shared" si="126"/>
        <v>0</v>
      </c>
      <c r="AC187" s="407">
        <f t="shared" si="148"/>
        <v>0.58366312056376979</v>
      </c>
      <c r="AD187" s="407">
        <f t="shared" si="149"/>
        <v>4.7545054049612441</v>
      </c>
      <c r="AE187" s="407">
        <f t="shared" si="150"/>
        <v>0.13563192987483411</v>
      </c>
      <c r="AF187" s="407">
        <f t="shared" si="127"/>
        <v>7.6895999999999992E-2</v>
      </c>
      <c r="AG187" s="407">
        <f t="shared" si="151"/>
        <v>0.21845379174747104</v>
      </c>
      <c r="AH187" s="407">
        <f t="shared" si="152"/>
        <v>0</v>
      </c>
      <c r="AI187">
        <f t="shared" si="128"/>
        <v>0</v>
      </c>
      <c r="AJ187" s="408">
        <f t="shared" si="129"/>
        <v>0.45299444400000005</v>
      </c>
      <c r="AK187">
        <f t="shared" si="134"/>
        <v>4.8000000000000001E-2</v>
      </c>
      <c r="AL187" s="408">
        <f t="shared" si="130"/>
        <v>0.1215</v>
      </c>
      <c r="AM187" s="408">
        <f t="shared" si="135"/>
        <v>0.31645971316818772</v>
      </c>
      <c r="AN187" s="408">
        <f t="shared" si="153"/>
        <v>0.16949999999999998</v>
      </c>
      <c r="AO187" s="408">
        <f t="shared" si="154"/>
        <v>1.7854315599461332</v>
      </c>
      <c r="AP187">
        <f t="shared" si="131"/>
        <v>27.233999999999998</v>
      </c>
      <c r="AQ187" s="10">
        <f t="shared" si="155"/>
        <v>0.9384746197988777</v>
      </c>
      <c r="AR187" s="63">
        <f t="shared" si="156"/>
        <v>29.183156028188488</v>
      </c>
      <c r="AS187" s="63">
        <f t="shared" si="157"/>
        <v>10.922689587373553</v>
      </c>
      <c r="AT187" s="10"/>
      <c r="AU187">
        <f t="shared" si="158"/>
        <v>93.847461979887768</v>
      </c>
    </row>
    <row r="188" spans="7:47" x14ac:dyDescent="0.25">
      <c r="G188">
        <v>179</v>
      </c>
      <c r="H188">
        <f t="shared" si="120"/>
        <v>5.37</v>
      </c>
      <c r="I188" s="407">
        <f t="shared" si="136"/>
        <v>0.21496124999999996</v>
      </c>
      <c r="J188" s="408">
        <f t="shared" si="121"/>
        <v>1.8300755067567562</v>
      </c>
      <c r="K188" s="408">
        <f t="shared" si="132"/>
        <v>6.2850377533783783</v>
      </c>
      <c r="L188" s="408">
        <f t="shared" si="137"/>
        <v>4.4549622466216219</v>
      </c>
      <c r="M188" s="63">
        <f t="shared" si="122"/>
        <v>0</v>
      </c>
      <c r="N188" s="407">
        <f t="shared" si="138"/>
        <v>5.3959242053642598</v>
      </c>
      <c r="O188" s="407">
        <f t="shared" si="139"/>
        <v>0.14729545178376735</v>
      </c>
      <c r="P188">
        <f t="shared" si="123"/>
        <v>0.2</v>
      </c>
      <c r="Q188" s="407">
        <f t="shared" si="133"/>
        <v>0.34729545178376736</v>
      </c>
      <c r="R188" s="9">
        <f t="shared" si="140"/>
        <v>0.52829729323167707</v>
      </c>
      <c r="S188" s="9">
        <f t="shared" si="141"/>
        <v>2.7909803003591661E-3</v>
      </c>
      <c r="T188" s="9">
        <f t="shared" si="142"/>
        <v>2.7909803003591661E-3</v>
      </c>
      <c r="U188" s="407">
        <f t="shared" si="143"/>
        <v>2.5017616456277483</v>
      </c>
      <c r="V188" s="409">
        <f t="shared" si="144"/>
        <v>1.2517622663068119E-2</v>
      </c>
      <c r="W188" s="407">
        <f t="shared" si="145"/>
        <v>1.2517622663068119E-2</v>
      </c>
      <c r="X188" s="407">
        <f t="shared" si="146"/>
        <v>2.5017616456277483</v>
      </c>
      <c r="Y188" s="407">
        <f t="shared" si="147"/>
        <v>3.7552867989204354E-2</v>
      </c>
      <c r="Z188" s="407">
        <f t="shared" si="124"/>
        <v>0.40044029450219559</v>
      </c>
      <c r="AA188" s="407">
        <f t="shared" si="125"/>
        <v>0.14400000000000002</v>
      </c>
      <c r="AB188" s="407">
        <f t="shared" si="126"/>
        <v>0</v>
      </c>
      <c r="AC188" s="407">
        <f t="shared" si="148"/>
        <v>0.58639734289277445</v>
      </c>
      <c r="AD188" s="407">
        <f t="shared" si="149"/>
        <v>4.7809190223744498</v>
      </c>
      <c r="AE188" s="407">
        <f t="shared" si="150"/>
        <v>0.13714312019101119</v>
      </c>
      <c r="AF188" s="407">
        <f t="shared" si="127"/>
        <v>7.7327999999999994E-2</v>
      </c>
      <c r="AG188" s="407">
        <f t="shared" si="151"/>
        <v>0.22051967134948408</v>
      </c>
      <c r="AH188" s="407">
        <f t="shared" si="152"/>
        <v>0</v>
      </c>
      <c r="AI188">
        <f t="shared" si="128"/>
        <v>0</v>
      </c>
      <c r="AJ188" s="408">
        <f t="shared" si="129"/>
        <v>0.45299104200000001</v>
      </c>
      <c r="AK188">
        <f t="shared" si="134"/>
        <v>4.8000000000000001E-2</v>
      </c>
      <c r="AL188" s="408">
        <f t="shared" si="130"/>
        <v>0.1215</v>
      </c>
      <c r="AM188" s="408">
        <f t="shared" si="135"/>
        <v>0.31645971316818772</v>
      </c>
      <c r="AN188" s="408">
        <f t="shared" si="153"/>
        <v>0.16949999999999998</v>
      </c>
      <c r="AO188" s="408">
        <f t="shared" si="154"/>
        <v>1.7920121109894533</v>
      </c>
      <c r="AP188">
        <f t="shared" si="131"/>
        <v>27.386999999999997</v>
      </c>
      <c r="AQ188" s="10">
        <f t="shared" si="155"/>
        <v>0.93858557979368529</v>
      </c>
      <c r="AR188" s="63">
        <f t="shared" si="156"/>
        <v>29.319867144638721</v>
      </c>
      <c r="AS188" s="63">
        <f t="shared" si="157"/>
        <v>11.025983567474205</v>
      </c>
      <c r="AT188" s="10"/>
      <c r="AU188">
        <f t="shared" si="158"/>
        <v>93.858557979368527</v>
      </c>
    </row>
    <row r="189" spans="7:47" x14ac:dyDescent="0.25">
      <c r="G189">
        <v>180</v>
      </c>
      <c r="H189">
        <f t="shared" si="120"/>
        <v>5.4</v>
      </c>
      <c r="I189" s="407">
        <f t="shared" si="136"/>
        <v>0.214975</v>
      </c>
      <c r="J189" s="408">
        <f t="shared" si="121"/>
        <v>1.8301925675675672</v>
      </c>
      <c r="K189" s="408">
        <f t="shared" si="132"/>
        <v>6.3150962837837836</v>
      </c>
      <c r="L189" s="408">
        <f t="shared" si="137"/>
        <v>4.4849037162162171</v>
      </c>
      <c r="M189" s="63">
        <f t="shared" si="122"/>
        <v>0</v>
      </c>
      <c r="N189" s="407">
        <f t="shared" si="138"/>
        <v>5.4257841586445643</v>
      </c>
      <c r="O189" s="407">
        <f t="shared" si="139"/>
        <v>0.14894964812544134</v>
      </c>
      <c r="P189">
        <f t="shared" si="123"/>
        <v>0.2</v>
      </c>
      <c r="Q189" s="407">
        <f t="shared" si="133"/>
        <v>0.34894964812544138</v>
      </c>
      <c r="R189" s="9">
        <f t="shared" si="140"/>
        <v>0.52833108577699361</v>
      </c>
      <c r="S189" s="9">
        <f t="shared" si="141"/>
        <v>2.7913373619829701E-3</v>
      </c>
      <c r="T189" s="9">
        <f t="shared" si="142"/>
        <v>2.7913373619829701E-3</v>
      </c>
      <c r="U189" s="407">
        <f t="shared" si="143"/>
        <v>2.5156863427182712</v>
      </c>
      <c r="V189" s="409">
        <f t="shared" si="144"/>
        <v>1.2657355549878463E-2</v>
      </c>
      <c r="W189" s="407">
        <f t="shared" si="145"/>
        <v>1.2657355549878463E-2</v>
      </c>
      <c r="X189" s="407">
        <f t="shared" si="146"/>
        <v>2.5156863427182712</v>
      </c>
      <c r="Y189" s="407">
        <f t="shared" si="147"/>
        <v>3.7972066649635386E-2</v>
      </c>
      <c r="Z189" s="407">
        <f t="shared" si="124"/>
        <v>0.4026885003976034</v>
      </c>
      <c r="AA189" s="407">
        <f t="shared" si="125"/>
        <v>0.14400000000000002</v>
      </c>
      <c r="AB189" s="407">
        <f t="shared" si="126"/>
        <v>0</v>
      </c>
      <c r="AC189" s="407">
        <f t="shared" si="148"/>
        <v>0.58913469946195518</v>
      </c>
      <c r="AD189" s="407">
        <f t="shared" si="149"/>
        <v>4.8073335604323395</v>
      </c>
      <c r="AE189" s="407">
        <f t="shared" si="150"/>
        <v>0.13866273576755445</v>
      </c>
      <c r="AF189" s="407">
        <f t="shared" si="127"/>
        <v>7.776000000000001E-2</v>
      </c>
      <c r="AG189" s="407">
        <f t="shared" si="151"/>
        <v>0.22259588669140129</v>
      </c>
      <c r="AH189" s="407">
        <f t="shared" si="152"/>
        <v>0</v>
      </c>
      <c r="AI189">
        <f t="shared" si="128"/>
        <v>0</v>
      </c>
      <c r="AJ189" s="408">
        <f t="shared" si="129"/>
        <v>0.45298764000000002</v>
      </c>
      <c r="AK189">
        <f t="shared" si="134"/>
        <v>4.8000000000000001E-2</v>
      </c>
      <c r="AL189" s="408">
        <f t="shared" si="130"/>
        <v>0.1215</v>
      </c>
      <c r="AM189" s="408">
        <f t="shared" si="135"/>
        <v>0.31645971316818772</v>
      </c>
      <c r="AN189" s="408">
        <f t="shared" si="153"/>
        <v>0.16949999999999998</v>
      </c>
      <c r="AO189" s="408">
        <f t="shared" si="154"/>
        <v>1.7986165671906591</v>
      </c>
      <c r="AP189">
        <f t="shared" si="131"/>
        <v>27.54</v>
      </c>
      <c r="AQ189" s="10">
        <f t="shared" si="155"/>
        <v>0.93869456785491201</v>
      </c>
      <c r="AR189" s="63">
        <f t="shared" si="156"/>
        <v>29.45673497309776</v>
      </c>
      <c r="AS189" s="63">
        <f t="shared" si="157"/>
        <v>11.129794334570065</v>
      </c>
      <c r="AT189" s="10"/>
      <c r="AU189">
        <f t="shared" si="158"/>
        <v>93.869456785491195</v>
      </c>
    </row>
    <row r="190" spans="7:47" x14ac:dyDescent="0.25">
      <c r="G190">
        <v>181</v>
      </c>
      <c r="H190">
        <f t="shared" si="120"/>
        <v>5.43</v>
      </c>
      <c r="I190" s="407">
        <f t="shared" si="136"/>
        <v>0.21498874999999998</v>
      </c>
      <c r="J190" s="408">
        <f t="shared" si="121"/>
        <v>1.8303096283783777</v>
      </c>
      <c r="K190" s="408">
        <f t="shared" si="132"/>
        <v>6.3451548141891889</v>
      </c>
      <c r="L190" s="408">
        <f t="shared" si="137"/>
        <v>4.5148451858108105</v>
      </c>
      <c r="M190" s="63">
        <f t="shared" si="122"/>
        <v>0</v>
      </c>
      <c r="N190" s="407">
        <f t="shared" si="138"/>
        <v>5.4556456487426441</v>
      </c>
      <c r="O190" s="407">
        <f t="shared" si="139"/>
        <v>0.15061349543823244</v>
      </c>
      <c r="P190">
        <f t="shared" si="123"/>
        <v>0.2</v>
      </c>
      <c r="Q190" s="407">
        <f t="shared" si="133"/>
        <v>0.35061349543823245</v>
      </c>
      <c r="R190" s="9">
        <f t="shared" si="140"/>
        <v>0.52836487832231016</v>
      </c>
      <c r="S190" s="9">
        <f t="shared" si="141"/>
        <v>2.7916944464454964E-3</v>
      </c>
      <c r="T190" s="9">
        <f t="shared" si="142"/>
        <v>2.7916944464454964E-3</v>
      </c>
      <c r="U190" s="407">
        <f t="shared" si="143"/>
        <v>2.5296126353292365</v>
      </c>
      <c r="V190" s="409">
        <f t="shared" si="144"/>
        <v>1.2797880169634651E-2</v>
      </c>
      <c r="W190" s="407">
        <f t="shared" si="145"/>
        <v>1.2797880169634651E-2</v>
      </c>
      <c r="X190" s="407">
        <f t="shared" si="146"/>
        <v>2.5296126353292365</v>
      </c>
      <c r="Y190" s="407">
        <f t="shared" si="147"/>
        <v>3.8393640508903953E-2</v>
      </c>
      <c r="Z190" s="407">
        <f t="shared" si="124"/>
        <v>0.40493670629301126</v>
      </c>
      <c r="AA190" s="407">
        <f t="shared" si="125"/>
        <v>0.14400000000000002</v>
      </c>
      <c r="AB190" s="407">
        <f t="shared" si="126"/>
        <v>0</v>
      </c>
      <c r="AC190" s="407">
        <f t="shared" si="148"/>
        <v>0.59187519549833534</v>
      </c>
      <c r="AD190" s="407">
        <f t="shared" si="149"/>
        <v>4.8337489963616465</v>
      </c>
      <c r="AE190" s="407">
        <f t="shared" si="150"/>
        <v>0.14019077615896336</v>
      </c>
      <c r="AF190" s="407">
        <f t="shared" si="127"/>
        <v>7.8191999999999998E-2</v>
      </c>
      <c r="AG190" s="407">
        <f t="shared" si="151"/>
        <v>0.22468245778829218</v>
      </c>
      <c r="AH190" s="407">
        <f t="shared" si="152"/>
        <v>0</v>
      </c>
      <c r="AI190">
        <f t="shared" si="128"/>
        <v>0</v>
      </c>
      <c r="AJ190" s="408">
        <f t="shared" si="129"/>
        <v>0.45298423800000004</v>
      </c>
      <c r="AK190">
        <f t="shared" si="134"/>
        <v>4.8000000000000001E-2</v>
      </c>
      <c r="AL190" s="408">
        <f t="shared" si="130"/>
        <v>0.1215</v>
      </c>
      <c r="AM190" s="408">
        <f t="shared" si="135"/>
        <v>0.31645971316818772</v>
      </c>
      <c r="AN190" s="408">
        <f t="shared" si="153"/>
        <v>0.16949999999999998</v>
      </c>
      <c r="AO190" s="408">
        <f t="shared" si="154"/>
        <v>1.8052449613409403</v>
      </c>
      <c r="AP190">
        <f t="shared" si="131"/>
        <v>27.692999999999998</v>
      </c>
      <c r="AQ190" s="10">
        <f t="shared" si="155"/>
        <v>0.93880161468226964</v>
      </c>
      <c r="AR190" s="63">
        <f t="shared" si="156"/>
        <v>29.593759774916766</v>
      </c>
      <c r="AS190" s="63">
        <f t="shared" si="157"/>
        <v>11.234122889414609</v>
      </c>
      <c r="AT190" s="10"/>
      <c r="AU190">
        <f t="shared" si="158"/>
        <v>93.880161468226959</v>
      </c>
    </row>
    <row r="191" spans="7:47" x14ac:dyDescent="0.25">
      <c r="G191">
        <v>182</v>
      </c>
      <c r="H191">
        <f t="shared" si="120"/>
        <v>5.46</v>
      </c>
      <c r="I191" s="407">
        <f t="shared" si="136"/>
        <v>0.21500249999999999</v>
      </c>
      <c r="J191" s="408">
        <f t="shared" si="121"/>
        <v>1.8304266891891887</v>
      </c>
      <c r="K191" s="408">
        <f t="shared" si="132"/>
        <v>6.3752133445945942</v>
      </c>
      <c r="L191" s="408">
        <f t="shared" si="137"/>
        <v>4.5447866554054057</v>
      </c>
      <c r="M191" s="63">
        <f t="shared" si="122"/>
        <v>0</v>
      </c>
      <c r="N191" s="407">
        <f t="shared" si="138"/>
        <v>5.4855086505605541</v>
      </c>
      <c r="O191" s="407">
        <f t="shared" si="139"/>
        <v>0.15228700116882027</v>
      </c>
      <c r="P191">
        <f t="shared" si="123"/>
        <v>0.2</v>
      </c>
      <c r="Q191" s="407">
        <f t="shared" si="133"/>
        <v>0.35228700116882028</v>
      </c>
      <c r="R191" s="9">
        <f t="shared" si="140"/>
        <v>0.52839867086762682</v>
      </c>
      <c r="S191" s="9">
        <f t="shared" si="141"/>
        <v>2.7920515537467462E-3</v>
      </c>
      <c r="T191" s="9">
        <f t="shared" si="142"/>
        <v>2.7920515537467462E-3</v>
      </c>
      <c r="U191" s="407">
        <f t="shared" si="143"/>
        <v>2.5435405118492693</v>
      </c>
      <c r="V191" s="409">
        <f t="shared" si="144"/>
        <v>1.2939196670836886E-2</v>
      </c>
      <c r="W191" s="407">
        <f t="shared" si="145"/>
        <v>1.2939196670836886E-2</v>
      </c>
      <c r="X191" s="407">
        <f t="shared" si="146"/>
        <v>2.5435405118492693</v>
      </c>
      <c r="Y191" s="407">
        <f t="shared" si="147"/>
        <v>3.8817590012510658E-2</v>
      </c>
      <c r="Z191" s="407">
        <f t="shared" si="124"/>
        <v>0.40718491218841907</v>
      </c>
      <c r="AA191" s="407">
        <f t="shared" si="125"/>
        <v>0.14400000000000002</v>
      </c>
      <c r="AB191" s="407">
        <f t="shared" si="126"/>
        <v>0</v>
      </c>
      <c r="AC191" s="407">
        <f t="shared" si="148"/>
        <v>0.59461883624071132</v>
      </c>
      <c r="AD191" s="407">
        <f t="shared" si="149"/>
        <v>4.8601653078836966</v>
      </c>
      <c r="AE191" s="407">
        <f t="shared" si="150"/>
        <v>0.14172724091973737</v>
      </c>
      <c r="AF191" s="407">
        <f t="shared" si="127"/>
        <v>7.8623999999999999E-2</v>
      </c>
      <c r="AG191" s="407">
        <f t="shared" si="151"/>
        <v>0.22677940478732289</v>
      </c>
      <c r="AH191" s="407">
        <f t="shared" si="152"/>
        <v>0</v>
      </c>
      <c r="AI191">
        <f t="shared" si="128"/>
        <v>0</v>
      </c>
      <c r="AJ191" s="408">
        <f t="shared" si="129"/>
        <v>0.452980836</v>
      </c>
      <c r="AK191">
        <f t="shared" si="134"/>
        <v>4.8000000000000001E-2</v>
      </c>
      <c r="AL191" s="408">
        <f t="shared" si="130"/>
        <v>0.1215</v>
      </c>
      <c r="AM191" s="408">
        <f t="shared" si="135"/>
        <v>0.31645971316818772</v>
      </c>
      <c r="AN191" s="408">
        <f t="shared" si="153"/>
        <v>0.16949999999999998</v>
      </c>
      <c r="AO191" s="408">
        <f t="shared" si="154"/>
        <v>1.811897326421438</v>
      </c>
      <c r="AP191">
        <f t="shared" si="131"/>
        <v>27.845999999999997</v>
      </c>
      <c r="AQ191" s="10">
        <f t="shared" si="155"/>
        <v>0.93890675031748572</v>
      </c>
      <c r="AR191" s="63">
        <f t="shared" si="156"/>
        <v>29.730941812035567</v>
      </c>
      <c r="AS191" s="63">
        <f t="shared" si="157"/>
        <v>11.338970239366144</v>
      </c>
      <c r="AT191" s="10"/>
      <c r="AU191">
        <f t="shared" si="158"/>
        <v>93.890675031748572</v>
      </c>
    </row>
    <row r="192" spans="7:47" x14ac:dyDescent="0.25">
      <c r="G192">
        <v>183</v>
      </c>
      <c r="H192">
        <f t="shared" si="120"/>
        <v>5.49</v>
      </c>
      <c r="I192" s="407">
        <f t="shared" si="136"/>
        <v>0.21501624999999999</v>
      </c>
      <c r="J192" s="408">
        <f t="shared" si="121"/>
        <v>1.8305437499999995</v>
      </c>
      <c r="K192" s="408">
        <f t="shared" si="132"/>
        <v>6.4052718750000004</v>
      </c>
      <c r="L192" s="408">
        <f t="shared" si="137"/>
        <v>4.574728125</v>
      </c>
      <c r="M192" s="63">
        <f t="shared" si="122"/>
        <v>0</v>
      </c>
      <c r="N192" s="407">
        <f t="shared" si="138"/>
        <v>5.5153731395426613</v>
      </c>
      <c r="O192" s="407">
        <f t="shared" si="139"/>
        <v>0.15397017281005285</v>
      </c>
      <c r="P192">
        <f t="shared" si="123"/>
        <v>0.2</v>
      </c>
      <c r="Q192" s="407">
        <f t="shared" si="133"/>
        <v>0.35397017281005283</v>
      </c>
      <c r="R192" s="9">
        <f t="shared" si="140"/>
        <v>0.52843246341294337</v>
      </c>
      <c r="S192" s="9">
        <f t="shared" si="141"/>
        <v>2.7924086838867174E-3</v>
      </c>
      <c r="T192" s="9">
        <f t="shared" si="142"/>
        <v>2.7924086838867174E-3</v>
      </c>
      <c r="U192" s="407">
        <f t="shared" si="143"/>
        <v>2.5574699609169755</v>
      </c>
      <c r="V192" s="409">
        <f t="shared" si="144"/>
        <v>1.3081305201985353E-2</v>
      </c>
      <c r="W192" s="407">
        <f t="shared" si="145"/>
        <v>1.3081305201985353E-2</v>
      </c>
      <c r="X192" s="407">
        <f t="shared" si="146"/>
        <v>2.5574699609169755</v>
      </c>
      <c r="Y192" s="407">
        <f t="shared" si="147"/>
        <v>3.924391560595606E-2</v>
      </c>
      <c r="Z192" s="407">
        <f t="shared" si="124"/>
        <v>0.40943311808382687</v>
      </c>
      <c r="AA192" s="407">
        <f t="shared" si="125"/>
        <v>0.14400000000000002</v>
      </c>
      <c r="AB192" s="407">
        <f t="shared" si="126"/>
        <v>0</v>
      </c>
      <c r="AC192" s="407">
        <f t="shared" si="148"/>
        <v>0.59736562693968698</v>
      </c>
      <c r="AD192" s="407">
        <f t="shared" si="149"/>
        <v>4.8865824732010807</v>
      </c>
      <c r="AE192" s="407">
        <f t="shared" si="150"/>
        <v>0.14327212960437594</v>
      </c>
      <c r="AF192" s="407">
        <f t="shared" si="127"/>
        <v>7.9056000000000001E-2</v>
      </c>
      <c r="AG192" s="407">
        <f t="shared" si="151"/>
        <v>0.22888674796830372</v>
      </c>
      <c r="AH192" s="407">
        <f t="shared" si="152"/>
        <v>0</v>
      </c>
      <c r="AI192">
        <f t="shared" si="128"/>
        <v>0</v>
      </c>
      <c r="AJ192" s="408">
        <f t="shared" si="129"/>
        <v>0.45297743400000001</v>
      </c>
      <c r="AK192">
        <f t="shared" si="134"/>
        <v>4.8000000000000001E-2</v>
      </c>
      <c r="AL192" s="408">
        <f t="shared" si="130"/>
        <v>0.1215</v>
      </c>
      <c r="AM192" s="408">
        <f t="shared" si="135"/>
        <v>0.31645971316818772</v>
      </c>
      <c r="AN192" s="408">
        <f t="shared" si="153"/>
        <v>0.16949999999999998</v>
      </c>
      <c r="AO192" s="408">
        <f t="shared" si="154"/>
        <v>1.8185736956039156</v>
      </c>
      <c r="AP192">
        <f t="shared" si="131"/>
        <v>27.998999999999999</v>
      </c>
      <c r="AQ192" s="10">
        <f t="shared" si="155"/>
        <v>0.93901000416167213</v>
      </c>
      <c r="AR192" s="63">
        <f t="shared" si="156"/>
        <v>29.86828134698435</v>
      </c>
      <c r="AS192" s="63">
        <f t="shared" si="157"/>
        <v>11.444337398415186</v>
      </c>
      <c r="AT192" s="10"/>
      <c r="AU192">
        <f t="shared" si="158"/>
        <v>93.901000416167207</v>
      </c>
    </row>
    <row r="193" spans="7:47" x14ac:dyDescent="0.25">
      <c r="G193">
        <v>184</v>
      </c>
      <c r="H193">
        <f t="shared" si="120"/>
        <v>5.5200000000000005</v>
      </c>
      <c r="I193" s="407">
        <f t="shared" si="136"/>
        <v>0.21502999999999997</v>
      </c>
      <c r="J193" s="408">
        <f t="shared" si="121"/>
        <v>1.83066081081081</v>
      </c>
      <c r="K193" s="408">
        <f t="shared" si="132"/>
        <v>6.4353304054054057</v>
      </c>
      <c r="L193" s="408">
        <f t="shared" si="137"/>
        <v>4.6046695945945952</v>
      </c>
      <c r="M193" s="63">
        <f t="shared" si="122"/>
        <v>0</v>
      </c>
      <c r="N193" s="407">
        <f t="shared" si="138"/>
        <v>5.5452390916611112</v>
      </c>
      <c r="O193" s="407">
        <f t="shared" si="139"/>
        <v>0.15566301790103165</v>
      </c>
      <c r="P193">
        <f t="shared" si="123"/>
        <v>0.2</v>
      </c>
      <c r="Q193" s="407">
        <f t="shared" si="133"/>
        <v>0.35566301790103166</v>
      </c>
      <c r="R193" s="9">
        <f t="shared" si="140"/>
        <v>0.52846625595825991</v>
      </c>
      <c r="S193" s="9">
        <f t="shared" si="141"/>
        <v>2.7927658368654107E-3</v>
      </c>
      <c r="T193" s="9">
        <f t="shared" si="142"/>
        <v>2.7927658368654107E-3</v>
      </c>
      <c r="U193" s="407">
        <f t="shared" si="143"/>
        <v>2.5714009714142438</v>
      </c>
      <c r="V193" s="409">
        <f t="shared" si="144"/>
        <v>1.3224205911580234E-2</v>
      </c>
      <c r="W193" s="407">
        <f t="shared" si="145"/>
        <v>1.3224205911580234E-2</v>
      </c>
      <c r="X193" s="407">
        <f t="shared" si="146"/>
        <v>2.5714009714142438</v>
      </c>
      <c r="Y193" s="407">
        <f t="shared" si="147"/>
        <v>3.9672617734740699E-2</v>
      </c>
      <c r="Z193" s="407">
        <f t="shared" si="124"/>
        <v>0.41168132397923468</v>
      </c>
      <c r="AA193" s="407">
        <f t="shared" si="125"/>
        <v>0.14400000000000002</v>
      </c>
      <c r="AB193" s="407">
        <f t="shared" si="126"/>
        <v>0</v>
      </c>
      <c r="AC193" s="407">
        <f t="shared" si="148"/>
        <v>0.60011557285770512</v>
      </c>
      <c r="AD193" s="407">
        <f t="shared" si="149"/>
        <v>4.9130004709847555</v>
      </c>
      <c r="AE193" s="407">
        <f t="shared" si="150"/>
        <v>0.14482544176737858</v>
      </c>
      <c r="AF193" s="407">
        <f t="shared" si="127"/>
        <v>7.9488000000000003E-2</v>
      </c>
      <c r="AG193" s="407">
        <f t="shared" si="151"/>
        <v>0.23100450774424169</v>
      </c>
      <c r="AH193" s="407">
        <f t="shared" si="152"/>
        <v>0</v>
      </c>
      <c r="AI193">
        <f t="shared" si="128"/>
        <v>0</v>
      </c>
      <c r="AJ193" s="408">
        <f t="shared" si="129"/>
        <v>0.45297403199999997</v>
      </c>
      <c r="AK193">
        <f t="shared" si="134"/>
        <v>4.8000000000000001E-2</v>
      </c>
      <c r="AL193" s="408">
        <f t="shared" si="130"/>
        <v>0.1215</v>
      </c>
      <c r="AM193" s="408">
        <f t="shared" si="135"/>
        <v>0.31645971316818772</v>
      </c>
      <c r="AN193" s="408">
        <f t="shared" si="153"/>
        <v>0.16949999999999998</v>
      </c>
      <c r="AO193" s="408">
        <f t="shared" si="154"/>
        <v>1.8252741022514241</v>
      </c>
      <c r="AP193">
        <f t="shared" si="131"/>
        <v>28.152000000000001</v>
      </c>
      <c r="AQ193" s="10">
        <f t="shared" si="155"/>
        <v>0.93911140499214574</v>
      </c>
      <c r="AR193" s="63">
        <f t="shared" si="156"/>
        <v>30.005778642885257</v>
      </c>
      <c r="AS193" s="63">
        <f t="shared" si="157"/>
        <v>11.550225387212084</v>
      </c>
      <c r="AT193" s="10"/>
      <c r="AU193">
        <f t="shared" si="158"/>
        <v>93.911140499214568</v>
      </c>
    </row>
    <row r="194" spans="7:47" x14ac:dyDescent="0.25">
      <c r="G194">
        <v>185</v>
      </c>
      <c r="H194">
        <f t="shared" si="120"/>
        <v>5.5500000000000007</v>
      </c>
      <c r="I194" s="407">
        <f t="shared" si="136"/>
        <v>0.21504374999999998</v>
      </c>
      <c r="J194" s="408">
        <f t="shared" si="121"/>
        <v>1.830777871621621</v>
      </c>
      <c r="K194" s="408">
        <f t="shared" si="132"/>
        <v>6.465388935810811</v>
      </c>
      <c r="L194" s="408">
        <f t="shared" si="137"/>
        <v>4.6346110641891904</v>
      </c>
      <c r="M194" s="63">
        <f t="shared" si="122"/>
        <v>0</v>
      </c>
      <c r="N194" s="407">
        <f t="shared" si="138"/>
        <v>5.5751064834017559</v>
      </c>
      <c r="O194" s="407">
        <f t="shared" si="139"/>
        <v>0.15736554402719757</v>
      </c>
      <c r="P194">
        <f t="shared" si="123"/>
        <v>0.2</v>
      </c>
      <c r="Q194" s="407">
        <f t="shared" si="133"/>
        <v>0.35736554402719756</v>
      </c>
      <c r="R194" s="9">
        <f t="shared" si="140"/>
        <v>0.52850004850357657</v>
      </c>
      <c r="S194" s="9">
        <f t="shared" si="141"/>
        <v>2.7931230126828277E-3</v>
      </c>
      <c r="T194" s="9">
        <f t="shared" si="142"/>
        <v>2.7931230126828277E-3</v>
      </c>
      <c r="U194" s="407">
        <f t="shared" si="143"/>
        <v>2.5853335324597602</v>
      </c>
      <c r="V194" s="409">
        <f t="shared" si="144"/>
        <v>1.3367898948121723E-2</v>
      </c>
      <c r="W194" s="407">
        <f t="shared" si="145"/>
        <v>1.3367898948121723E-2</v>
      </c>
      <c r="X194" s="407">
        <f t="shared" si="146"/>
        <v>2.5853335324597602</v>
      </c>
      <c r="Y194" s="407">
        <f t="shared" si="147"/>
        <v>4.0103696844365169E-2</v>
      </c>
      <c r="Z194" s="407">
        <f t="shared" si="124"/>
        <v>0.41392952987464249</v>
      </c>
      <c r="AA194" s="407">
        <f t="shared" si="125"/>
        <v>0.14400000000000002</v>
      </c>
      <c r="AB194" s="407">
        <f t="shared" si="126"/>
        <v>0</v>
      </c>
      <c r="AC194" s="407">
        <f t="shared" si="148"/>
        <v>0.60286867926908172</v>
      </c>
      <c r="AD194" s="407">
        <f t="shared" si="149"/>
        <v>4.9394192803615518</v>
      </c>
      <c r="AE194" s="407">
        <f t="shared" si="150"/>
        <v>0.14638717696324458</v>
      </c>
      <c r="AF194" s="407">
        <f t="shared" si="127"/>
        <v>7.9920000000000005E-2</v>
      </c>
      <c r="AG194" s="407">
        <f t="shared" si="151"/>
        <v>0.23313270466189678</v>
      </c>
      <c r="AH194" s="407">
        <f t="shared" si="152"/>
        <v>0</v>
      </c>
      <c r="AI194">
        <f t="shared" si="128"/>
        <v>0</v>
      </c>
      <c r="AJ194" s="408">
        <f t="shared" si="129"/>
        <v>0.45297062999999999</v>
      </c>
      <c r="AK194">
        <f t="shared" si="134"/>
        <v>4.8000000000000001E-2</v>
      </c>
      <c r="AL194" s="408">
        <f t="shared" si="130"/>
        <v>0.1215</v>
      </c>
      <c r="AM194" s="408">
        <f t="shared" si="135"/>
        <v>0.31645971316818772</v>
      </c>
      <c r="AN194" s="408">
        <f t="shared" si="153"/>
        <v>0.16949999999999998</v>
      </c>
      <c r="AO194" s="408">
        <f t="shared" si="154"/>
        <v>1.8319985799189806</v>
      </c>
      <c r="AP194">
        <f t="shared" si="131"/>
        <v>28.305000000000003</v>
      </c>
      <c r="AQ194" s="10">
        <f t="shared" si="155"/>
        <v>0.93921098097872013</v>
      </c>
      <c r="AR194" s="63">
        <f t="shared" si="156"/>
        <v>30.143433963454086</v>
      </c>
      <c r="AS194" s="63">
        <f t="shared" si="157"/>
        <v>11.656635233094839</v>
      </c>
      <c r="AT194" s="10"/>
      <c r="AU194">
        <f t="shared" si="158"/>
        <v>93.921098097872019</v>
      </c>
    </row>
    <row r="195" spans="7:47" x14ac:dyDescent="0.25">
      <c r="G195">
        <v>186</v>
      </c>
      <c r="H195">
        <f t="shared" si="120"/>
        <v>5.58</v>
      </c>
      <c r="I195" s="407">
        <f t="shared" si="136"/>
        <v>0.21505749999999998</v>
      </c>
      <c r="J195" s="408">
        <f t="shared" si="121"/>
        <v>1.830894932432432</v>
      </c>
      <c r="K195" s="408">
        <f t="shared" si="132"/>
        <v>6.4954474662162163</v>
      </c>
      <c r="L195" s="408">
        <f t="shared" si="137"/>
        <v>4.6645525337837839</v>
      </c>
      <c r="M195" s="63">
        <f t="shared" si="122"/>
        <v>0</v>
      </c>
      <c r="N195" s="407">
        <f t="shared" si="138"/>
        <v>5.6049752917505264</v>
      </c>
      <c r="O195" s="407">
        <f t="shared" si="139"/>
        <v>0.15907775882041705</v>
      </c>
      <c r="P195">
        <f t="shared" si="123"/>
        <v>0.2</v>
      </c>
      <c r="Q195" s="407">
        <f t="shared" si="133"/>
        <v>0.35907775882041704</v>
      </c>
      <c r="R195" s="9">
        <f t="shared" si="140"/>
        <v>0.52853384104889312</v>
      </c>
      <c r="S195" s="9">
        <f t="shared" si="141"/>
        <v>2.7934802113389664E-3</v>
      </c>
      <c r="T195" s="9">
        <f t="shared" si="142"/>
        <v>2.7934802113389664E-3</v>
      </c>
      <c r="U195" s="407">
        <f t="shared" si="143"/>
        <v>2.5992676334027252</v>
      </c>
      <c r="V195" s="409">
        <f t="shared" si="144"/>
        <v>1.3512384460110008E-2</v>
      </c>
      <c r="W195" s="407">
        <f t="shared" si="145"/>
        <v>1.3512384460110008E-2</v>
      </c>
      <c r="X195" s="407">
        <f t="shared" si="146"/>
        <v>2.5992676334027252</v>
      </c>
      <c r="Y195" s="407">
        <f t="shared" si="147"/>
        <v>4.0537153380330024E-2</v>
      </c>
      <c r="Z195" s="407">
        <f t="shared" si="124"/>
        <v>0.41617773577005029</v>
      </c>
      <c r="AA195" s="407">
        <f t="shared" si="125"/>
        <v>0.14400000000000002</v>
      </c>
      <c r="AB195" s="407">
        <f t="shared" si="126"/>
        <v>0</v>
      </c>
      <c r="AC195" s="407">
        <f t="shared" si="148"/>
        <v>0.60562495146003847</v>
      </c>
      <c r="AD195" s="407">
        <f t="shared" si="149"/>
        <v>4.965838880902087</v>
      </c>
      <c r="AE195" s="407">
        <f t="shared" si="150"/>
        <v>0.14795733474647335</v>
      </c>
      <c r="AF195" s="407">
        <f t="shared" si="127"/>
        <v>8.0351999999999993E-2</v>
      </c>
      <c r="AG195" s="407">
        <f t="shared" si="151"/>
        <v>0.23527135940234345</v>
      </c>
      <c r="AH195" s="407">
        <f t="shared" si="152"/>
        <v>0</v>
      </c>
      <c r="AI195">
        <f t="shared" si="128"/>
        <v>0</v>
      </c>
      <c r="AJ195" s="408">
        <f t="shared" si="129"/>
        <v>0.452967228</v>
      </c>
      <c r="AK195">
        <f t="shared" si="134"/>
        <v>4.8000000000000001E-2</v>
      </c>
      <c r="AL195" s="408">
        <f t="shared" si="130"/>
        <v>0.1215</v>
      </c>
      <c r="AM195" s="408">
        <f t="shared" si="135"/>
        <v>0.31645971316818772</v>
      </c>
      <c r="AN195" s="408">
        <f t="shared" si="153"/>
        <v>0.16949999999999998</v>
      </c>
      <c r="AO195" s="408">
        <f t="shared" si="154"/>
        <v>1.8387471623542477</v>
      </c>
      <c r="AP195">
        <f t="shared" si="131"/>
        <v>28.457999999999998</v>
      </c>
      <c r="AQ195" s="10">
        <f t="shared" si="155"/>
        <v>0.93930875969948957</v>
      </c>
      <c r="AR195" s="63">
        <f t="shared" si="156"/>
        <v>30.281247573001924</v>
      </c>
      <c r="AS195" s="63">
        <f t="shared" si="157"/>
        <v>11.763567970117172</v>
      </c>
      <c r="AT195" s="10"/>
      <c r="AU195">
        <f t="shared" si="158"/>
        <v>93.930875969948957</v>
      </c>
    </row>
    <row r="196" spans="7:47" x14ac:dyDescent="0.25">
      <c r="G196">
        <v>187</v>
      </c>
      <c r="H196">
        <f t="shared" si="120"/>
        <v>5.61</v>
      </c>
      <c r="I196" s="407">
        <f t="shared" si="136"/>
        <v>0.21507125000000002</v>
      </c>
      <c r="J196" s="408">
        <f t="shared" si="121"/>
        <v>1.8310119932432432</v>
      </c>
      <c r="K196" s="408">
        <f t="shared" si="132"/>
        <v>6.5255059966216216</v>
      </c>
      <c r="L196" s="408">
        <f t="shared" si="137"/>
        <v>4.6944940033783791</v>
      </c>
      <c r="M196" s="63">
        <f t="shared" si="122"/>
        <v>0</v>
      </c>
      <c r="N196" s="407">
        <f t="shared" si="138"/>
        <v>5.6348454941802428</v>
      </c>
      <c r="O196" s="407">
        <f t="shared" si="139"/>
        <v>0.16079966995906919</v>
      </c>
      <c r="P196">
        <f t="shared" si="123"/>
        <v>0.2</v>
      </c>
      <c r="Q196" s="407">
        <f t="shared" si="133"/>
        <v>0.3607996699590692</v>
      </c>
      <c r="R196" s="9">
        <f t="shared" si="140"/>
        <v>0.52856763359420988</v>
      </c>
      <c r="S196" s="9">
        <f t="shared" si="141"/>
        <v>2.7938374328338291E-3</v>
      </c>
      <c r="T196" s="9">
        <f t="shared" si="142"/>
        <v>2.7938374328338291E-3</v>
      </c>
      <c r="U196" s="407">
        <f t="shared" si="143"/>
        <v>2.6132032638167737</v>
      </c>
      <c r="V196" s="409">
        <f t="shared" si="144"/>
        <v>1.3657662596045278E-2</v>
      </c>
      <c r="W196" s="407">
        <f t="shared" si="145"/>
        <v>1.3657662596045278E-2</v>
      </c>
      <c r="X196" s="407">
        <f t="shared" si="146"/>
        <v>2.6132032638167737</v>
      </c>
      <c r="Y196" s="407">
        <f t="shared" si="147"/>
        <v>4.097298778813583E-2</v>
      </c>
      <c r="Z196" s="407">
        <f t="shared" si="124"/>
        <v>0.4184259416654581</v>
      </c>
      <c r="AA196" s="407">
        <f t="shared" si="125"/>
        <v>0.14400000000000002</v>
      </c>
      <c r="AB196" s="407">
        <f t="shared" si="126"/>
        <v>0</v>
      </c>
      <c r="AC196" s="407">
        <f t="shared" si="148"/>
        <v>0.60838439472873662</v>
      </c>
      <c r="AD196" s="407">
        <f t="shared" si="149"/>
        <v>4.9922592526090579</v>
      </c>
      <c r="AE196" s="407">
        <f t="shared" si="150"/>
        <v>0.14953591467156449</v>
      </c>
      <c r="AF196" s="407">
        <f t="shared" si="127"/>
        <v>8.0784000000000009E-2</v>
      </c>
      <c r="AG196" s="407">
        <f t="shared" si="151"/>
        <v>0.23742049278153662</v>
      </c>
      <c r="AH196" s="407">
        <f t="shared" si="152"/>
        <v>0</v>
      </c>
      <c r="AI196">
        <f t="shared" si="128"/>
        <v>0</v>
      </c>
      <c r="AJ196" s="408">
        <f t="shared" si="129"/>
        <v>0.45296382599999996</v>
      </c>
      <c r="AK196">
        <f t="shared" si="134"/>
        <v>4.8000000000000001E-2</v>
      </c>
      <c r="AL196" s="408">
        <f t="shared" si="130"/>
        <v>0.1215</v>
      </c>
      <c r="AM196" s="408">
        <f t="shared" si="135"/>
        <v>0.31645971316818772</v>
      </c>
      <c r="AN196" s="408">
        <f t="shared" si="153"/>
        <v>0.16949999999999998</v>
      </c>
      <c r="AO196" s="408">
        <f t="shared" si="154"/>
        <v>1.8455198834982216</v>
      </c>
      <c r="AP196">
        <f t="shared" si="131"/>
        <v>28.611000000000001</v>
      </c>
      <c r="AQ196" s="10">
        <f t="shared" si="155"/>
        <v>0.93940476815612306</v>
      </c>
      <c r="AR196" s="63">
        <f t="shared" si="156"/>
        <v>30.41921973643683</v>
      </c>
      <c r="AS196" s="63">
        <f t="shared" si="157"/>
        <v>11.871024639076831</v>
      </c>
      <c r="AT196" s="10"/>
      <c r="AU196">
        <f t="shared" si="158"/>
        <v>93.9404768156123</v>
      </c>
    </row>
    <row r="197" spans="7:47" x14ac:dyDescent="0.25">
      <c r="G197">
        <v>188</v>
      </c>
      <c r="H197">
        <f t="shared" si="120"/>
        <v>5.64</v>
      </c>
      <c r="I197" s="407">
        <f t="shared" si="136"/>
        <v>0.21508499999999997</v>
      </c>
      <c r="J197" s="408">
        <f t="shared" si="121"/>
        <v>1.8311290540540535</v>
      </c>
      <c r="K197" s="408">
        <f t="shared" si="132"/>
        <v>6.5555645270270269</v>
      </c>
      <c r="L197" s="408">
        <f t="shared" si="137"/>
        <v>4.7244354729729725</v>
      </c>
      <c r="M197" s="63">
        <f t="shared" si="122"/>
        <v>0</v>
      </c>
      <c r="N197" s="407">
        <f t="shared" si="138"/>
        <v>5.6647170686378274</v>
      </c>
      <c r="O197" s="407">
        <f t="shared" si="139"/>
        <v>0.16253128516813301</v>
      </c>
      <c r="P197">
        <f t="shared" si="123"/>
        <v>0.2</v>
      </c>
      <c r="Q197" s="407">
        <f t="shared" si="133"/>
        <v>0.36253128516813304</v>
      </c>
      <c r="R197" s="9">
        <f t="shared" si="140"/>
        <v>0.52860142613952632</v>
      </c>
      <c r="S197" s="9">
        <f t="shared" si="141"/>
        <v>2.794194677167411E-3</v>
      </c>
      <c r="T197" s="9">
        <f t="shared" si="142"/>
        <v>2.794194677167411E-3</v>
      </c>
      <c r="U197" s="407">
        <f t="shared" si="143"/>
        <v>2.6271404134940819</v>
      </c>
      <c r="V197" s="409">
        <f t="shared" si="144"/>
        <v>1.3803733504427712E-2</v>
      </c>
      <c r="W197" s="407">
        <f t="shared" si="145"/>
        <v>1.3803733504427712E-2</v>
      </c>
      <c r="X197" s="407">
        <f t="shared" si="146"/>
        <v>2.6271404134940819</v>
      </c>
      <c r="Y197" s="407">
        <f t="shared" si="147"/>
        <v>4.1411200513283133E-2</v>
      </c>
      <c r="Z197" s="407">
        <f t="shared" si="124"/>
        <v>0.4206741475608658</v>
      </c>
      <c r="AA197" s="407">
        <f t="shared" si="125"/>
        <v>0.14400000000000002</v>
      </c>
      <c r="AB197" s="407">
        <f t="shared" si="126"/>
        <v>0</v>
      </c>
      <c r="AC197" s="407">
        <f t="shared" si="148"/>
        <v>0.61114701438530994</v>
      </c>
      <c r="AD197" s="407">
        <f t="shared" si="149"/>
        <v>5.0186803759058902</v>
      </c>
      <c r="AE197" s="407">
        <f t="shared" si="150"/>
        <v>0.15112291629301733</v>
      </c>
      <c r="AF197" s="407">
        <f t="shared" si="127"/>
        <v>8.1215999999999997E-2</v>
      </c>
      <c r="AG197" s="407">
        <f t="shared" si="151"/>
        <v>0.23958012575088153</v>
      </c>
      <c r="AH197" s="407">
        <f t="shared" si="152"/>
        <v>0</v>
      </c>
      <c r="AI197">
        <f t="shared" si="128"/>
        <v>0</v>
      </c>
      <c r="AJ197" s="408">
        <f t="shared" si="129"/>
        <v>0.45296042399999997</v>
      </c>
      <c r="AK197">
        <f t="shared" si="134"/>
        <v>4.8000000000000001E-2</v>
      </c>
      <c r="AL197" s="408">
        <f t="shared" si="130"/>
        <v>0.1215</v>
      </c>
      <c r="AM197" s="408">
        <f t="shared" si="135"/>
        <v>0.31645971316818772</v>
      </c>
      <c r="AN197" s="408">
        <f t="shared" si="153"/>
        <v>0.16949999999999998</v>
      </c>
      <c r="AO197" s="408">
        <f t="shared" si="154"/>
        <v>1.8523167774859197</v>
      </c>
      <c r="AP197">
        <f t="shared" si="131"/>
        <v>28.763999999999996</v>
      </c>
      <c r="AQ197" s="10">
        <f t="shared" si="155"/>
        <v>0.93949903278868463</v>
      </c>
      <c r="AR197" s="63">
        <f t="shared" si="156"/>
        <v>30.557350719265497</v>
      </c>
      <c r="AS197" s="63">
        <f t="shared" si="157"/>
        <v>11.979006287544076</v>
      </c>
      <c r="AT197" s="10"/>
      <c r="AU197">
        <f t="shared" si="158"/>
        <v>93.949903278868462</v>
      </c>
    </row>
    <row r="198" spans="7:47" x14ac:dyDescent="0.25">
      <c r="G198">
        <v>189</v>
      </c>
      <c r="H198">
        <f t="shared" si="120"/>
        <v>5.67</v>
      </c>
      <c r="I198" s="407">
        <f t="shared" si="136"/>
        <v>0.21509874999999998</v>
      </c>
      <c r="J198" s="408">
        <f t="shared" si="121"/>
        <v>1.8312461148648642</v>
      </c>
      <c r="K198" s="408">
        <f t="shared" si="132"/>
        <v>6.5856230574324321</v>
      </c>
      <c r="L198" s="408">
        <f t="shared" si="137"/>
        <v>4.7543769425675677</v>
      </c>
      <c r="M198" s="63">
        <f t="shared" si="122"/>
        <v>0</v>
      </c>
      <c r="N198" s="407">
        <f t="shared" si="138"/>
        <v>5.6945899935319284</v>
      </c>
      <c r="O198" s="407">
        <f t="shared" si="139"/>
        <v>0.16427261221927553</v>
      </c>
      <c r="P198">
        <f t="shared" si="123"/>
        <v>0.2</v>
      </c>
      <c r="Q198" s="407">
        <f t="shared" si="133"/>
        <v>0.36427261221927554</v>
      </c>
      <c r="R198" s="9">
        <f t="shared" si="140"/>
        <v>0.52863521868484287</v>
      </c>
      <c r="S198" s="9">
        <f t="shared" si="141"/>
        <v>2.7945519443397164E-3</v>
      </c>
      <c r="T198" s="9">
        <f t="shared" si="142"/>
        <v>2.7945519443397164E-3</v>
      </c>
      <c r="U198" s="407">
        <f t="shared" si="143"/>
        <v>2.6410790724396636</v>
      </c>
      <c r="V198" s="409">
        <f t="shared" si="144"/>
        <v>1.3950597333757508E-2</v>
      </c>
      <c r="W198" s="407">
        <f t="shared" si="145"/>
        <v>1.3950597333757508E-2</v>
      </c>
      <c r="X198" s="407">
        <f t="shared" si="146"/>
        <v>2.6410790724396636</v>
      </c>
      <c r="Y198" s="407">
        <f t="shared" si="147"/>
        <v>4.1851792001272523E-2</v>
      </c>
      <c r="Z198" s="407">
        <f t="shared" si="124"/>
        <v>0.42292235345627366</v>
      </c>
      <c r="AA198" s="407">
        <f t="shared" si="125"/>
        <v>0.14400000000000002</v>
      </c>
      <c r="AB198" s="407">
        <f t="shared" si="126"/>
        <v>0</v>
      </c>
      <c r="AC198" s="407">
        <f t="shared" si="148"/>
        <v>0.61391281575189904</v>
      </c>
      <c r="AD198" s="407">
        <f t="shared" si="149"/>
        <v>5.0451022316257585</v>
      </c>
      <c r="AE198" s="407">
        <f t="shared" si="150"/>
        <v>0.15271833916533126</v>
      </c>
      <c r="AF198" s="407">
        <f t="shared" si="127"/>
        <v>8.1647999999999998E-2</v>
      </c>
      <c r="AG198" s="407">
        <f t="shared" si="151"/>
        <v>0.24175027939780891</v>
      </c>
      <c r="AH198" s="407">
        <f t="shared" si="152"/>
        <v>0</v>
      </c>
      <c r="AI198">
        <f t="shared" si="128"/>
        <v>0</v>
      </c>
      <c r="AJ198" s="408">
        <f t="shared" si="129"/>
        <v>0.45295702199999999</v>
      </c>
      <c r="AK198">
        <f t="shared" si="134"/>
        <v>4.8000000000000001E-2</v>
      </c>
      <c r="AL198" s="408">
        <f t="shared" si="130"/>
        <v>0.1215</v>
      </c>
      <c r="AM198" s="408">
        <f t="shared" si="135"/>
        <v>0.31645971316818772</v>
      </c>
      <c r="AN198" s="408">
        <f t="shared" si="153"/>
        <v>0.16949999999999998</v>
      </c>
      <c r="AO198" s="408">
        <f t="shared" si="154"/>
        <v>1.8591378786470807</v>
      </c>
      <c r="AP198">
        <f t="shared" si="131"/>
        <v>28.916999999999998</v>
      </c>
      <c r="AQ198" s="10">
        <f t="shared" si="155"/>
        <v>0.93959157948999916</v>
      </c>
      <c r="AR198" s="63">
        <f t="shared" si="156"/>
        <v>30.695640787594954</v>
      </c>
      <c r="AS198" s="63">
        <f t="shared" si="157"/>
        <v>12.087513969890445</v>
      </c>
      <c r="AT198" s="10"/>
      <c r="AU198">
        <f t="shared" si="158"/>
        <v>93.959157948999916</v>
      </c>
    </row>
    <row r="199" spans="7:47" x14ac:dyDescent="0.25">
      <c r="G199">
        <v>190</v>
      </c>
      <c r="H199">
        <f t="shared" si="120"/>
        <v>5.6999999999999993</v>
      </c>
      <c r="I199" s="407">
        <f t="shared" si="136"/>
        <v>0.21511250000000001</v>
      </c>
      <c r="J199" s="408">
        <f t="shared" si="121"/>
        <v>1.8313631756756756</v>
      </c>
      <c r="K199" s="408">
        <f t="shared" si="132"/>
        <v>6.6156815878378374</v>
      </c>
      <c r="L199" s="408">
        <f t="shared" si="137"/>
        <v>4.7843184121621611</v>
      </c>
      <c r="M199" s="63">
        <f t="shared" si="122"/>
        <v>0</v>
      </c>
      <c r="N199" s="407">
        <f t="shared" si="138"/>
        <v>5.7244642477209231</v>
      </c>
      <c r="O199" s="407">
        <f t="shared" si="139"/>
        <v>0.16602365893094054</v>
      </c>
      <c r="P199">
        <f t="shared" si="123"/>
        <v>0.2</v>
      </c>
      <c r="Q199" s="407">
        <f t="shared" si="133"/>
        <v>0.36602365893094058</v>
      </c>
      <c r="R199" s="9">
        <f t="shared" si="140"/>
        <v>0.52866901123015964</v>
      </c>
      <c r="S199" s="9">
        <f t="shared" si="141"/>
        <v>2.7949092343507466E-3</v>
      </c>
      <c r="T199" s="9">
        <f t="shared" si="142"/>
        <v>2.7949092343507466E-3</v>
      </c>
      <c r="U199" s="407">
        <f t="shared" si="143"/>
        <v>2.6550192308658387</v>
      </c>
      <c r="V199" s="409">
        <f t="shared" si="144"/>
        <v>1.409825423253486E-2</v>
      </c>
      <c r="W199" s="407">
        <f t="shared" si="145"/>
        <v>1.409825423253486E-2</v>
      </c>
      <c r="X199" s="407">
        <f t="shared" si="146"/>
        <v>2.6550192308658387</v>
      </c>
      <c r="Y199" s="407">
        <f t="shared" si="147"/>
        <v>4.2294762697604578E-2</v>
      </c>
      <c r="Z199" s="407">
        <f t="shared" si="124"/>
        <v>0.42517055935168141</v>
      </c>
      <c r="AA199" s="407">
        <f t="shared" si="125"/>
        <v>0.14400000000000002</v>
      </c>
      <c r="AB199" s="407">
        <f t="shared" si="126"/>
        <v>0</v>
      </c>
      <c r="AC199" s="407">
        <f t="shared" si="148"/>
        <v>0.61668180416268426</v>
      </c>
      <c r="AD199" s="407">
        <f t="shared" si="149"/>
        <v>5.0715248010009422</v>
      </c>
      <c r="AE199" s="407">
        <f t="shared" si="150"/>
        <v>0.15432218284300589</v>
      </c>
      <c r="AF199" s="407">
        <f t="shared" si="127"/>
        <v>8.2079999999999986E-2</v>
      </c>
      <c r="AG199" s="407">
        <f t="shared" si="151"/>
        <v>0.24393097494635468</v>
      </c>
      <c r="AH199" s="407">
        <f t="shared" si="152"/>
        <v>0</v>
      </c>
      <c r="AI199">
        <f t="shared" si="128"/>
        <v>0</v>
      </c>
      <c r="AJ199" s="408">
        <f t="shared" si="129"/>
        <v>0.45295362000000006</v>
      </c>
      <c r="AK199">
        <f t="shared" si="134"/>
        <v>4.8000000000000001E-2</v>
      </c>
      <c r="AL199" s="408">
        <f t="shared" si="130"/>
        <v>0.1215</v>
      </c>
      <c r="AM199" s="408">
        <f t="shared" si="135"/>
        <v>0.31645971316818772</v>
      </c>
      <c r="AN199" s="408">
        <f t="shared" si="153"/>
        <v>0.16949999999999998</v>
      </c>
      <c r="AO199" s="408">
        <f t="shared" si="154"/>
        <v>1.8659832215068652</v>
      </c>
      <c r="AP199">
        <f t="shared" si="131"/>
        <v>29.069999999999993</v>
      </c>
      <c r="AQ199" s="10">
        <f t="shared" si="155"/>
        <v>0.93968243361957782</v>
      </c>
      <c r="AR199" s="63">
        <f t="shared" si="156"/>
        <v>30.834090208134214</v>
      </c>
      <c r="AS199" s="63">
        <f t="shared" si="157"/>
        <v>12.196548747317735</v>
      </c>
      <c r="AT199" s="10"/>
      <c r="AU199">
        <f t="shared" si="158"/>
        <v>93.968243361957775</v>
      </c>
    </row>
    <row r="200" spans="7:47" x14ac:dyDescent="0.25">
      <c r="G200">
        <v>191</v>
      </c>
      <c r="H200">
        <f t="shared" si="120"/>
        <v>5.7299999999999995</v>
      </c>
      <c r="I200" s="407">
        <f t="shared" si="136"/>
        <v>0.21512624999999996</v>
      </c>
      <c r="J200" s="408">
        <f t="shared" si="121"/>
        <v>1.8314802364864857</v>
      </c>
      <c r="K200" s="408">
        <f t="shared" si="132"/>
        <v>6.6457401182432427</v>
      </c>
      <c r="L200" s="408">
        <f t="shared" si="137"/>
        <v>4.8142598817567563</v>
      </c>
      <c r="M200" s="63">
        <f t="shared" si="122"/>
        <v>0</v>
      </c>
      <c r="N200" s="407">
        <f t="shared" si="138"/>
        <v>5.7543398105012917</v>
      </c>
      <c r="O200" s="407">
        <f t="shared" si="139"/>
        <v>0.16778443316843766</v>
      </c>
      <c r="P200">
        <f t="shared" si="123"/>
        <v>0.2</v>
      </c>
      <c r="Q200" s="407">
        <f t="shared" si="133"/>
        <v>0.36778443316843767</v>
      </c>
      <c r="R200" s="9">
        <f t="shared" si="140"/>
        <v>0.52870280377547607</v>
      </c>
      <c r="S200" s="9">
        <f t="shared" si="141"/>
        <v>2.7952665472004957E-3</v>
      </c>
      <c r="T200" s="9">
        <f t="shared" si="142"/>
        <v>2.7952665472004957E-3</v>
      </c>
      <c r="U200" s="407">
        <f t="shared" si="143"/>
        <v>2.6689608791868729</v>
      </c>
      <c r="V200" s="409">
        <f t="shared" si="144"/>
        <v>1.4246704349259931E-2</v>
      </c>
      <c r="W200" s="407">
        <f t="shared" si="145"/>
        <v>1.4246704349259931E-2</v>
      </c>
      <c r="X200" s="407">
        <f t="shared" si="146"/>
        <v>2.6689608791868729</v>
      </c>
      <c r="Y200" s="407">
        <f t="shared" si="147"/>
        <v>4.274011304777979E-2</v>
      </c>
      <c r="Z200" s="407">
        <f t="shared" si="124"/>
        <v>0.42741876524708927</v>
      </c>
      <c r="AA200" s="407">
        <f t="shared" si="125"/>
        <v>0.14400000000000002</v>
      </c>
      <c r="AB200" s="407">
        <f t="shared" si="126"/>
        <v>0</v>
      </c>
      <c r="AC200" s="407">
        <f t="shared" si="148"/>
        <v>0.61945398496392023</v>
      </c>
      <c r="AD200" s="407">
        <f t="shared" si="149"/>
        <v>5.0979480656525009</v>
      </c>
      <c r="AE200" s="407">
        <f t="shared" si="150"/>
        <v>0.15593444688054045</v>
      </c>
      <c r="AF200" s="407">
        <f t="shared" si="127"/>
        <v>8.2511999999999988E-2</v>
      </c>
      <c r="AG200" s="407">
        <f t="shared" si="151"/>
        <v>0.24612223375774384</v>
      </c>
      <c r="AH200" s="407">
        <f t="shared" si="152"/>
        <v>0</v>
      </c>
      <c r="AI200">
        <f t="shared" si="128"/>
        <v>0</v>
      </c>
      <c r="AJ200" s="408">
        <f t="shared" si="129"/>
        <v>0.45295021800000002</v>
      </c>
      <c r="AK200">
        <f t="shared" si="134"/>
        <v>4.8000000000000001E-2</v>
      </c>
      <c r="AL200" s="408">
        <f t="shared" si="130"/>
        <v>0.1215</v>
      </c>
      <c r="AM200" s="408">
        <f t="shared" si="135"/>
        <v>0.31645971316818772</v>
      </c>
      <c r="AN200" s="408">
        <f t="shared" si="153"/>
        <v>0.16949999999999998</v>
      </c>
      <c r="AO200" s="408">
        <f t="shared" si="154"/>
        <v>1.8728528407865621</v>
      </c>
      <c r="AP200">
        <f t="shared" si="131"/>
        <v>29.222999999999995</v>
      </c>
      <c r="AQ200" s="10">
        <f t="shared" si="155"/>
        <v>0.93977162001712167</v>
      </c>
      <c r="AR200" s="63">
        <f t="shared" si="156"/>
        <v>30.972699248196012</v>
      </c>
      <c r="AS200" s="63">
        <f t="shared" si="157"/>
        <v>12.306111687887192</v>
      </c>
      <c r="AT200" s="10"/>
      <c r="AU200">
        <f t="shared" si="158"/>
        <v>93.977162001712173</v>
      </c>
    </row>
    <row r="201" spans="7:47" x14ac:dyDescent="0.25">
      <c r="G201">
        <v>192</v>
      </c>
      <c r="H201">
        <f t="shared" ref="H201:H209" si="159">Iout*(G201/200)</f>
        <v>5.76</v>
      </c>
      <c r="I201" s="407">
        <f t="shared" si="136"/>
        <v>0.21514</v>
      </c>
      <c r="J201" s="408">
        <f t="shared" ref="J201:J209" si="160">(Vin-Vout)*I201/(Fsw*Lout2)</f>
        <v>1.8315972972972971</v>
      </c>
      <c r="K201" s="408">
        <f t="shared" si="132"/>
        <v>6.675798648648648</v>
      </c>
      <c r="L201" s="408">
        <f t="shared" si="137"/>
        <v>4.8442013513513515</v>
      </c>
      <c r="M201" s="63">
        <f t="shared" ref="M201:M209" si="161">IF(MIN(Vin, -L201/(CossTop+CossBot)*0.00000002)&lt;0, 0, MIN(Vin, -L201/(CossTop+CossBot)*0.00000002))</f>
        <v>0</v>
      </c>
      <c r="N201" s="407">
        <f t="shared" si="138"/>
        <v>5.7842166615963562</v>
      </c>
      <c r="O201" s="407">
        <f t="shared" si="139"/>
        <v>0.16955494284403239</v>
      </c>
      <c r="P201">
        <f t="shared" ref="P201:P209" si="162">Core_Loss</f>
        <v>0.2</v>
      </c>
      <c r="Q201" s="407">
        <f t="shared" si="133"/>
        <v>0.3695549428440324</v>
      </c>
      <c r="R201" s="9">
        <f t="shared" si="140"/>
        <v>0.52873659632079284</v>
      </c>
      <c r="S201" s="9">
        <f t="shared" si="141"/>
        <v>2.7956238828889708E-3</v>
      </c>
      <c r="T201" s="9">
        <f t="shared" si="142"/>
        <v>2.7956238828889708E-3</v>
      </c>
      <c r="U201" s="407">
        <f t="shared" si="143"/>
        <v>2.6829040080137925</v>
      </c>
      <c r="V201" s="409">
        <f t="shared" si="144"/>
        <v>1.4395947832432943E-2</v>
      </c>
      <c r="W201" s="407">
        <f t="shared" si="145"/>
        <v>1.4395947832432943E-2</v>
      </c>
      <c r="X201" s="407">
        <f t="shared" si="146"/>
        <v>2.6829040080137925</v>
      </c>
      <c r="Y201" s="407">
        <f t="shared" si="147"/>
        <v>4.3187843497298831E-2</v>
      </c>
      <c r="Z201" s="407">
        <f t="shared" ref="Z201:Z209" si="163">IF(L201&lt;0, (Vin*K201*Tf/2)*Fsw, (Vin*L201*Tr/2+Vin*K201*Tf/2)*Fsw)</f>
        <v>0.42966697114249708</v>
      </c>
      <c r="AA201" s="407">
        <f t="shared" ref="AA201:AA209" si="164">(0.5*CossTop*(Vin-M201)^2-0.5*CossBot*(Vin-M201)^2+(QossBot*(Vin-M201)/Vin)*Vin)*Fsw</f>
        <v>0.14400000000000002</v>
      </c>
      <c r="AB201" s="407">
        <f t="shared" ref="AB201:AB209" si="165">IF(L201&gt;0,0,-L201*VsdTop*Deadtime*Fsw)</f>
        <v>0</v>
      </c>
      <c r="AC201" s="407">
        <f t="shared" si="148"/>
        <v>0.62222936351396896</v>
      </c>
      <c r="AD201" s="407">
        <f t="shared" si="149"/>
        <v>5.1243720075802877</v>
      </c>
      <c r="AE201" s="407">
        <f t="shared" si="150"/>
        <v>0.15755513083243458</v>
      </c>
      <c r="AF201" s="407">
        <f t="shared" ref="AF201:AF209" si="166">IF(L201&lt;0, Deadtime*Fsw*IF(VfdSky&gt;0,0,VsdBot)*K201, Deadtime*Fsw*IF(VfdSky&gt;0,0,VsdBot)*(K201+L201))</f>
        <v>8.294399999999999E-2</v>
      </c>
      <c r="AG201" s="407">
        <f t="shared" si="151"/>
        <v>0.2483240773309798</v>
      </c>
      <c r="AH201" s="407">
        <f t="shared" si="152"/>
        <v>0</v>
      </c>
      <c r="AI201">
        <f t="shared" ref="AI201:AI209" si="167">2*Deadtime*Fsw*IF(VfdSky&gt;0,VfdSky,0)*H201</f>
        <v>0</v>
      </c>
      <c r="AJ201" s="408">
        <f t="shared" ref="AJ201:AJ209" si="168">IF(QrrSky&gt;0,QrrSky,QrrBot)*Fsw*(Vin-H201*RdsonTop)</f>
        <v>0.45294681600000003</v>
      </c>
      <c r="AK201">
        <f t="shared" si="134"/>
        <v>4.8000000000000001E-2</v>
      </c>
      <c r="AL201" s="408">
        <f t="shared" ref="AL201:AL209" si="169">IF(Ext_VCC=1, Vdd*(QgTop+QgBot)*Fsw, Vin*(QgTop+QgBot)*Fsw)</f>
        <v>0.1215</v>
      </c>
      <c r="AM201" s="408">
        <f t="shared" si="135"/>
        <v>0.31645971316818772</v>
      </c>
      <c r="AN201" s="408">
        <f t="shared" si="153"/>
        <v>0.16949999999999998</v>
      </c>
      <c r="AO201" s="408">
        <f t="shared" si="154"/>
        <v>1.8797467714043032</v>
      </c>
      <c r="AP201">
        <f t="shared" ref="AP201:AP209" si="170">Vout*H201</f>
        <v>29.375999999999998</v>
      </c>
      <c r="AQ201" s="10">
        <f t="shared" si="155"/>
        <v>0.93985916301561312</v>
      </c>
      <c r="AR201" s="63">
        <f t="shared" si="156"/>
        <v>31.111468175698448</v>
      </c>
      <c r="AS201" s="63">
        <f t="shared" si="157"/>
        <v>12.41620386654899</v>
      </c>
      <c r="AT201" s="10"/>
      <c r="AU201">
        <f t="shared" si="158"/>
        <v>93.985916301561318</v>
      </c>
    </row>
    <row r="202" spans="7:47" x14ac:dyDescent="0.25">
      <c r="G202">
        <v>193</v>
      </c>
      <c r="H202">
        <f t="shared" si="159"/>
        <v>5.79</v>
      </c>
      <c r="I202" s="407">
        <f t="shared" si="136"/>
        <v>0.21515375</v>
      </c>
      <c r="J202" s="408">
        <f t="shared" si="160"/>
        <v>1.8317143581081079</v>
      </c>
      <c r="K202" s="408">
        <f t="shared" ref="K202:K209" si="171">H202+J202/2</f>
        <v>6.7058571790540542</v>
      </c>
      <c r="L202" s="408">
        <f t="shared" si="137"/>
        <v>4.8741428209459459</v>
      </c>
      <c r="M202" s="63">
        <f t="shared" si="161"/>
        <v>0</v>
      </c>
      <c r="N202" s="407">
        <f t="shared" si="138"/>
        <v>5.8140947811453518</v>
      </c>
      <c r="O202" s="407">
        <f t="shared" si="139"/>
        <v>0.17133519591703614</v>
      </c>
      <c r="P202">
        <f t="shared" si="162"/>
        <v>0.2</v>
      </c>
      <c r="Q202" s="407">
        <f t="shared" ref="Q202:Q209" si="172">O202+P202</f>
        <v>0.37133519591703612</v>
      </c>
      <c r="R202" s="9">
        <f t="shared" si="140"/>
        <v>0.52877038886610939</v>
      </c>
      <c r="S202" s="9">
        <f t="shared" si="141"/>
        <v>2.7959812414161656E-3</v>
      </c>
      <c r="T202" s="9">
        <f t="shared" si="142"/>
        <v>2.7959812414161656E-3</v>
      </c>
      <c r="U202" s="407">
        <f t="shared" si="143"/>
        <v>2.6968486081493404</v>
      </c>
      <c r="V202" s="409">
        <f t="shared" si="144"/>
        <v>1.454598483055407E-2</v>
      </c>
      <c r="W202" s="407">
        <f t="shared" si="145"/>
        <v>1.454598483055407E-2</v>
      </c>
      <c r="X202" s="407">
        <f t="shared" si="146"/>
        <v>2.6968486081493404</v>
      </c>
      <c r="Y202" s="407">
        <f t="shared" si="147"/>
        <v>4.3637954491662211E-2</v>
      </c>
      <c r="Z202" s="407">
        <f t="shared" si="163"/>
        <v>0.43191517703790494</v>
      </c>
      <c r="AA202" s="407">
        <f t="shared" si="164"/>
        <v>0.14400000000000002</v>
      </c>
      <c r="AB202" s="407">
        <f t="shared" si="165"/>
        <v>0</v>
      </c>
      <c r="AC202" s="407">
        <f t="shared" si="148"/>
        <v>0.62500794518333469</v>
      </c>
      <c r="AD202" s="407">
        <f t="shared" si="149"/>
        <v>5.1507966091532467</v>
      </c>
      <c r="AE202" s="407">
        <f t="shared" si="150"/>
        <v>0.15918423425318751</v>
      </c>
      <c r="AF202" s="407">
        <f t="shared" si="166"/>
        <v>8.3375999999999992E-2</v>
      </c>
      <c r="AG202" s="407">
        <f t="shared" si="151"/>
        <v>0.25053652730343762</v>
      </c>
      <c r="AH202" s="407">
        <f t="shared" si="152"/>
        <v>0</v>
      </c>
      <c r="AI202">
        <f t="shared" si="167"/>
        <v>0</v>
      </c>
      <c r="AJ202" s="408">
        <f t="shared" si="168"/>
        <v>0.45294341399999999</v>
      </c>
      <c r="AK202">
        <f t="shared" ref="AK202:AK209" si="173">Iq*Vin</f>
        <v>4.8000000000000001E-2</v>
      </c>
      <c r="AL202" s="408">
        <f t="shared" si="169"/>
        <v>0.1215</v>
      </c>
      <c r="AM202" s="408">
        <f t="shared" ref="AM202:AM209" si="174">(Vin-Vdd)*Fsw*(QgTop+QgBot)+(RdsonDRT+RdsonDRT2)*Fsw*QgTop*Vdd/(RdsonDRT+2*RGateTop+RdsonDRT2)+(RdsonDRB+RdsonDRB2)*Fsw*QgBot*Vdd/(RdsonDRB+2*RGateBot+RdsonDRB2)</f>
        <v>0.31645971316818772</v>
      </c>
      <c r="AN202" s="408">
        <f t="shared" si="153"/>
        <v>0.16949999999999998</v>
      </c>
      <c r="AO202" s="408">
        <f t="shared" si="154"/>
        <v>1.8866650484757785</v>
      </c>
      <c r="AP202">
        <f t="shared" si="170"/>
        <v>29.528999999999996</v>
      </c>
      <c r="AQ202" s="10">
        <f t="shared" si="155"/>
        <v>0.93994508645401686</v>
      </c>
      <c r="AR202" s="63">
        <f t="shared" si="156"/>
        <v>31.250397259166736</v>
      </c>
      <c r="AS202" s="63">
        <f t="shared" si="157"/>
        <v>12.52682636517188</v>
      </c>
      <c r="AT202" s="10"/>
      <c r="AU202">
        <f t="shared" si="158"/>
        <v>93.99450864540168</v>
      </c>
    </row>
    <row r="203" spans="7:47" x14ac:dyDescent="0.25">
      <c r="G203">
        <v>194</v>
      </c>
      <c r="H203">
        <f t="shared" si="159"/>
        <v>5.82</v>
      </c>
      <c r="I203" s="407">
        <f t="shared" si="136"/>
        <v>0.21516749999999996</v>
      </c>
      <c r="J203" s="408">
        <f t="shared" si="160"/>
        <v>1.831831418918918</v>
      </c>
      <c r="K203" s="408">
        <f t="shared" si="171"/>
        <v>6.7359157094594595</v>
      </c>
      <c r="L203" s="408">
        <f t="shared" si="137"/>
        <v>4.9040842905405411</v>
      </c>
      <c r="M203" s="63">
        <f t="shared" si="161"/>
        <v>0</v>
      </c>
      <c r="N203" s="407">
        <f t="shared" si="138"/>
        <v>5.8439741496928459</v>
      </c>
      <c r="O203" s="407">
        <f t="shared" si="139"/>
        <v>0.17312520039389756</v>
      </c>
      <c r="P203">
        <f t="shared" si="162"/>
        <v>0.2</v>
      </c>
      <c r="Q203" s="407">
        <f t="shared" si="172"/>
        <v>0.37312520039389757</v>
      </c>
      <c r="R203" s="9">
        <f t="shared" si="140"/>
        <v>0.52880418141142571</v>
      </c>
      <c r="S203" s="9">
        <f t="shared" si="141"/>
        <v>2.7963386227820805E-3</v>
      </c>
      <c r="T203" s="9">
        <f t="shared" si="142"/>
        <v>2.7963386227820805E-3</v>
      </c>
      <c r="U203" s="407">
        <f t="shared" si="143"/>
        <v>2.7107946705831019</v>
      </c>
      <c r="V203" s="409">
        <f t="shared" si="144"/>
        <v>1.4696815492123495E-2</v>
      </c>
      <c r="W203" s="407">
        <f t="shared" si="145"/>
        <v>1.4696815492123495E-2</v>
      </c>
      <c r="X203" s="407">
        <f t="shared" si="146"/>
        <v>2.7107946705831019</v>
      </c>
      <c r="Y203" s="407">
        <f t="shared" si="147"/>
        <v>4.4090446476370483E-2</v>
      </c>
      <c r="Z203" s="407">
        <f t="shared" si="163"/>
        <v>0.43416338293331275</v>
      </c>
      <c r="AA203" s="407">
        <f t="shared" si="164"/>
        <v>0.14400000000000002</v>
      </c>
      <c r="AB203" s="407">
        <f t="shared" si="165"/>
        <v>0</v>
      </c>
      <c r="AC203" s="407">
        <f t="shared" si="148"/>
        <v>0.62778973535469751</v>
      </c>
      <c r="AD203" s="407">
        <f t="shared" si="149"/>
        <v>5.1772218531000265</v>
      </c>
      <c r="AE203" s="407">
        <f t="shared" si="150"/>
        <v>0.16082175669729884</v>
      </c>
      <c r="AF203" s="407">
        <f t="shared" si="166"/>
        <v>8.3808000000000007E-2</v>
      </c>
      <c r="AG203" s="407">
        <f t="shared" si="151"/>
        <v>0.25275960545146298</v>
      </c>
      <c r="AH203" s="407">
        <f t="shared" si="152"/>
        <v>0</v>
      </c>
      <c r="AI203">
        <f t="shared" si="167"/>
        <v>0</v>
      </c>
      <c r="AJ203" s="408">
        <f t="shared" si="168"/>
        <v>0.452940012</v>
      </c>
      <c r="AK203">
        <f t="shared" si="173"/>
        <v>4.8000000000000001E-2</v>
      </c>
      <c r="AL203" s="408">
        <f t="shared" si="169"/>
        <v>0.1215</v>
      </c>
      <c r="AM203" s="408">
        <f t="shared" si="174"/>
        <v>0.31645971316818772</v>
      </c>
      <c r="AN203" s="408">
        <f t="shared" si="153"/>
        <v>0.16949999999999998</v>
      </c>
      <c r="AO203" s="408">
        <f t="shared" si="154"/>
        <v>1.8936077073149635</v>
      </c>
      <c r="AP203">
        <f t="shared" si="170"/>
        <v>29.681999999999999</v>
      </c>
      <c r="AQ203" s="10">
        <f t="shared" si="155"/>
        <v>0.9400294136895968</v>
      </c>
      <c r="AR203" s="63">
        <f t="shared" si="156"/>
        <v>31.389486767734876</v>
      </c>
      <c r="AS203" s="63">
        <f t="shared" si="157"/>
        <v>12.637980272573149</v>
      </c>
      <c r="AT203" s="10"/>
      <c r="AU203">
        <f t="shared" si="158"/>
        <v>94.002941368959682</v>
      </c>
    </row>
    <row r="204" spans="7:47" x14ac:dyDescent="0.25">
      <c r="G204">
        <v>195</v>
      </c>
      <c r="H204">
        <f t="shared" si="159"/>
        <v>5.85</v>
      </c>
      <c r="I204" s="407">
        <f t="shared" si="136"/>
        <v>0.21518124999999999</v>
      </c>
      <c r="J204" s="408">
        <f t="shared" si="160"/>
        <v>1.8319484797297294</v>
      </c>
      <c r="K204" s="408">
        <f t="shared" si="171"/>
        <v>6.7659742398648639</v>
      </c>
      <c r="L204" s="408">
        <f t="shared" si="137"/>
        <v>4.9340257601351354</v>
      </c>
      <c r="M204" s="63">
        <f t="shared" si="161"/>
        <v>0</v>
      </c>
      <c r="N204" s="407">
        <f t="shared" si="138"/>
        <v>5.8738547481784629</v>
      </c>
      <c r="O204" s="407">
        <f t="shared" si="139"/>
        <v>0.17492496432829369</v>
      </c>
      <c r="P204">
        <f t="shared" si="162"/>
        <v>0.2</v>
      </c>
      <c r="Q204" s="407">
        <f t="shared" si="172"/>
        <v>0.3749249643282937</v>
      </c>
      <c r="R204" s="9">
        <f t="shared" si="140"/>
        <v>0.52883797395674248</v>
      </c>
      <c r="S204" s="9">
        <f t="shared" si="141"/>
        <v>2.7966960269867227E-3</v>
      </c>
      <c r="T204" s="9">
        <f t="shared" si="142"/>
        <v>2.7966960269867227E-3</v>
      </c>
      <c r="U204" s="407">
        <f t="shared" si="143"/>
        <v>2.72474218648677</v>
      </c>
      <c r="V204" s="409">
        <f t="shared" si="144"/>
        <v>1.4848439965641409E-2</v>
      </c>
      <c r="W204" s="407">
        <f t="shared" si="145"/>
        <v>1.4848439965641409E-2</v>
      </c>
      <c r="X204" s="407">
        <f t="shared" si="146"/>
        <v>2.72474218648677</v>
      </c>
      <c r="Y204" s="407">
        <f t="shared" si="147"/>
        <v>4.4545319896924222E-2</v>
      </c>
      <c r="Z204" s="407">
        <f t="shared" si="163"/>
        <v>0.4364115888287205</v>
      </c>
      <c r="AA204" s="407">
        <f t="shared" si="164"/>
        <v>0.14400000000000002</v>
      </c>
      <c r="AB204" s="407">
        <f t="shared" si="165"/>
        <v>0</v>
      </c>
      <c r="AC204" s="407">
        <f t="shared" si="148"/>
        <v>0.63057473942294762</v>
      </c>
      <c r="AD204" s="407">
        <f t="shared" si="149"/>
        <v>5.2036477224998592</v>
      </c>
      <c r="AE204" s="407">
        <f t="shared" si="150"/>
        <v>0.16246769771926783</v>
      </c>
      <c r="AF204" s="407">
        <f t="shared" si="166"/>
        <v>8.4239999999999995E-2</v>
      </c>
      <c r="AG204" s="407">
        <f t="shared" si="151"/>
        <v>0.25499333369097454</v>
      </c>
      <c r="AH204" s="407">
        <f t="shared" si="152"/>
        <v>0</v>
      </c>
      <c r="AI204">
        <f t="shared" si="167"/>
        <v>0</v>
      </c>
      <c r="AJ204" s="408">
        <f t="shared" si="168"/>
        <v>0.45293661000000002</v>
      </c>
      <c r="AK204">
        <f t="shared" si="173"/>
        <v>4.8000000000000001E-2</v>
      </c>
      <c r="AL204" s="408">
        <f t="shared" si="169"/>
        <v>0.1215</v>
      </c>
      <c r="AM204" s="408">
        <f t="shared" si="174"/>
        <v>0.31645971316818772</v>
      </c>
      <c r="AN204" s="408">
        <f t="shared" si="153"/>
        <v>0.16949999999999998</v>
      </c>
      <c r="AO204" s="408">
        <f t="shared" si="154"/>
        <v>1.9005747834348441</v>
      </c>
      <c r="AP204">
        <f t="shared" si="170"/>
        <v>29.834999999999997</v>
      </c>
      <c r="AQ204" s="10">
        <f t="shared" si="155"/>
        <v>0.94011216760986804</v>
      </c>
      <c r="AR204" s="63">
        <f t="shared" si="156"/>
        <v>31.528736971147381</v>
      </c>
      <c r="AS204" s="63">
        <f t="shared" si="157"/>
        <v>12.749666684548727</v>
      </c>
      <c r="AT204" s="10"/>
      <c r="AU204">
        <f t="shared" si="158"/>
        <v>94.011216760986798</v>
      </c>
    </row>
    <row r="205" spans="7:47" x14ac:dyDescent="0.25">
      <c r="G205">
        <v>196</v>
      </c>
      <c r="H205">
        <f t="shared" si="159"/>
        <v>5.88</v>
      </c>
      <c r="I205" s="407">
        <f t="shared" si="136"/>
        <v>0.215195</v>
      </c>
      <c r="J205" s="408">
        <f t="shared" si="160"/>
        <v>1.8320655405405404</v>
      </c>
      <c r="K205" s="408">
        <f t="shared" si="171"/>
        <v>6.7960327702702701</v>
      </c>
      <c r="L205" s="408">
        <f t="shared" si="137"/>
        <v>4.9639672297297297</v>
      </c>
      <c r="M205" s="63">
        <f t="shared" si="161"/>
        <v>0</v>
      </c>
      <c r="N205" s="407">
        <f t="shared" si="138"/>
        <v>5.9037365579269379</v>
      </c>
      <c r="O205" s="407">
        <f t="shared" si="139"/>
        <v>0.17673449582122286</v>
      </c>
      <c r="P205">
        <f t="shared" si="162"/>
        <v>0.2</v>
      </c>
      <c r="Q205" s="407">
        <f t="shared" si="172"/>
        <v>0.37673449582122287</v>
      </c>
      <c r="R205" s="9">
        <f t="shared" si="140"/>
        <v>0.52887176650205914</v>
      </c>
      <c r="S205" s="9">
        <f t="shared" si="141"/>
        <v>2.7970534540300855E-3</v>
      </c>
      <c r="T205" s="9">
        <f t="shared" si="142"/>
        <v>2.7970534540300855E-3</v>
      </c>
      <c r="U205" s="407">
        <f t="shared" si="143"/>
        <v>2.7386911472095572</v>
      </c>
      <c r="V205" s="409">
        <f t="shared" si="144"/>
        <v>1.5000858399608002E-2</v>
      </c>
      <c r="W205" s="407">
        <f t="shared" si="145"/>
        <v>1.5000858399608002E-2</v>
      </c>
      <c r="X205" s="407">
        <f t="shared" si="146"/>
        <v>2.7386911472095572</v>
      </c>
      <c r="Y205" s="407">
        <f t="shared" si="147"/>
        <v>4.5002575198824002E-2</v>
      </c>
      <c r="Z205" s="407">
        <f t="shared" si="163"/>
        <v>0.4386597947241283</v>
      </c>
      <c r="AA205" s="407">
        <f t="shared" si="164"/>
        <v>0.14400000000000002</v>
      </c>
      <c r="AB205" s="407">
        <f t="shared" si="165"/>
        <v>0</v>
      </c>
      <c r="AC205" s="407">
        <f t="shared" si="148"/>
        <v>0.63336296279522075</v>
      </c>
      <c r="AD205" s="407">
        <f t="shared" si="149"/>
        <v>5.2300742007737329</v>
      </c>
      <c r="AE205" s="407">
        <f t="shared" si="150"/>
        <v>0.16412205687359399</v>
      </c>
      <c r="AF205" s="407">
        <f t="shared" si="166"/>
        <v>8.4671999999999997E-2</v>
      </c>
      <c r="AG205" s="407">
        <f t="shared" si="151"/>
        <v>0.25723773407807321</v>
      </c>
      <c r="AH205" s="407">
        <f t="shared" si="152"/>
        <v>0</v>
      </c>
      <c r="AI205">
        <f t="shared" si="167"/>
        <v>0</v>
      </c>
      <c r="AJ205" s="408">
        <f t="shared" si="168"/>
        <v>0.45293320799999998</v>
      </c>
      <c r="AK205">
        <f t="shared" si="173"/>
        <v>4.8000000000000001E-2</v>
      </c>
      <c r="AL205" s="408">
        <f t="shared" si="169"/>
        <v>0.1215</v>
      </c>
      <c r="AM205" s="408">
        <f t="shared" si="174"/>
        <v>0.31645971316818772</v>
      </c>
      <c r="AN205" s="408">
        <f t="shared" si="153"/>
        <v>0.16949999999999998</v>
      </c>
      <c r="AO205" s="408">
        <f t="shared" si="154"/>
        <v>1.9075663125481548</v>
      </c>
      <c r="AP205">
        <f t="shared" si="170"/>
        <v>29.987999999999996</v>
      </c>
      <c r="AQ205" s="10">
        <f t="shared" si="155"/>
        <v>0.94019337064419228</v>
      </c>
      <c r="AR205" s="63">
        <f t="shared" si="156"/>
        <v>31.668148139761037</v>
      </c>
      <c r="AS205" s="63">
        <f t="shared" si="157"/>
        <v>12.861886703903661</v>
      </c>
      <c r="AT205" s="10"/>
      <c r="AU205">
        <f t="shared" si="158"/>
        <v>94.019337064419233</v>
      </c>
    </row>
    <row r="206" spans="7:47" x14ac:dyDescent="0.25">
      <c r="G206">
        <v>197</v>
      </c>
      <c r="H206">
        <f t="shared" si="159"/>
        <v>5.91</v>
      </c>
      <c r="I206" s="407">
        <f t="shared" si="136"/>
        <v>0.21520874999999998</v>
      </c>
      <c r="J206" s="408">
        <f t="shared" si="160"/>
        <v>1.8321826013513509</v>
      </c>
      <c r="K206" s="408">
        <f t="shared" si="171"/>
        <v>6.8260913006756754</v>
      </c>
      <c r="L206" s="408">
        <f t="shared" si="137"/>
        <v>4.9939086993243249</v>
      </c>
      <c r="M206" s="63">
        <f t="shared" si="161"/>
        <v>0</v>
      </c>
      <c r="N206" s="407">
        <f t="shared" si="138"/>
        <v>5.9336195606384488</v>
      </c>
      <c r="O206" s="407">
        <f t="shared" si="139"/>
        <v>0.17855380302109683</v>
      </c>
      <c r="P206">
        <f t="shared" si="162"/>
        <v>0.2</v>
      </c>
      <c r="Q206" s="407">
        <f t="shared" si="172"/>
        <v>0.37855380302109687</v>
      </c>
      <c r="R206" s="9">
        <f t="shared" si="140"/>
        <v>0.52890555904737568</v>
      </c>
      <c r="S206" s="9">
        <f t="shared" si="141"/>
        <v>2.7974109039121705E-3</v>
      </c>
      <c r="T206" s="9">
        <f t="shared" si="142"/>
        <v>2.7974109039121705E-3</v>
      </c>
      <c r="U206" s="407">
        <f t="shared" si="143"/>
        <v>2.7526415442737417</v>
      </c>
      <c r="V206" s="409">
        <f t="shared" si="144"/>
        <v>1.5154070942523459E-2</v>
      </c>
      <c r="W206" s="407">
        <f t="shared" si="145"/>
        <v>1.5154070942523459E-2</v>
      </c>
      <c r="X206" s="407">
        <f t="shared" si="146"/>
        <v>2.7526415442737417</v>
      </c>
      <c r="Y206" s="407">
        <f t="shared" si="147"/>
        <v>4.5462212827570375E-2</v>
      </c>
      <c r="Z206" s="407">
        <f t="shared" si="163"/>
        <v>0.44090800061953611</v>
      </c>
      <c r="AA206" s="407">
        <f t="shared" si="164"/>
        <v>0.14400000000000002</v>
      </c>
      <c r="AB206" s="407">
        <f t="shared" si="165"/>
        <v>0</v>
      </c>
      <c r="AC206" s="407">
        <f t="shared" si="148"/>
        <v>0.63615441089093083</v>
      </c>
      <c r="AD206" s="407">
        <f t="shared" si="149"/>
        <v>5.256501271675817</v>
      </c>
      <c r="AE206" s="407">
        <f t="shared" si="150"/>
        <v>0.1657848337147769</v>
      </c>
      <c r="AF206" s="407">
        <f t="shared" si="166"/>
        <v>8.5103999999999999E-2</v>
      </c>
      <c r="AG206" s="407">
        <f t="shared" si="151"/>
        <v>0.25949282880965402</v>
      </c>
      <c r="AH206" s="407">
        <f t="shared" si="152"/>
        <v>0</v>
      </c>
      <c r="AI206">
        <f t="shared" si="167"/>
        <v>0</v>
      </c>
      <c r="AJ206" s="408">
        <f t="shared" si="168"/>
        <v>0.45292980599999999</v>
      </c>
      <c r="AK206">
        <f t="shared" si="173"/>
        <v>4.8000000000000001E-2</v>
      </c>
      <c r="AL206" s="408">
        <f t="shared" si="169"/>
        <v>0.1215</v>
      </c>
      <c r="AM206" s="408">
        <f t="shared" si="174"/>
        <v>0.31645971316818772</v>
      </c>
      <c r="AN206" s="408">
        <f t="shared" si="153"/>
        <v>0.16949999999999998</v>
      </c>
      <c r="AO206" s="408">
        <f t="shared" si="154"/>
        <v>1.9145823305681173</v>
      </c>
      <c r="AP206">
        <f t="shared" si="170"/>
        <v>30.140999999999998</v>
      </c>
      <c r="AQ206" s="10">
        <f t="shared" si="155"/>
        <v>0.94027304477503204</v>
      </c>
      <c r="AR206" s="63">
        <f t="shared" si="156"/>
        <v>31.807720544546541</v>
      </c>
      <c r="AS206" s="63">
        <f t="shared" si="157"/>
        <v>12.974641440482701</v>
      </c>
      <c r="AT206" s="10"/>
      <c r="AU206">
        <f t="shared" si="158"/>
        <v>94.027304477503208</v>
      </c>
    </row>
    <row r="207" spans="7:47" x14ac:dyDescent="0.25">
      <c r="G207">
        <v>198</v>
      </c>
      <c r="H207">
        <f t="shared" si="159"/>
        <v>5.9399999999999995</v>
      </c>
      <c r="I207" s="407">
        <f t="shared" si="136"/>
        <v>0.21522249999999998</v>
      </c>
      <c r="J207" s="408">
        <f t="shared" si="160"/>
        <v>1.8322996621621617</v>
      </c>
      <c r="K207" s="408">
        <f t="shared" si="171"/>
        <v>6.8561498310810807</v>
      </c>
      <c r="L207" s="408">
        <f t="shared" si="137"/>
        <v>5.0238501689189183</v>
      </c>
      <c r="M207" s="63">
        <f t="shared" si="161"/>
        <v>0</v>
      </c>
      <c r="N207" s="407">
        <f t="shared" si="138"/>
        <v>5.9635037383792504</v>
      </c>
      <c r="O207" s="407">
        <f t="shared" si="139"/>
        <v>0.18038289412383421</v>
      </c>
      <c r="P207">
        <f t="shared" si="162"/>
        <v>0.2</v>
      </c>
      <c r="Q207" s="407">
        <f t="shared" si="172"/>
        <v>0.38038289412383419</v>
      </c>
      <c r="R207" s="9">
        <f t="shared" si="140"/>
        <v>0.52893935159269223</v>
      </c>
      <c r="S207" s="9">
        <f t="shared" si="141"/>
        <v>2.7977683766329769E-3</v>
      </c>
      <c r="T207" s="9">
        <f t="shared" si="142"/>
        <v>2.7977683766329769E-3</v>
      </c>
      <c r="U207" s="407">
        <f t="shared" si="143"/>
        <v>2.7665933693703506</v>
      </c>
      <c r="V207" s="409">
        <f t="shared" si="144"/>
        <v>1.5308077742887978E-2</v>
      </c>
      <c r="W207" s="407">
        <f t="shared" si="145"/>
        <v>1.5308077742887978E-2</v>
      </c>
      <c r="X207" s="407">
        <f t="shared" si="146"/>
        <v>2.7665933693703506</v>
      </c>
      <c r="Y207" s="407">
        <f t="shared" si="147"/>
        <v>4.5924233228663937E-2</v>
      </c>
      <c r="Z207" s="407">
        <f t="shared" si="163"/>
        <v>0.44315620651494397</v>
      </c>
      <c r="AA207" s="407">
        <f t="shared" si="164"/>
        <v>0.14400000000000002</v>
      </c>
      <c r="AB207" s="407">
        <f t="shared" si="165"/>
        <v>0</v>
      </c>
      <c r="AC207" s="407">
        <f t="shared" si="148"/>
        <v>0.63894908914180615</v>
      </c>
      <c r="AD207" s="407">
        <f t="shared" si="149"/>
        <v>5.282928919285145</v>
      </c>
      <c r="AE207" s="407">
        <f t="shared" si="150"/>
        <v>0.16745602779731586</v>
      </c>
      <c r="AF207" s="407">
        <f t="shared" si="166"/>
        <v>8.5535999999999987E-2</v>
      </c>
      <c r="AG207" s="407">
        <f t="shared" si="151"/>
        <v>0.26175864022402417</v>
      </c>
      <c r="AH207" s="407">
        <f t="shared" si="152"/>
        <v>0</v>
      </c>
      <c r="AI207">
        <f t="shared" si="167"/>
        <v>0</v>
      </c>
      <c r="AJ207" s="408">
        <f t="shared" si="168"/>
        <v>0.452926404</v>
      </c>
      <c r="AK207">
        <f t="shared" si="173"/>
        <v>4.8000000000000001E-2</v>
      </c>
      <c r="AL207" s="408">
        <f t="shared" si="169"/>
        <v>0.1215</v>
      </c>
      <c r="AM207" s="408">
        <f t="shared" si="174"/>
        <v>0.31645971316818772</v>
      </c>
      <c r="AN207" s="408">
        <f t="shared" si="153"/>
        <v>0.16949999999999998</v>
      </c>
      <c r="AO207" s="408">
        <f t="shared" si="154"/>
        <v>1.9216228736091856</v>
      </c>
      <c r="AP207">
        <f t="shared" si="170"/>
        <v>30.293999999999997</v>
      </c>
      <c r="AQ207" s="10">
        <f t="shared" si="155"/>
        <v>0.94035121154887347</v>
      </c>
      <c r="AR207" s="63">
        <f t="shared" si="156"/>
        <v>31.947454457090309</v>
      </c>
      <c r="AS207" s="63">
        <f t="shared" si="157"/>
        <v>13.087932011201209</v>
      </c>
      <c r="AT207" s="10"/>
      <c r="AU207">
        <f t="shared" si="158"/>
        <v>94.035121154887349</v>
      </c>
    </row>
    <row r="208" spans="7:47" x14ac:dyDescent="0.25">
      <c r="G208">
        <v>199</v>
      </c>
      <c r="H208">
        <f t="shared" si="159"/>
        <v>5.97</v>
      </c>
      <c r="I208" s="407">
        <f t="shared" si="136"/>
        <v>0.21523624999999999</v>
      </c>
      <c r="J208" s="408">
        <f t="shared" si="160"/>
        <v>1.8324167229729726</v>
      </c>
      <c r="K208" s="408">
        <f t="shared" si="171"/>
        <v>6.886208361486486</v>
      </c>
      <c r="L208" s="408">
        <f t="shared" si="137"/>
        <v>5.0537916385135135</v>
      </c>
      <c r="M208" s="63">
        <f t="shared" si="161"/>
        <v>0</v>
      </c>
      <c r="N208" s="407">
        <f t="shared" si="138"/>
        <v>5.9933890735725841</v>
      </c>
      <c r="O208" s="407">
        <f t="shared" si="139"/>
        <v>0.18222177737295464</v>
      </c>
      <c r="P208">
        <f t="shared" si="162"/>
        <v>0.2</v>
      </c>
      <c r="Q208" s="407">
        <f t="shared" si="172"/>
        <v>0.38222177737295465</v>
      </c>
      <c r="R208" s="9">
        <f t="shared" si="140"/>
        <v>0.52897314413800889</v>
      </c>
      <c r="S208" s="9">
        <f t="shared" si="141"/>
        <v>2.7981258721925073E-3</v>
      </c>
      <c r="T208" s="9">
        <f t="shared" si="142"/>
        <v>2.7981258721925073E-3</v>
      </c>
      <c r="U208" s="407">
        <f t="shared" si="143"/>
        <v>2.7805466143549666</v>
      </c>
      <c r="V208" s="409">
        <f t="shared" si="144"/>
        <v>1.5462878949201736E-2</v>
      </c>
      <c r="W208" s="407">
        <f t="shared" si="145"/>
        <v>1.5462878949201736E-2</v>
      </c>
      <c r="X208" s="407">
        <f t="shared" si="146"/>
        <v>2.7805466143549666</v>
      </c>
      <c r="Y208" s="407">
        <f t="shared" si="147"/>
        <v>4.6388636847605205E-2</v>
      </c>
      <c r="Z208" s="407">
        <f t="shared" si="163"/>
        <v>0.44540441241035178</v>
      </c>
      <c r="AA208" s="407">
        <f t="shared" si="164"/>
        <v>0.14400000000000002</v>
      </c>
      <c r="AB208" s="407">
        <f t="shared" si="165"/>
        <v>0</v>
      </c>
      <c r="AC208" s="407">
        <f t="shared" si="148"/>
        <v>0.64174700299192322</v>
      </c>
      <c r="AD208" s="407">
        <f t="shared" si="149"/>
        <v>5.309357127997548</v>
      </c>
      <c r="AE208" s="407">
        <f t="shared" si="150"/>
        <v>0.16913563867571021</v>
      </c>
      <c r="AF208" s="407">
        <f t="shared" si="166"/>
        <v>8.5967999999999989E-2</v>
      </c>
      <c r="AG208" s="407">
        <f t="shared" si="151"/>
        <v>0.26403519080152599</v>
      </c>
      <c r="AH208" s="407">
        <f t="shared" si="152"/>
        <v>0</v>
      </c>
      <c r="AI208">
        <f t="shared" si="167"/>
        <v>0</v>
      </c>
      <c r="AJ208" s="408">
        <f t="shared" si="168"/>
        <v>0.45292300199999996</v>
      </c>
      <c r="AK208">
        <f t="shared" si="173"/>
        <v>4.8000000000000001E-2</v>
      </c>
      <c r="AL208" s="408">
        <f t="shared" si="169"/>
        <v>0.1215</v>
      </c>
      <c r="AM208" s="408">
        <f t="shared" si="174"/>
        <v>0.31645971316818772</v>
      </c>
      <c r="AN208" s="408">
        <f t="shared" si="153"/>
        <v>0.16949999999999998</v>
      </c>
      <c r="AO208" s="408">
        <f t="shared" si="154"/>
        <v>1.9286879779877979</v>
      </c>
      <c r="AP208">
        <f t="shared" si="170"/>
        <v>30.446999999999996</v>
      </c>
      <c r="AQ208" s="10">
        <f t="shared" si="155"/>
        <v>0.94042789208683031</v>
      </c>
      <c r="AR208" s="63">
        <f t="shared" si="156"/>
        <v>32.087350149596162</v>
      </c>
      <c r="AS208" s="63">
        <f t="shared" si="157"/>
        <v>13.201759540076299</v>
      </c>
      <c r="AT208" s="10"/>
      <c r="AU208">
        <f t="shared" si="158"/>
        <v>94.042789208683033</v>
      </c>
    </row>
    <row r="209" spans="7:47" x14ac:dyDescent="0.25">
      <c r="G209">
        <v>200</v>
      </c>
      <c r="H209">
        <f t="shared" si="159"/>
        <v>6</v>
      </c>
      <c r="I209" s="407">
        <f t="shared" si="136"/>
        <v>0.21524999999999997</v>
      </c>
      <c r="J209" s="408">
        <f t="shared" si="160"/>
        <v>1.8325337837837832</v>
      </c>
      <c r="K209" s="408">
        <f t="shared" si="171"/>
        <v>6.9162668918918913</v>
      </c>
      <c r="L209" s="408">
        <f t="shared" si="137"/>
        <v>5.0837331081081087</v>
      </c>
      <c r="M209" s="63">
        <f t="shared" si="161"/>
        <v>0</v>
      </c>
      <c r="N209" s="407">
        <f t="shared" si="138"/>
        <v>6.023275548989858</v>
      </c>
      <c r="O209" s="407">
        <f t="shared" si="139"/>
        <v>0.18407046105967362</v>
      </c>
      <c r="P209">
        <f t="shared" si="162"/>
        <v>0.2</v>
      </c>
      <c r="Q209" s="407">
        <f t="shared" si="172"/>
        <v>0.38407046105967363</v>
      </c>
      <c r="R209" s="9">
        <f t="shared" si="140"/>
        <v>0.52900693668332532</v>
      </c>
      <c r="S209" s="9">
        <f t="shared" si="141"/>
        <v>2.7984833905907577E-3</v>
      </c>
      <c r="T209" s="9">
        <f t="shared" si="142"/>
        <v>2.7984833905907577E-3</v>
      </c>
      <c r="U209" s="407">
        <f t="shared" si="143"/>
        <v>2.7945012712436661</v>
      </c>
      <c r="V209" s="409">
        <f t="shared" si="144"/>
        <v>1.5618474709964933E-2</v>
      </c>
      <c r="W209" s="407">
        <f t="shared" si="145"/>
        <v>1.5618474709964933E-2</v>
      </c>
      <c r="X209" s="407">
        <f t="shared" si="146"/>
        <v>2.7945012712436661</v>
      </c>
      <c r="Y209" s="407">
        <f t="shared" si="147"/>
        <v>4.6855424129894796E-2</v>
      </c>
      <c r="Z209" s="407">
        <f t="shared" si="163"/>
        <v>0.44765261830575959</v>
      </c>
      <c r="AA209" s="407">
        <f t="shared" si="164"/>
        <v>0.14400000000000002</v>
      </c>
      <c r="AB209" s="407">
        <f t="shared" si="165"/>
        <v>0</v>
      </c>
      <c r="AC209" s="407">
        <f t="shared" si="148"/>
        <v>0.64454815789774256</v>
      </c>
      <c r="AD209" s="407">
        <f t="shared" si="149"/>
        <v>5.3357858825178335</v>
      </c>
      <c r="AE209" s="407">
        <f t="shared" si="150"/>
        <v>0.17082366590445969</v>
      </c>
      <c r="AF209" s="407">
        <f t="shared" si="166"/>
        <v>8.6400000000000005E-2</v>
      </c>
      <c r="AG209" s="407">
        <f t="shared" si="151"/>
        <v>0.26632250316516476</v>
      </c>
      <c r="AH209" s="407">
        <f t="shared" si="152"/>
        <v>0</v>
      </c>
      <c r="AI209">
        <f t="shared" si="167"/>
        <v>0</v>
      </c>
      <c r="AJ209" s="408">
        <f t="shared" si="168"/>
        <v>0.45291959999999998</v>
      </c>
      <c r="AK209">
        <f t="shared" si="173"/>
        <v>4.8000000000000001E-2</v>
      </c>
      <c r="AL209" s="408">
        <f t="shared" si="169"/>
        <v>0.1215</v>
      </c>
      <c r="AM209" s="408">
        <f t="shared" si="174"/>
        <v>0.31645971316818772</v>
      </c>
      <c r="AN209" s="408">
        <f t="shared" si="153"/>
        <v>0.16949999999999998</v>
      </c>
      <c r="AO209" s="408">
        <f t="shared" si="154"/>
        <v>1.9357776802231366</v>
      </c>
      <c r="AP209">
        <f t="shared" si="170"/>
        <v>30.599999999999998</v>
      </c>
      <c r="AQ209" s="10">
        <f t="shared" si="155"/>
        <v>0.94050310709493823</v>
      </c>
      <c r="AR209" s="63">
        <f t="shared" si="156"/>
        <v>32.227407894887129</v>
      </c>
      <c r="AS209" s="63">
        <f t="shared" si="157"/>
        <v>13.316125158258238</v>
      </c>
      <c r="AT209" s="10"/>
      <c r="AU209">
        <f t="shared" si="158"/>
        <v>94.050310709493829</v>
      </c>
    </row>
  </sheetData>
  <sheetProtection selectLockedCells="1"/>
  <mergeCells count="2">
    <mergeCell ref="A1:D4"/>
    <mergeCell ref="A6:D7"/>
  </mergeCells>
  <phoneticPr fontId="5" type="noConversion"/>
  <pageMargins left="0.75" right="0.75" top="1" bottom="1" header="0.5" footer="0.5"/>
  <pageSetup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E7"/>
  <sheetViews>
    <sheetView workbookViewId="0">
      <selection activeCell="M42" sqref="M42"/>
    </sheetView>
  </sheetViews>
  <sheetFormatPr defaultRowHeight="13.2" x14ac:dyDescent="0.25"/>
  <cols>
    <col min="1" max="1" width="18.5546875" customWidth="1"/>
    <col min="2" max="2" width="9.33203125" customWidth="1"/>
    <col min="4" max="4" width="11.109375" customWidth="1"/>
  </cols>
  <sheetData>
    <row r="1" spans="1:5" x14ac:dyDescent="0.25">
      <c r="C1" t="s">
        <v>350</v>
      </c>
      <c r="D1" t="s">
        <v>349</v>
      </c>
    </row>
    <row r="2" spans="1:5" x14ac:dyDescent="0.25">
      <c r="A2" t="s">
        <v>347</v>
      </c>
      <c r="B2" s="62">
        <v>85</v>
      </c>
      <c r="C2" t="s">
        <v>348</v>
      </c>
      <c r="D2">
        <f>B2*1000000</f>
        <v>85000000</v>
      </c>
      <c r="E2" t="s">
        <v>10</v>
      </c>
    </row>
    <row r="3" spans="1:5" x14ac:dyDescent="0.25">
      <c r="A3" t="s">
        <v>351</v>
      </c>
      <c r="B3" s="62">
        <v>3000</v>
      </c>
      <c r="C3" t="s">
        <v>53</v>
      </c>
      <c r="D3">
        <f>B3*0.000000000001</f>
        <v>3E-9</v>
      </c>
      <c r="E3" t="s">
        <v>34</v>
      </c>
    </row>
    <row r="4" spans="1:5" x14ac:dyDescent="0.25">
      <c r="A4" t="s">
        <v>353</v>
      </c>
      <c r="B4" s="63">
        <f>1000000000*1/((D2*2*3.14159)^2*D3)</f>
        <v>1.1686430773614742</v>
      </c>
      <c r="C4" t="s">
        <v>354</v>
      </c>
      <c r="D4">
        <f>B4/1000000000</f>
        <v>1.1686430773614743E-9</v>
      </c>
      <c r="E4" t="s">
        <v>24</v>
      </c>
    </row>
    <row r="5" spans="1:5" x14ac:dyDescent="0.25">
      <c r="A5" t="s">
        <v>352</v>
      </c>
      <c r="B5">
        <f>4*B3</f>
        <v>12000</v>
      </c>
      <c r="C5" t="s">
        <v>53</v>
      </c>
      <c r="D5">
        <f>B5*0.000000000001</f>
        <v>1.2E-8</v>
      </c>
      <c r="E5" t="s">
        <v>34</v>
      </c>
    </row>
    <row r="6" spans="1:5" x14ac:dyDescent="0.25">
      <c r="A6" t="s">
        <v>355</v>
      </c>
      <c r="B6" s="4">
        <f>SQRT(D4/D3)</f>
        <v>0.62413755891936573</v>
      </c>
      <c r="C6" s="4" t="s">
        <v>274</v>
      </c>
      <c r="D6" s="4">
        <f>B6</f>
        <v>0.62413755891936573</v>
      </c>
      <c r="E6" t="s">
        <v>274</v>
      </c>
    </row>
    <row r="7" spans="1:5" x14ac:dyDescent="0.25">
      <c r="B7" s="4"/>
      <c r="C7" s="4"/>
      <c r="D7" s="4"/>
    </row>
  </sheetData>
  <phoneticPr fontId="5"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3:E16"/>
  <sheetViews>
    <sheetView workbookViewId="0">
      <selection activeCell="E30" sqref="E30"/>
    </sheetView>
  </sheetViews>
  <sheetFormatPr defaultRowHeight="13.2" x14ac:dyDescent="0.25"/>
  <sheetData>
    <row r="3" spans="1:5" x14ac:dyDescent="0.25">
      <c r="A3" t="s">
        <v>299</v>
      </c>
      <c r="B3">
        <f>Iripple1</f>
        <v>1.8325337837837832</v>
      </c>
    </row>
    <row r="4" spans="1:5" x14ac:dyDescent="0.25">
      <c r="A4" t="s">
        <v>7</v>
      </c>
      <c r="B4">
        <f>Fsw</f>
        <v>300000</v>
      </c>
    </row>
    <row r="6" spans="1:5" x14ac:dyDescent="0.25">
      <c r="A6" t="s">
        <v>279</v>
      </c>
      <c r="B6" s="52">
        <v>0.5</v>
      </c>
      <c r="C6" t="s">
        <v>134</v>
      </c>
      <c r="D6">
        <f>B6/1000</f>
        <v>5.0000000000000001E-4</v>
      </c>
      <c r="E6" t="s">
        <v>25</v>
      </c>
    </row>
    <row r="7" spans="1:5" x14ac:dyDescent="0.25">
      <c r="A7" t="s">
        <v>297</v>
      </c>
      <c r="B7" s="52">
        <v>20</v>
      </c>
      <c r="C7" t="s">
        <v>30</v>
      </c>
      <c r="D7">
        <f>B7/1000000</f>
        <v>2.0000000000000002E-5</v>
      </c>
      <c r="E7" t="s">
        <v>34</v>
      </c>
    </row>
    <row r="9" spans="1:5" x14ac:dyDescent="0.25">
      <c r="A9" t="s">
        <v>280</v>
      </c>
      <c r="B9" s="52">
        <v>20</v>
      </c>
      <c r="C9" t="s">
        <v>134</v>
      </c>
      <c r="D9">
        <f>B9/1000</f>
        <v>0.02</v>
      </c>
      <c r="E9" t="s">
        <v>25</v>
      </c>
    </row>
    <row r="10" spans="1:5" x14ac:dyDescent="0.25">
      <c r="A10" t="s">
        <v>298</v>
      </c>
      <c r="B10" s="52">
        <v>68</v>
      </c>
      <c r="C10" t="s">
        <v>30</v>
      </c>
      <c r="D10">
        <f>B10/1000000</f>
        <v>6.7999999999999999E-5</v>
      </c>
      <c r="E10" t="s">
        <v>34</v>
      </c>
    </row>
    <row r="12" spans="1:5" x14ac:dyDescent="0.25">
      <c r="A12" t="s">
        <v>301</v>
      </c>
      <c r="B12">
        <f>(D7/(D7+D10))*SQRT((D9*D10*B4)^2+1)/SQRT((((D6+D9)*D7*D10/(D10+D7))*B4)^2+1)</f>
        <v>0.2443600307654302</v>
      </c>
      <c r="C12" t="s">
        <v>300</v>
      </c>
    </row>
    <row r="13" spans="1:5" x14ac:dyDescent="0.25">
      <c r="A13" t="s">
        <v>302</v>
      </c>
      <c r="B13">
        <f>1-B12</f>
        <v>0.75563996923456977</v>
      </c>
      <c r="C13" t="s">
        <v>300</v>
      </c>
    </row>
    <row r="15" spans="1:5" x14ac:dyDescent="0.25">
      <c r="A15" t="s">
        <v>301</v>
      </c>
      <c r="B15">
        <f>B12*(Iripple1/(2*SQRT(3)))</f>
        <v>0.12926815132306335</v>
      </c>
      <c r="C15" t="s">
        <v>2</v>
      </c>
    </row>
    <row r="16" spans="1:5" x14ac:dyDescent="0.25">
      <c r="A16" t="s">
        <v>302</v>
      </c>
      <c r="B16">
        <f>B13*(Iripple1/(2*SQRT(3)))</f>
        <v>0.39973878536026197</v>
      </c>
      <c r="C16" t="s">
        <v>2</v>
      </c>
    </row>
  </sheetData>
  <phoneticPr fontId="5"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150</vt:i4>
      </vt:variant>
    </vt:vector>
  </HeadingPairs>
  <TitlesOfParts>
    <vt:vector size="160" baseType="lpstr">
      <vt:lpstr>Design Regulator</vt:lpstr>
      <vt:lpstr>Schematic &amp; BOM</vt:lpstr>
      <vt:lpstr>EVMs</vt:lpstr>
      <vt:lpstr>Variable Management</vt:lpstr>
      <vt:lpstr>Standard Value Calculator</vt:lpstr>
      <vt:lpstr>Bode Plots Calculations</vt:lpstr>
      <vt:lpstr>Schematic Management</vt:lpstr>
      <vt:lpstr>Power Calculations</vt:lpstr>
      <vt:lpstr>Snubber</vt:lpstr>
      <vt:lpstr>Parallel Output Caps</vt:lpstr>
      <vt:lpstr>_Don1</vt:lpstr>
      <vt:lpstr>_Don2</vt:lpstr>
      <vt:lpstr>_Ren1</vt:lpstr>
      <vt:lpstr>_Rfb1</vt:lpstr>
      <vt:lpstr>_Rfb2</vt:lpstr>
      <vt:lpstr>_Rs1</vt:lpstr>
      <vt:lpstr>_Rs2</vt:lpstr>
      <vt:lpstr>_Rs3</vt:lpstr>
      <vt:lpstr>Cb</vt:lpstr>
      <vt:lpstr>Cby</vt:lpstr>
      <vt:lpstr>Cc1ea</vt:lpstr>
      <vt:lpstr>Cc1ea_u</vt:lpstr>
      <vt:lpstr>Cc2ea</vt:lpstr>
      <vt:lpstr>Cc2ea_u</vt:lpstr>
      <vt:lpstr>Cc3ea</vt:lpstr>
      <vt:lpstr>Cc3ea_u</vt:lpstr>
      <vt:lpstr>Cdd</vt:lpstr>
      <vt:lpstr>Cilim</vt:lpstr>
      <vt:lpstr>Cilim_ideal</vt:lpstr>
      <vt:lpstr>Cin</vt:lpstr>
      <vt:lpstr>Cin_Voltage_Rating</vt:lpstr>
      <vt:lpstr>CinEsrMax</vt:lpstr>
      <vt:lpstr>Core_Loss</vt:lpstr>
      <vt:lpstr>CossBot</vt:lpstr>
      <vt:lpstr>CossTop</vt:lpstr>
      <vt:lpstr>Cout</vt:lpstr>
      <vt:lpstr>Cout_Voltage_Rating</vt:lpstr>
      <vt:lpstr>CoutEsr</vt:lpstr>
      <vt:lpstr>Coutmin</vt:lpstr>
      <vt:lpstr>Csb</vt:lpstr>
      <vt:lpstr>Csby</vt:lpstr>
      <vt:lpstr>Css</vt:lpstr>
      <vt:lpstr>Css_u</vt:lpstr>
      <vt:lpstr>DC_Current_Limit_Setpoint</vt:lpstr>
      <vt:lpstr>Deadtime</vt:lpstr>
      <vt:lpstr>Doff1</vt:lpstr>
      <vt:lpstr>Doff2</vt:lpstr>
      <vt:lpstr>Don_Vinmax</vt:lpstr>
      <vt:lpstr>Eadcg</vt:lpstr>
      <vt:lpstr>Ext_VCC</vt:lpstr>
      <vt:lpstr>Fcross</vt:lpstr>
      <vt:lpstr>Fesr</vt:lpstr>
      <vt:lpstr>Fo</vt:lpstr>
      <vt:lpstr>Fp1_u</vt:lpstr>
      <vt:lpstr>Fp2_u</vt:lpstr>
      <vt:lpstr>Fsw</vt:lpstr>
      <vt:lpstr>Fz1_u</vt:lpstr>
      <vt:lpstr>Fz2_u</vt:lpstr>
      <vt:lpstr>GBP</vt:lpstr>
      <vt:lpstr>GmTop</vt:lpstr>
      <vt:lpstr>Icinrms</vt:lpstr>
      <vt:lpstr>Icoutrms</vt:lpstr>
      <vt:lpstr>Ilim1</vt:lpstr>
      <vt:lpstr>Ilim2</vt:lpstr>
      <vt:lpstr>ILimit</vt:lpstr>
      <vt:lpstr>Ilsat</vt:lpstr>
      <vt:lpstr>Iout</vt:lpstr>
      <vt:lpstr>Ipp</vt:lpstr>
      <vt:lpstr>Iq</vt:lpstr>
      <vt:lpstr>Ireverse</vt:lpstr>
      <vt:lpstr>Iripple1</vt:lpstr>
      <vt:lpstr>Iss</vt:lpstr>
      <vt:lpstr>Iuvlo_hys</vt:lpstr>
      <vt:lpstr>Iuvlo1</vt:lpstr>
      <vt:lpstr>Iuvlo2</vt:lpstr>
      <vt:lpstr>Kmidband</vt:lpstr>
      <vt:lpstr>Lout1</vt:lpstr>
      <vt:lpstr>Lout2</vt:lpstr>
      <vt:lpstr>Ltc</vt:lpstr>
      <vt:lpstr>Pi</vt:lpstr>
      <vt:lpstr>'Design Regulator'!Print_Area</vt:lpstr>
      <vt:lpstr>'Schematic &amp; BOM'!Print_Area</vt:lpstr>
      <vt:lpstr>Q</vt:lpstr>
      <vt:lpstr>QgBot</vt:lpstr>
      <vt:lpstr>QgdTop</vt:lpstr>
      <vt:lpstr>QgsTop</vt:lpstr>
      <vt:lpstr>QgTop</vt:lpstr>
      <vt:lpstr>QossBot</vt:lpstr>
      <vt:lpstr>QrrBot</vt:lpstr>
      <vt:lpstr>QrrSky</vt:lpstr>
      <vt:lpstr>Rcea1</vt:lpstr>
      <vt:lpstr>Rcea1_u</vt:lpstr>
      <vt:lpstr>Rcea2</vt:lpstr>
      <vt:lpstr>Rcea2_u</vt:lpstr>
      <vt:lpstr>RCinEsr</vt:lpstr>
      <vt:lpstr>RCoutEsr</vt:lpstr>
      <vt:lpstr>Rdcr</vt:lpstr>
      <vt:lpstr>RDSON_sense</vt:lpstr>
      <vt:lpstr>RdsonBot</vt:lpstr>
      <vt:lpstr>RdsonBotTc</vt:lpstr>
      <vt:lpstr>RdsonDRB</vt:lpstr>
      <vt:lpstr>RdsonDRB2</vt:lpstr>
      <vt:lpstr>RdsonDRT</vt:lpstr>
      <vt:lpstr>RdsonDRT2</vt:lpstr>
      <vt:lpstr>RdsonTop</vt:lpstr>
      <vt:lpstr>RdsonTopTc</vt:lpstr>
      <vt:lpstr>Resrmax</vt:lpstr>
      <vt:lpstr>Rfadj</vt:lpstr>
      <vt:lpstr>Rfb2_u</vt:lpstr>
      <vt:lpstr>Rfets</vt:lpstr>
      <vt:lpstr>RGateBot</vt:lpstr>
      <vt:lpstr>RGateTop</vt:lpstr>
      <vt:lpstr>Rh</vt:lpstr>
      <vt:lpstr>Rilim_Rdson</vt:lpstr>
      <vt:lpstr>Rilim_Rdson_ideal</vt:lpstr>
      <vt:lpstr>Rilim_shunt</vt:lpstr>
      <vt:lpstr>Rilim_shunt_ideal</vt:lpstr>
      <vt:lpstr>Ro</vt:lpstr>
      <vt:lpstr>Rpg</vt:lpstr>
      <vt:lpstr>Rsb</vt:lpstr>
      <vt:lpstr>Rshunt</vt:lpstr>
      <vt:lpstr>Ruvlo1</vt:lpstr>
      <vt:lpstr>Ruvlo2</vt:lpstr>
      <vt:lpstr>SCH_RDSON</vt:lpstr>
      <vt:lpstr>SCH_SHUNT</vt:lpstr>
      <vt:lpstr>Ta</vt:lpstr>
      <vt:lpstr>Tf</vt:lpstr>
      <vt:lpstr>ThetaCa</vt:lpstr>
      <vt:lpstr>ThetaJaBot</vt:lpstr>
      <vt:lpstr>ThetaJaCtrl</vt:lpstr>
      <vt:lpstr>ThetaJaTop</vt:lpstr>
      <vt:lpstr>TL</vt:lpstr>
      <vt:lpstr>Tr</vt:lpstr>
      <vt:lpstr>TrrBot</vt:lpstr>
      <vt:lpstr>Tss</vt:lpstr>
      <vt:lpstr>VARIANT</vt:lpstr>
      <vt:lpstr>Vdd</vt:lpstr>
      <vt:lpstr>VfdSky</vt:lpstr>
      <vt:lpstr>Vin</vt:lpstr>
      <vt:lpstr>VIN_MAX_RATING</vt:lpstr>
      <vt:lpstr>VIN_MIN_RATING</vt:lpstr>
      <vt:lpstr>Vinmax</vt:lpstr>
      <vt:lpstr>Vinmin</vt:lpstr>
      <vt:lpstr>Vinripple1</vt:lpstr>
      <vt:lpstr>Vinripple2</vt:lpstr>
      <vt:lpstr>VINuvlo_off</vt:lpstr>
      <vt:lpstr>VINuvlo_on</vt:lpstr>
      <vt:lpstr>Vout</vt:lpstr>
      <vt:lpstr>VOUT_MAX_RATING</vt:lpstr>
      <vt:lpstr>Vramp</vt:lpstr>
      <vt:lpstr>Vref</vt:lpstr>
      <vt:lpstr>Vripple1</vt:lpstr>
      <vt:lpstr>Vripple2</vt:lpstr>
      <vt:lpstr>VsdBot</vt:lpstr>
      <vt:lpstr>VsdTop</vt:lpstr>
      <vt:lpstr>VspTop</vt:lpstr>
      <vt:lpstr>VthTop</vt:lpstr>
      <vt:lpstr>Vuvlo_hys</vt:lpstr>
      <vt:lpstr>Vuvlo_off</vt:lpstr>
      <vt:lpstr>Vuvlo_on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LM5146-Q1 Design Tool</dc:title>
  <dc:creator>Timothy Hegarty</dc:creator>
  <cp:keywords>LM5146-Q1, PWM controller, synchronous buck, wide Vin</cp:keywords>
  <cp:lastModifiedBy>慶紀 井川</cp:lastModifiedBy>
  <cp:lastPrinted>2017-06-16T22:24:31Z</cp:lastPrinted>
  <dcterms:created xsi:type="dcterms:W3CDTF">1996-10-14T23:33:28Z</dcterms:created>
  <dcterms:modified xsi:type="dcterms:W3CDTF">2025-04-16T14:02:29Z</dcterms:modified>
</cp:coreProperties>
</file>